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9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100" sheetId="54" r:id="rId9"/>
    <sheet name="Div 2" sheetId="9" r:id="rId10"/>
    <sheet name="OSR_Div 2_1PQ800A" sheetId="10" state="hidden" r:id="rId11"/>
    <sheet name="OSR_Div 1 (2)...789fe994_2NV3KA" sheetId="11" state="hidden" r:id="rId12"/>
    <sheet name="OSR_Div 3_18723PH" sheetId="13" state="hidden" r:id="rId13"/>
    <sheet name="OSR_300 (2)_7...54cb56fc_UFX0O2" sheetId="14" state="hidden" r:id="rId14"/>
    <sheet name="OSR_300_IYZXI6" sheetId="16" state="hidden" r:id="rId15"/>
    <sheet name="OSR_Div 3 (2)...b7db256a_40ITCB" sheetId="17" state="hidden" r:id="rId16"/>
    <sheet name="OSR_300 &amp; 317_1C00ID4" sheetId="19" state="hidden" r:id="rId17"/>
    <sheet name="OSR_300 (2)_c...79cd3046_1TJM0H" sheetId="20" state="hidden" r:id="rId18"/>
    <sheet name="OSR_310_1CMTOSB" sheetId="22" state="hidden" r:id="rId19"/>
    <sheet name="OSR_300 (2)_e...5d0da5bf_6BPGAO" sheetId="23" state="hidden" r:id="rId20"/>
    <sheet name="OSR_330_10VFP5Y" sheetId="25" state="hidden" r:id="rId21"/>
    <sheet name="OSR_310 (2)_...6e684f08_1FLCNJG" sheetId="26" state="hidden" r:id="rId22"/>
    <sheet name="OSR_308_UAWDAG" sheetId="28" state="hidden" r:id="rId23"/>
    <sheet name="OSR_330 (2)_...8a14c83e_1NSH7XI" sheetId="29" state="hidden" r:id="rId24"/>
    <sheet name="OSR_331_10VKQAJ" sheetId="31" state="hidden" r:id="rId25"/>
    <sheet name="OSR_308 (2)_...47685838_1YQW4QY" sheetId="32" state="hidden" r:id="rId26"/>
    <sheet name="OSR_332_6NDVBW" sheetId="34" state="hidden" r:id="rId27"/>
    <sheet name="OSR_331 (2)_...7280af70_1P5SPLT" sheetId="35" state="hidden" r:id="rId28"/>
    <sheet name="OSR_Div 4_1740TMT" sheetId="37" state="hidden" r:id="rId29"/>
    <sheet name="OSR_310 (2)_...8cac1423_1JTU33X" sheetId="38" state="hidden" r:id="rId30"/>
    <sheet name="OSR_310 &amp; 491_1NGRCS9" sheetId="40" state="hidden" r:id="rId31"/>
    <sheet name="OSR_491 (2)_0...c51cc666_QIOT67" sheetId="41" state="hidden" r:id="rId32"/>
    <sheet name="OSR_491_9Z9JH5" sheetId="43" state="hidden" r:id="rId33"/>
    <sheet name="OSR_Div 4 (2...2533da42_174R6QX" sheetId="44" state="hidden" r:id="rId34"/>
    <sheet name="OSR_492_943FP1" sheetId="46" state="hidden" r:id="rId35"/>
    <sheet name="OSR_Div 4 (2)...1a9a4454_CQFRNE" sheetId="47" state="hidden" r:id="rId36"/>
    <sheet name="OSR_Div 5_16NAZO2" sheetId="49" state="hidden" r:id="rId37"/>
    <sheet name="OSR_492 (2)_...cd97c6a6_13HYXEV" sheetId="50" state="hidden" r:id="rId38"/>
    <sheet name="OSR_Div 6_P37YY7" sheetId="52" state="hidden" r:id="rId39"/>
    <sheet name="OSR_Div 5 (2...09141158_1BG9FGV" sheetId="53" state="hidden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08" sheetId="27" r:id="rId55"/>
    <sheet name="311" sheetId="71" r:id="rId56"/>
    <sheet name="314" sheetId="74" r:id="rId57"/>
    <sheet name="331" sheetId="30" r:id="rId58"/>
    <sheet name="315" sheetId="75" r:id="rId59"/>
    <sheet name="326" sheetId="85" r:id="rId60"/>
    <sheet name="332" sheetId="33" r:id="rId61"/>
    <sheet name="316" sheetId="76" r:id="rId62"/>
    <sheet name="320" sheetId="79" r:id="rId63"/>
    <sheet name="Div 6" sheetId="51" r:id="rId64"/>
    <sheet name="317" sheetId="77" r:id="rId65"/>
    <sheet name="310" sheetId="21" r:id="rId66"/>
    <sheet name="309" sheetId="70" r:id="rId67"/>
    <sheet name="313" sheetId="73" r:id="rId68"/>
    <sheet name="321" sheetId="80" r:id="rId69"/>
    <sheet name="322" sheetId="81" r:id="rId70"/>
    <sheet name="323" sheetId="82" r:id="rId71"/>
    <sheet name="324" sheetId="83" r:id="rId72"/>
    <sheet name="325" sheetId="84" r:id="rId73"/>
    <sheet name="327" sheetId="86" r:id="rId74"/>
    <sheet name="Div 4" sheetId="36" r:id="rId75"/>
    <sheet name="310 &amp; 491" sheetId="39" r:id="rId76"/>
    <sheet name="491" sheetId="42" r:id="rId77"/>
    <sheet name="405" sheetId="88" r:id="rId78"/>
    <sheet name="406" sheetId="89" r:id="rId79"/>
    <sheet name="411" sheetId="92" r:id="rId80"/>
    <sheet name="412" sheetId="93" r:id="rId81"/>
    <sheet name="413" sheetId="94" r:id="rId82"/>
    <sheet name="414" sheetId="95" r:id="rId83"/>
    <sheet name="415" sheetId="96" r:id="rId84"/>
    <sheet name="418" sheetId="98" r:id="rId85"/>
    <sheet name="420" sheetId="99" r:id="rId86"/>
    <sheet name="423" sheetId="100" r:id="rId87"/>
    <sheet name="424" sheetId="101" r:id="rId88"/>
    <sheet name="425" sheetId="102" r:id="rId89"/>
    <sheet name="455" sheetId="109" r:id="rId90"/>
    <sheet name="492" sheetId="45" r:id="rId91"/>
    <sheet name="430" sheetId="103" r:id="rId92"/>
    <sheet name="433" sheetId="104" r:id="rId93"/>
    <sheet name="435" sheetId="105" r:id="rId94"/>
    <sheet name="444" sheetId="106" r:id="rId95"/>
    <sheet name="450" sheetId="108" r:id="rId96"/>
    <sheet name="Div 5" sheetId="48" r:id="rId97"/>
    <sheet name="501" sheetId="110" r:id="rId98"/>
    <sheet name="Dept" sheetId="111" state="hidden" r:id="rId99"/>
    <sheet name="OSR_Dept_Y0WUKY" sheetId="112" state="hidden" r:id="rId100"/>
    <sheet name="OSR_Summary (...56e5d78f_5JEYZH" sheetId="113" state="hidden" r:id="rId101"/>
  </sheets>
  <definedNames>
    <definedName name="OSRRefD13x_0" localSheetId="48">'300'!$D$13:$D$103</definedName>
    <definedName name="OSRRefD13x_0" localSheetId="49">'300 &amp; 317'!$D$13:$D$121</definedName>
    <definedName name="OSRRefD13x_0" localSheetId="53">'307'!$D$13:$D$45</definedName>
    <definedName name="OSRRefD13x_0" localSheetId="54">'308'!$D$13:$D$39</definedName>
    <definedName name="OSRRefD13x_0" localSheetId="66">'309'!$D$13:$D$14</definedName>
    <definedName name="OSRRefD13x_0" localSheetId="65">'310'!$D$13:$D$22</definedName>
    <definedName name="OSRRefD13x_0" localSheetId="75">'310 &amp; 491'!$D$13:$D$30</definedName>
    <definedName name="OSRRefD13x_0" localSheetId="55">'311'!$D$13:$D$38</definedName>
    <definedName name="OSRRefD13x_0" localSheetId="67">'313'!$D$13:$D$19</definedName>
    <definedName name="OSRRefD13x_0" localSheetId="56">'314'!$D$13:$D$33</definedName>
    <definedName name="OSRRefD13x_0" localSheetId="58">'315'!$D$13:$D$32</definedName>
    <definedName name="OSRRefD13x_0" localSheetId="61">'316'!$D$13:$D$24</definedName>
    <definedName name="OSRRefD13x_0" localSheetId="64">'317'!$D$13:$D$36</definedName>
    <definedName name="OSRRefD13x_0" localSheetId="62">'320'!$D$13:$D$16</definedName>
    <definedName name="OSRRefD13x_0" localSheetId="68">'321'!$D$13:$D$14</definedName>
    <definedName name="OSRRefD13x_0" localSheetId="69">'322'!$D$13:$D$14</definedName>
    <definedName name="OSRRefD13x_0" localSheetId="71">'324'!$D$13:$D$15</definedName>
    <definedName name="OSRRefD13x_0" localSheetId="72">'325'!$D$13:$D$14</definedName>
    <definedName name="OSRRefD13x_0" localSheetId="59">'326'!$D$13:$D$34</definedName>
    <definedName name="OSRRefD13x_0" localSheetId="73">'327'!$D$13</definedName>
    <definedName name="OSRRefD13x_0" localSheetId="52">'330'!$D$13:$D$49</definedName>
    <definedName name="OSRRefD13x_0" localSheetId="57">'331'!$D$13:$D$42</definedName>
    <definedName name="OSRRefD13x_0" localSheetId="60">'332'!$D$13:$D$28</definedName>
    <definedName name="OSRRefD13x_0" localSheetId="77">'405'!$D$13:$D$14</definedName>
    <definedName name="OSRRefD13x_0" localSheetId="78">'406'!$D$13:$D$14</definedName>
    <definedName name="OSRRefD13x_0" localSheetId="80">'412'!$D$13:$D$15</definedName>
    <definedName name="OSRRefD13x_0" localSheetId="81">'413'!$D$13:$D$14</definedName>
    <definedName name="OSRRefD13x_0" localSheetId="82">'414'!$D$13:$D$14</definedName>
    <definedName name="OSRRefD13x_0" localSheetId="83">'415'!$D$13:$D$14</definedName>
    <definedName name="OSRRefD13x_0" localSheetId="84">'418'!$D$13:$D$14</definedName>
    <definedName name="OSRRefD13x_0" localSheetId="85">'420'!$D$13:$D$14</definedName>
    <definedName name="OSRRefD13x_0" localSheetId="87">'424'!$D$13:$D$14</definedName>
    <definedName name="OSRRefD13x_0" localSheetId="88">'425'!$D$13:$D$17</definedName>
    <definedName name="OSRRefD13x_0" localSheetId="92">'433'!$D$13:$D$16</definedName>
    <definedName name="OSRRefD13x_0" localSheetId="93">'435'!$D$13:$D$15</definedName>
    <definedName name="OSRRefD13x_0" localSheetId="94">'444'!$D$13:$D$15</definedName>
    <definedName name="OSRRefD13x_0" localSheetId="95">'450'!$D$13:$D$15</definedName>
    <definedName name="OSRRefD13x_0" localSheetId="76">'491'!$D$13:$D$23</definedName>
    <definedName name="OSRRefD13x_0" localSheetId="90">'492'!$D$13:$D$18</definedName>
    <definedName name="OSRRefD13x_0" localSheetId="97">'501'!$D$13</definedName>
    <definedName name="OSRRefD13x_0" localSheetId="47">'Div 3'!$D$13:$D$106</definedName>
    <definedName name="OSRRefD13x_0" localSheetId="74">'Div 4'!$D$13:$D$24</definedName>
    <definedName name="OSRRefD13x_0" localSheetId="96">'Div 5'!$D$13</definedName>
    <definedName name="OSRRefD13x_0" localSheetId="63">'Div 6'!$D$13:$D$36</definedName>
    <definedName name="OSRRefD13x_0" localSheetId="2">Summary!$D$13:$D$133</definedName>
    <definedName name="OSRRefD16x_0" localSheetId="48">'300'!$D$106:$D$154</definedName>
    <definedName name="OSRRefD16x_0" localSheetId="49">'300 &amp; 317'!$D$124:$D$179</definedName>
    <definedName name="OSRRefD16x_0" localSheetId="53">'307'!$D$48:$D$66</definedName>
    <definedName name="OSRRefD16x_0" localSheetId="54">'308'!$D$42:$D$56</definedName>
    <definedName name="OSRRefD16x_0" localSheetId="66">'309'!$D$17:$D$18</definedName>
    <definedName name="OSRRefD16x_0" localSheetId="65">'310'!$D$25:$D$26</definedName>
    <definedName name="OSRRefD16x_0" localSheetId="75">'310 &amp; 491'!$D$33:$D$34</definedName>
    <definedName name="OSRRefD16x_0" localSheetId="55">'311'!$D$41:$D$55</definedName>
    <definedName name="OSRRefD16x_0" localSheetId="67">'313'!$D$22:$D$23</definedName>
    <definedName name="OSRRefD16x_0" localSheetId="56">'314'!$D$36:$D$50</definedName>
    <definedName name="OSRRefD16x_0" localSheetId="58">'315'!$D$35:$D$49</definedName>
    <definedName name="OSRRefD16x_0" localSheetId="64">'317'!$D$39:$D$51</definedName>
    <definedName name="OSRRefD16x_0" localSheetId="62">'320'!$D$19:$D$23</definedName>
    <definedName name="OSRRefD16x_0" localSheetId="68">'321'!$D$17:$D$18</definedName>
    <definedName name="OSRRefD16x_0" localSheetId="69">'322'!$D$17:$D$18</definedName>
    <definedName name="OSRRefD16x_0" localSheetId="71">'324'!$D$18:$D$19</definedName>
    <definedName name="OSRRefD16x_0" localSheetId="72">'325'!$D$17:$D$18</definedName>
    <definedName name="OSRRefD16x_0" localSheetId="59">'326'!$D$37:$D$53</definedName>
    <definedName name="OSRRefD16x_0" localSheetId="73">'327'!$D$16</definedName>
    <definedName name="OSRRefD16x_0" localSheetId="52">'330'!$D$52:$D$74</definedName>
    <definedName name="OSRRefD16x_0" localSheetId="57">'331'!$D$45:$D$67</definedName>
    <definedName name="OSRRefD16x_0" localSheetId="60">'332'!$D$31:$D$35</definedName>
    <definedName name="OSRRefD16x_0" localSheetId="77">'405'!$D$17:$D$18</definedName>
    <definedName name="OSRRefD16x_0" localSheetId="78">'406'!$D$17:$D$18</definedName>
    <definedName name="OSRRefD16x_0" localSheetId="80">'412'!$D$18</definedName>
    <definedName name="OSRRefD16x_0" localSheetId="81">'413'!$D$17:$D$18</definedName>
    <definedName name="OSRRefD16x_0" localSheetId="82">'414'!$D$17:$D$18</definedName>
    <definedName name="OSRRefD16x_0" localSheetId="83">'415'!$D$17:$D$18</definedName>
    <definedName name="OSRRefD16x_0" localSheetId="84">'418'!$D$17:$D$18</definedName>
    <definedName name="OSRRefD16x_0" localSheetId="86">'423'!$D$15</definedName>
    <definedName name="OSRRefD16x_0" localSheetId="87">'424'!$D$17:$D$18</definedName>
    <definedName name="OSRRefD16x_0" localSheetId="88">'425'!$D$20:$D$21</definedName>
    <definedName name="OSRRefD16x_0" localSheetId="92">'433'!$D$19:$D$20</definedName>
    <definedName name="OSRRefD16x_0" localSheetId="93">'435'!$D$18:$D$19</definedName>
    <definedName name="OSRRefD16x_0" localSheetId="94">'444'!$D$18:$D$19</definedName>
    <definedName name="OSRRefD16x_0" localSheetId="95">'450'!$D$18:$D$19</definedName>
    <definedName name="OSRRefD16x_0" localSheetId="76">'491'!$D$26:$D$27</definedName>
    <definedName name="OSRRefD16x_0" localSheetId="90">'492'!$D$21:$D$22</definedName>
    <definedName name="OSRRefD16x_0" localSheetId="47">'Div 3'!$D$109:$D$159</definedName>
    <definedName name="OSRRefD16x_0" localSheetId="74">'Div 4'!$D$27:$D$28</definedName>
    <definedName name="OSRRefD16x_0" localSheetId="63">'Div 6'!$D$39:$D$51</definedName>
    <definedName name="OSRRefD16x_0" localSheetId="2">Summary!$D$136:$D$193</definedName>
    <definedName name="OSRRefD22_0x_0" localSheetId="40">'200'!$D$20</definedName>
    <definedName name="OSRRefD22_0x_0" localSheetId="41">'201'!$D$20:$D$28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'206'!$D$20:$D$27</definedName>
    <definedName name="OSRRefD22_0x_0" localSheetId="48">'300'!$D$160:$D$168</definedName>
    <definedName name="OSRRefD22_0x_0" localSheetId="49">'300 &amp; 317'!$D$185:$D$193</definedName>
    <definedName name="OSRRefD22_0x_0" localSheetId="50">'301'!$D$20:$D$27</definedName>
    <definedName name="OSRRefD22_0x_0" localSheetId="51">'306'!$D$20:$D$28</definedName>
    <definedName name="OSRRefD22_0x_0" localSheetId="53">'307'!$D$72:$D$79</definedName>
    <definedName name="OSRRefD22_0x_0" localSheetId="54">'308'!$D$62:$D$70</definedName>
    <definedName name="OSRRefD22_0x_0" localSheetId="66">'309'!$D$24:$D$31</definedName>
    <definedName name="OSRRefD22_0x_0" localSheetId="65">'310'!$D$32:$D$39</definedName>
    <definedName name="OSRRefD22_0x_0" localSheetId="75">'310 &amp; 491'!$D$40:$D$48</definedName>
    <definedName name="OSRRefD22_0x_0" localSheetId="55">'311'!$D$61:$D$69</definedName>
    <definedName name="OSRRefD22_0x_0" localSheetId="67">'313'!$D$29:$D$36</definedName>
    <definedName name="OSRRefD22_0x_0" localSheetId="56">'314'!$D$56:$D$62</definedName>
    <definedName name="OSRRefD22_0x_0" localSheetId="58">'315'!$D$55:$D$62</definedName>
    <definedName name="OSRRefD22_0x_0" localSheetId="61">'316'!$D$32:$D$39</definedName>
    <definedName name="OSRRefD22_0x_0" localSheetId="64">'317'!$D$57:$D$65</definedName>
    <definedName name="OSRRefD22_0x_0" localSheetId="62">'320'!$D$29:$D$35</definedName>
    <definedName name="OSRRefD22_0x_0" localSheetId="68">'321'!$D$24:$D$30</definedName>
    <definedName name="OSRRefD22_0x_0" localSheetId="69">'322'!$D$24:$D$31</definedName>
    <definedName name="OSRRefD22_0x_0" localSheetId="71">'324'!$D$25</definedName>
    <definedName name="OSRRefD22_0x_0" localSheetId="72">'325'!$D$24:$D$31</definedName>
    <definedName name="OSRRefD22_0x_0" localSheetId="59">'326'!$D$59:$D$66</definedName>
    <definedName name="OSRRefD22_0x_0" localSheetId="73">'327'!$D$22</definedName>
    <definedName name="OSRRefD22_0x_0" localSheetId="52">'330'!$D$80:$D$87</definedName>
    <definedName name="OSRRefD22_0x_0" localSheetId="57">'331'!$D$73:$D$80</definedName>
    <definedName name="OSRRefD22_0x_0" localSheetId="60">'332'!$D$41:$D$48</definedName>
    <definedName name="OSRRefD22_0x_0" localSheetId="77">'405'!$D$24:$D$31</definedName>
    <definedName name="OSRRefD22_0x_0" localSheetId="78">'406'!$D$24:$D$31</definedName>
    <definedName name="OSRRefD22_0x_0" localSheetId="79">'411'!$D$20:$D$28</definedName>
    <definedName name="OSRRefD22_0x_0" localSheetId="80">'412'!$D$24:$D$31</definedName>
    <definedName name="OSRRefD22_0x_0" localSheetId="81">'413'!$D$24:$D$31</definedName>
    <definedName name="OSRRefD22_0x_0" localSheetId="82">'414'!$D$24:$D$31</definedName>
    <definedName name="OSRRefD22_0x_0" localSheetId="83">'415'!$D$24:$D$31</definedName>
    <definedName name="OSRRefD22_0x_0" localSheetId="84">'418'!$D$24:$D$31</definedName>
    <definedName name="OSRRefD22_0x_0" localSheetId="85">'420'!$D$22:$D$28</definedName>
    <definedName name="OSRRefD22_0x_0" localSheetId="86">'423'!$D$21:$D$28</definedName>
    <definedName name="OSRRefD22_0x_0" localSheetId="87">'424'!$D$24:$D$26</definedName>
    <definedName name="OSRRefD22_0x_0" localSheetId="88">'425'!$D$27:$D$34</definedName>
    <definedName name="OSRRefD22_0x_0" localSheetId="91">'430'!$D$20:$D$27</definedName>
    <definedName name="OSRRefD22_0x_0" localSheetId="92">'433'!$D$26:$D$34</definedName>
    <definedName name="OSRRefD22_0x_0" localSheetId="93">'435'!$D$25:$D$27</definedName>
    <definedName name="OSRRefD22_0x_0" localSheetId="94">'444'!$D$25:$D$33</definedName>
    <definedName name="OSRRefD22_0x_0" localSheetId="95">'450'!$D$25:$D$33</definedName>
    <definedName name="OSRRefD22_0x_0" localSheetId="89">'455'!$D$20:$D$26</definedName>
    <definedName name="OSRRefD22_0x_0" localSheetId="76">'491'!$D$33:$D$41</definedName>
    <definedName name="OSRRefD22_0x_0" localSheetId="90">'492'!$D$28:$D$36</definedName>
    <definedName name="OSRRefD22_0x_0" localSheetId="97">'501'!$D$21:$D$28</definedName>
    <definedName name="OSRRefD22_0x_0" localSheetId="9">'Div 2'!$D$20:$D$30</definedName>
    <definedName name="OSRRefD22_0x_0" localSheetId="47">'Div 3'!$D$165:$D$173</definedName>
    <definedName name="OSRRefD22_0x_0" localSheetId="74">'Div 4'!$D$34:$D$42</definedName>
    <definedName name="OSRRefD22_0x_0" localSheetId="96">'Div 5'!$D$21:$D$28</definedName>
    <definedName name="OSRRefD22_0x_0" localSheetId="63">'Div 6'!$D$57:$D$65</definedName>
    <definedName name="OSRRefD22_0x_0" localSheetId="2">Summary!$D$199:$D$207</definedName>
    <definedName name="OSRRefD22_10x_0" localSheetId="41">'201'!$D$52:$D$54</definedName>
    <definedName name="OSRRefD22_10x_0" localSheetId="42">'202'!$D$52</definedName>
    <definedName name="OSRRefD22_10x_0" localSheetId="43">'203'!$D$54:$D$55</definedName>
    <definedName name="OSRRefD22_10x_0" localSheetId="44">'204'!$D$57:$D$58</definedName>
    <definedName name="OSRRefD22_10x_0" localSheetId="48">'300'!$D$197:$D$198</definedName>
    <definedName name="OSRRefD22_10x_0" localSheetId="49">'300 &amp; 317'!$D$222:$D$223</definedName>
    <definedName name="OSRRefD22_10x_0" localSheetId="50">'301'!$D$56</definedName>
    <definedName name="OSRRefD22_10x_0" localSheetId="53">'307'!$D$105:$D$106</definedName>
    <definedName name="OSRRefD22_10x_0" localSheetId="54">'308'!$D$97</definedName>
    <definedName name="OSRRefD22_10x_0" localSheetId="66">'309'!$D$57:$D$62</definedName>
    <definedName name="OSRRefD22_10x_0" localSheetId="65">'310'!$D$65</definedName>
    <definedName name="OSRRefD22_10x_0" localSheetId="75">'310 &amp; 491'!$D$76</definedName>
    <definedName name="OSRRefD22_10x_0" localSheetId="55">'311'!$D$96</definedName>
    <definedName name="OSRRefD22_10x_0" localSheetId="67">'313'!$D$62</definedName>
    <definedName name="OSRRefD22_10x_0" localSheetId="58">'315'!$D$90</definedName>
    <definedName name="OSRRefD22_10x_0" localSheetId="64">'317'!$D$89</definedName>
    <definedName name="OSRRefD22_10x_0" localSheetId="68">'321'!$D$62</definedName>
    <definedName name="OSRRefD22_10x_0" localSheetId="69">'322'!$D$56:$D$58</definedName>
    <definedName name="OSRRefD22_10x_0" localSheetId="72">'325'!$D$57</definedName>
    <definedName name="OSRRefD22_10x_0" localSheetId="59">'326'!$D$89</definedName>
    <definedName name="OSRRefD22_10x_0" localSheetId="52">'330'!$D$112:$D$113</definedName>
    <definedName name="OSRRefD22_10x_0" localSheetId="57">'331'!$D$106</definedName>
    <definedName name="OSRRefD22_10x_0" localSheetId="60">'332'!$D$73:$D$77</definedName>
    <definedName name="OSRRefD22_10x_0" localSheetId="77">'405'!$D$55:$D$56</definedName>
    <definedName name="OSRRefD22_10x_0" localSheetId="78">'406'!$D$58:$D$63</definedName>
    <definedName name="OSRRefD22_10x_0" localSheetId="79">'411'!$D$55:$D$57</definedName>
    <definedName name="OSRRefD22_10x_0" localSheetId="80">'412'!$D$57:$D$59</definedName>
    <definedName name="OSRRefD22_10x_0" localSheetId="81">'413'!$D$62</definedName>
    <definedName name="OSRRefD22_10x_0" localSheetId="82">'414'!$D$57</definedName>
    <definedName name="OSRRefD22_10x_0" localSheetId="83">'415'!$D$57</definedName>
    <definedName name="OSRRefD22_10x_0" localSheetId="84">'418'!$D$60:$D$62</definedName>
    <definedName name="OSRRefD22_10x_0" localSheetId="87">'424'!$D$50:$D$54</definedName>
    <definedName name="OSRRefD22_10x_0" localSheetId="88">'425'!$D$60</definedName>
    <definedName name="OSRRefD22_10x_0" localSheetId="92">'433'!$D$59:$D$61</definedName>
    <definedName name="OSRRefD22_10x_0" localSheetId="94">'444'!$D$58</definedName>
    <definedName name="OSRRefD22_10x_0" localSheetId="95">'450'!$D$58</definedName>
    <definedName name="OSRRefD22_10x_0" localSheetId="76">'491'!$D$70</definedName>
    <definedName name="OSRRefD22_10x_0" localSheetId="90">'492'!$D$62</definedName>
    <definedName name="OSRRefD22_10x_0" localSheetId="97">'501'!$D$53:$D$54</definedName>
    <definedName name="OSRRefD22_10x_0" localSheetId="9">'Div 2'!$D$57</definedName>
    <definedName name="OSRRefD22_10x_0" localSheetId="47">'Div 3'!$D$202:$D$203</definedName>
    <definedName name="OSRRefD22_10x_0" localSheetId="74">'Div 4'!$D$70:$D$71</definedName>
    <definedName name="OSRRefD22_10x_0" localSheetId="96">'Div 5'!$D$53:$D$54</definedName>
    <definedName name="OSRRefD22_10x_0" localSheetId="63">'Div 6'!$D$89</definedName>
    <definedName name="OSRRefD22_10x_0" localSheetId="2">Summary!$D$237:$D$238</definedName>
    <definedName name="OSRRefD22_11x_0" localSheetId="41">'201'!$D$56</definedName>
    <definedName name="OSRRefD22_11x_0" localSheetId="42">'202'!$D$54:$D$56</definedName>
    <definedName name="OSRRefD22_11x_0" localSheetId="43">'203'!$D$57</definedName>
    <definedName name="OSRRefD22_11x_0" localSheetId="48">'300'!$D$200</definedName>
    <definedName name="OSRRefD22_11x_0" localSheetId="49">'300 &amp; 317'!$D$225</definedName>
    <definedName name="OSRRefD22_11x_0" localSheetId="50">'301'!$D$58</definedName>
    <definedName name="OSRRefD22_11x_0" localSheetId="53">'307'!$D$108</definedName>
    <definedName name="OSRRefD22_11x_0" localSheetId="54">'308'!$D$99:$D$102</definedName>
    <definedName name="OSRRefD22_11x_0" localSheetId="66">'309'!$D$64</definedName>
    <definedName name="OSRRefD22_11x_0" localSheetId="65">'310'!$D$67</definedName>
    <definedName name="OSRRefD22_11x_0" localSheetId="75">'310 &amp; 491'!$D$78:$D$79</definedName>
    <definedName name="OSRRefD22_11x_0" localSheetId="55">'311'!$D$98:$D$101</definedName>
    <definedName name="OSRRefD22_11x_0" localSheetId="67">'313'!$D$64</definedName>
    <definedName name="OSRRefD22_11x_0" localSheetId="58">'315'!$D$92:$D$95</definedName>
    <definedName name="OSRRefD22_11x_0" localSheetId="64">'317'!$D$91</definedName>
    <definedName name="OSRRefD22_11x_0" localSheetId="68">'321'!$D$64</definedName>
    <definedName name="OSRRefD22_11x_0" localSheetId="69">'322'!$D$60:$D$65</definedName>
    <definedName name="OSRRefD22_11x_0" localSheetId="72">'325'!$D$59:$D$61</definedName>
    <definedName name="OSRRefD22_11x_0" localSheetId="59">'326'!$D$91</definedName>
    <definedName name="OSRRefD22_11x_0" localSheetId="52">'330'!$D$115</definedName>
    <definedName name="OSRRefD22_11x_0" localSheetId="57">'331'!$D$108</definedName>
    <definedName name="OSRRefD22_11x_0" localSheetId="60">'332'!$D$79</definedName>
    <definedName name="OSRRefD22_11x_0" localSheetId="77">'405'!$D$58</definedName>
    <definedName name="OSRRefD22_11x_0" localSheetId="78">'406'!$D$65</definedName>
    <definedName name="OSRRefD22_11x_0" localSheetId="79">'411'!$D$59:$D$63</definedName>
    <definedName name="OSRRefD22_11x_0" localSheetId="80">'412'!$D$61:$D$67</definedName>
    <definedName name="OSRRefD22_11x_0" localSheetId="82">'414'!$D$59</definedName>
    <definedName name="OSRRefD22_11x_0" localSheetId="83">'415'!$D$59:$D$61</definedName>
    <definedName name="OSRRefD22_11x_0" localSheetId="84">'418'!$D$64</definedName>
    <definedName name="OSRRefD22_11x_0" localSheetId="87">'424'!$D$56</definedName>
    <definedName name="OSRRefD22_11x_0" localSheetId="88">'425'!$D$62:$D$63</definedName>
    <definedName name="OSRRefD22_11x_0" localSheetId="92">'433'!$D$63:$D$65</definedName>
    <definedName name="OSRRefD22_11x_0" localSheetId="94">'444'!$D$60:$D$62</definedName>
    <definedName name="OSRRefD22_11x_0" localSheetId="95">'450'!$D$60:$D$61</definedName>
    <definedName name="OSRRefD22_11x_0" localSheetId="76">'491'!$D$72</definedName>
    <definedName name="OSRRefD22_11x_0" localSheetId="90">'492'!$D$64</definedName>
    <definedName name="OSRRefD22_11x_0" localSheetId="97">'501'!$D$56:$D$59</definedName>
    <definedName name="OSRRefD22_11x_0" localSheetId="9">'Div 2'!$D$59</definedName>
    <definedName name="OSRRefD22_11x_0" localSheetId="47">'Div 3'!$D$205</definedName>
    <definedName name="OSRRefD22_11x_0" localSheetId="74">'Div 4'!$D$73</definedName>
    <definedName name="OSRRefD22_11x_0" localSheetId="96">'Div 5'!$D$56:$D$59</definedName>
    <definedName name="OSRRefD22_11x_0" localSheetId="63">'Div 6'!$D$91</definedName>
    <definedName name="OSRRefD22_11x_0" localSheetId="2">Summary!$D$240:$D$241</definedName>
    <definedName name="OSRRefD22_12x_0" localSheetId="41">'201'!$D$58:$D$60</definedName>
    <definedName name="OSRRefD22_12x_0" localSheetId="42">'202'!$D$58</definedName>
    <definedName name="OSRRefD22_12x_0" localSheetId="43">'203'!$D$59:$D$61</definedName>
    <definedName name="OSRRefD22_12x_0" localSheetId="48">'300'!$D$202</definedName>
    <definedName name="OSRRefD22_12x_0" localSheetId="49">'300 &amp; 317'!$D$227</definedName>
    <definedName name="OSRRefD22_12x_0" localSheetId="50">'301'!$D$60</definedName>
    <definedName name="OSRRefD22_12x_0" localSheetId="53">'307'!$D$110</definedName>
    <definedName name="OSRRefD22_12x_0" localSheetId="54">'308'!$D$104:$D$105</definedName>
    <definedName name="OSRRefD22_12x_0" localSheetId="65">'310'!$D$69</definedName>
    <definedName name="OSRRefD22_12x_0" localSheetId="75">'310 &amp; 491'!$D$81</definedName>
    <definedName name="OSRRefD22_12x_0" localSheetId="55">'311'!$D$103:$D$104</definedName>
    <definedName name="OSRRefD22_12x_0" localSheetId="67">'313'!$D$66:$D$71</definedName>
    <definedName name="OSRRefD22_12x_0" localSheetId="58">'315'!$D$97</definedName>
    <definedName name="OSRRefD22_12x_0" localSheetId="64">'317'!$D$93</definedName>
    <definedName name="OSRRefD22_12x_0" localSheetId="69">'322'!$D$67</definedName>
    <definedName name="OSRRefD22_12x_0" localSheetId="72">'325'!$D$63:$D$65</definedName>
    <definedName name="OSRRefD22_12x_0" localSheetId="59">'326'!$D$93</definedName>
    <definedName name="OSRRefD22_12x_0" localSheetId="52">'330'!$D$117:$D$119</definedName>
    <definedName name="OSRRefD22_12x_0" localSheetId="57">'331'!$D$110</definedName>
    <definedName name="OSRRefD22_12x_0" localSheetId="60">'332'!$D$81</definedName>
    <definedName name="OSRRefD22_12x_0" localSheetId="77">'405'!$D$60:$D$62</definedName>
    <definedName name="OSRRefD22_12x_0" localSheetId="78">'406'!$D$67</definedName>
    <definedName name="OSRRefD22_12x_0" localSheetId="79">'411'!$D$65:$D$71</definedName>
    <definedName name="OSRRefD22_12x_0" localSheetId="80">'412'!$D$69</definedName>
    <definedName name="OSRRefD22_12x_0" localSheetId="82">'414'!$D$61:$D$67</definedName>
    <definedName name="OSRRefD22_12x_0" localSheetId="83">'415'!$D$63:$D$67</definedName>
    <definedName name="OSRRefD22_12x_0" localSheetId="84">'418'!$D$66:$D$72</definedName>
    <definedName name="OSRRefD22_12x_0" localSheetId="88">'425'!$D$65:$D$71</definedName>
    <definedName name="OSRRefD22_12x_0" localSheetId="92">'433'!$D$67:$D$72</definedName>
    <definedName name="OSRRefD22_12x_0" localSheetId="94">'444'!$D$64:$D$66</definedName>
    <definedName name="OSRRefD22_12x_0" localSheetId="95">'450'!$D$63:$D$65</definedName>
    <definedName name="OSRRefD22_12x_0" localSheetId="76">'491'!$D$74</definedName>
    <definedName name="OSRRefD22_12x_0" localSheetId="90">'492'!$D$66:$D$68</definedName>
    <definedName name="OSRRefD22_12x_0" localSheetId="97">'501'!$D$61</definedName>
    <definedName name="OSRRefD22_12x_0" localSheetId="9">'Div 2'!$D$61:$D$64</definedName>
    <definedName name="OSRRefD22_12x_0" localSheetId="47">'Div 3'!$D$207</definedName>
    <definedName name="OSRRefD22_12x_0" localSheetId="74">'Div 4'!$D$75</definedName>
    <definedName name="OSRRefD22_12x_0" localSheetId="96">'Div 5'!$D$61</definedName>
    <definedName name="OSRRefD22_12x_0" localSheetId="63">'Div 6'!$D$93</definedName>
    <definedName name="OSRRefD22_12x_0" localSheetId="2">Summary!$D$243</definedName>
    <definedName name="OSRRefD22_13x_0" localSheetId="41">'201'!$D$62</definedName>
    <definedName name="OSRRefD22_13x_0" localSheetId="42">'202'!$D$60</definedName>
    <definedName name="OSRRefD22_13x_0" localSheetId="43">'203'!$D$63</definedName>
    <definedName name="OSRRefD22_13x_0" localSheetId="48">'300'!$D$204</definedName>
    <definedName name="OSRRefD22_13x_0" localSheetId="49">'300 &amp; 317'!$D$229</definedName>
    <definedName name="OSRRefD22_13x_0" localSheetId="50">'301'!$D$62</definedName>
    <definedName name="OSRRefD22_13x_0" localSheetId="54">'308'!$D$107</definedName>
    <definedName name="OSRRefD22_13x_0" localSheetId="65">'310'!$D$71</definedName>
    <definedName name="OSRRefD22_13x_0" localSheetId="75">'310 &amp; 491'!$D$83</definedName>
    <definedName name="OSRRefD22_13x_0" localSheetId="55">'311'!$D$106</definedName>
    <definedName name="OSRRefD22_13x_0" localSheetId="67">'313'!$D$73</definedName>
    <definedName name="OSRRefD22_13x_0" localSheetId="58">'315'!$D$99</definedName>
    <definedName name="OSRRefD22_13x_0" localSheetId="69">'322'!$D$69</definedName>
    <definedName name="OSRRefD22_13x_0" localSheetId="72">'325'!$D$67</definedName>
    <definedName name="OSRRefD22_13x_0" localSheetId="59">'326'!$D$95:$D$96</definedName>
    <definedName name="OSRRefD22_13x_0" localSheetId="52">'330'!$D$121</definedName>
    <definedName name="OSRRefD22_13x_0" localSheetId="57">'331'!$D$112</definedName>
    <definedName name="OSRRefD22_13x_0" localSheetId="77">'405'!$D$64</definedName>
    <definedName name="OSRRefD22_13x_0" localSheetId="79">'411'!$D$73</definedName>
    <definedName name="OSRRefD22_13x_0" localSheetId="80">'412'!$D$71</definedName>
    <definedName name="OSRRefD22_13x_0" localSheetId="82">'414'!$D$69</definedName>
    <definedName name="OSRRefD22_13x_0" localSheetId="83">'415'!$D$69</definedName>
    <definedName name="OSRRefD22_13x_0" localSheetId="84">'418'!$D$74</definedName>
    <definedName name="OSRRefD22_13x_0" localSheetId="88">'425'!$D$73</definedName>
    <definedName name="OSRRefD22_13x_0" localSheetId="92">'433'!$D$74</definedName>
    <definedName name="OSRRefD22_13x_0" localSheetId="94">'444'!$D$68:$D$75</definedName>
    <definedName name="OSRRefD22_13x_0" localSheetId="95">'450'!$D$67:$D$73</definedName>
    <definedName name="OSRRefD22_13x_0" localSheetId="76">'491'!$D$76</definedName>
    <definedName name="OSRRefD22_13x_0" localSheetId="90">'492'!$D$70:$D$72</definedName>
    <definedName name="OSRRefD22_13x_0" localSheetId="9">'Div 2'!$D$66:$D$68</definedName>
    <definedName name="OSRRefD22_13x_0" localSheetId="47">'Div 3'!$D$209</definedName>
    <definedName name="OSRRefD22_13x_0" localSheetId="74">'Div 4'!$D$77</definedName>
    <definedName name="OSRRefD22_13x_0" localSheetId="2">Summary!$D$245</definedName>
    <definedName name="OSRRefD22_14x_0" localSheetId="41">'201'!$D$64</definedName>
    <definedName name="OSRRefD22_14x_0" localSheetId="43">'203'!$D$65</definedName>
    <definedName name="OSRRefD22_14x_0" localSheetId="48">'300'!$D$206</definedName>
    <definedName name="OSRRefD22_14x_0" localSheetId="49">'300 &amp; 317'!$D$231</definedName>
    <definedName name="OSRRefD22_14x_0" localSheetId="50">'301'!$D$64:$D$66</definedName>
    <definedName name="OSRRefD22_14x_0" localSheetId="54">'308'!$D$109</definedName>
    <definedName name="OSRRefD22_14x_0" localSheetId="65">'310'!$D$73:$D$75</definedName>
    <definedName name="OSRRefD22_14x_0" localSheetId="75">'310 &amp; 491'!$D$85</definedName>
    <definedName name="OSRRefD22_14x_0" localSheetId="55">'311'!$D$108</definedName>
    <definedName name="OSRRefD22_14x_0" localSheetId="67">'313'!$D$75</definedName>
    <definedName name="OSRRefD22_14x_0" localSheetId="58">'315'!$D$101:$D$102</definedName>
    <definedName name="OSRRefD22_14x_0" localSheetId="72">'325'!$D$69:$D$74</definedName>
    <definedName name="OSRRefD22_14x_0" localSheetId="59">'326'!$D$98:$D$100</definedName>
    <definedName name="OSRRefD22_14x_0" localSheetId="52">'330'!$D$123</definedName>
    <definedName name="OSRRefD22_14x_0" localSheetId="57">'331'!$D$114:$D$116</definedName>
    <definedName name="OSRRefD22_14x_0" localSheetId="77">'405'!$D$66:$D$72</definedName>
    <definedName name="OSRRefD22_14x_0" localSheetId="79">'411'!$D$75</definedName>
    <definedName name="OSRRefD22_14x_0" localSheetId="82">'414'!$D$71</definedName>
    <definedName name="OSRRefD22_14x_0" localSheetId="83">'415'!$D$71:$D$77</definedName>
    <definedName name="OSRRefD22_14x_0" localSheetId="84">'418'!$D$76</definedName>
    <definedName name="OSRRefD22_14x_0" localSheetId="88">'425'!$D$75</definedName>
    <definedName name="OSRRefD22_14x_0" localSheetId="92">'433'!$D$76</definedName>
    <definedName name="OSRRefD22_14x_0" localSheetId="94">'444'!$D$77</definedName>
    <definedName name="OSRRefD22_14x_0" localSheetId="95">'450'!$D$75</definedName>
    <definedName name="OSRRefD22_14x_0" localSheetId="76">'491'!$D$78:$D$80</definedName>
    <definedName name="OSRRefD22_14x_0" localSheetId="90">'492'!$D$74:$D$81</definedName>
    <definedName name="OSRRefD22_14x_0" localSheetId="9">'Div 2'!$D$70:$D$71</definedName>
    <definedName name="OSRRefD22_14x_0" localSheetId="47">'Div 3'!$D$211</definedName>
    <definedName name="OSRRefD22_14x_0" localSheetId="74">'Div 4'!$D$79</definedName>
    <definedName name="OSRRefD22_14x_0" localSheetId="2">Summary!$D$247</definedName>
    <definedName name="OSRRefD22_15x_0" localSheetId="41">'201'!$D$66:$D$67</definedName>
    <definedName name="OSRRefD22_15x_0" localSheetId="43">'203'!$D$67</definedName>
    <definedName name="OSRRefD22_15x_0" localSheetId="48">'300'!$D$208</definedName>
    <definedName name="OSRRefD22_15x_0" localSheetId="49">'300 &amp; 317'!$D$233</definedName>
    <definedName name="OSRRefD22_15x_0" localSheetId="50">'301'!$D$68:$D$70</definedName>
    <definedName name="OSRRefD22_15x_0" localSheetId="65">'310'!$D$77</definedName>
    <definedName name="OSRRefD22_15x_0" localSheetId="75">'310 &amp; 491'!$D$87</definedName>
    <definedName name="OSRRefD22_15x_0" localSheetId="72">'325'!$D$76</definedName>
    <definedName name="OSRRefD22_15x_0" localSheetId="59">'326'!$D$102</definedName>
    <definedName name="OSRRefD22_15x_0" localSheetId="57">'331'!$D$118:$D$119</definedName>
    <definedName name="OSRRefD22_15x_0" localSheetId="77">'405'!$D$74</definedName>
    <definedName name="OSRRefD22_15x_0" localSheetId="79">'411'!$D$77:$D$79</definedName>
    <definedName name="OSRRefD22_15x_0" localSheetId="83">'415'!$D$79</definedName>
    <definedName name="OSRRefD22_15x_0" localSheetId="88">'425'!$D$77</definedName>
    <definedName name="OSRRefD22_15x_0" localSheetId="92">'433'!$D$78:$D$79</definedName>
    <definedName name="OSRRefD22_15x_0" localSheetId="94">'444'!$D$79</definedName>
    <definedName name="OSRRefD22_15x_0" localSheetId="95">'450'!$D$77</definedName>
    <definedName name="OSRRefD22_15x_0" localSheetId="76">'491'!$D$82:$D$83</definedName>
    <definedName name="OSRRefD22_15x_0" localSheetId="90">'492'!$D$83</definedName>
    <definedName name="OSRRefD22_15x_0" localSheetId="9">'Div 2'!$D$73</definedName>
    <definedName name="OSRRefD22_15x_0" localSheetId="47">'Div 3'!$D$213</definedName>
    <definedName name="OSRRefD22_15x_0" localSheetId="74">'Div 4'!$D$81</definedName>
    <definedName name="OSRRefD22_15x_0" localSheetId="2">Summary!$D$249</definedName>
    <definedName name="OSRRefD22_16x_0" localSheetId="48">'300'!$D$210:$D$212</definedName>
    <definedName name="OSRRefD22_16x_0" localSheetId="49">'300 &amp; 317'!$D$235:$D$237</definedName>
    <definedName name="OSRRefD22_16x_0" localSheetId="50">'301'!$D$72</definedName>
    <definedName name="OSRRefD22_16x_0" localSheetId="65">'310'!$D$79:$D$82</definedName>
    <definedName name="OSRRefD22_16x_0" localSheetId="75">'310 &amp; 491'!$D$89:$D$91</definedName>
    <definedName name="OSRRefD22_16x_0" localSheetId="72">'325'!$D$78</definedName>
    <definedName name="OSRRefD22_16x_0" localSheetId="59">'326'!$D$104:$D$108</definedName>
    <definedName name="OSRRefD22_16x_0" localSheetId="57">'331'!$D$121:$D$123</definedName>
    <definedName name="OSRRefD22_16x_0" localSheetId="77">'405'!$D$76</definedName>
    <definedName name="OSRRefD22_16x_0" localSheetId="79">'411'!$D$81</definedName>
    <definedName name="OSRRefD22_16x_0" localSheetId="83">'415'!$D$81</definedName>
    <definedName name="OSRRefD22_16x_0" localSheetId="94">'444'!$D$81</definedName>
    <definedName name="OSRRefD22_16x_0" localSheetId="95">'450'!$D$79:$D$80</definedName>
    <definedName name="OSRRefD22_16x_0" localSheetId="76">'491'!$D$85:$D$89</definedName>
    <definedName name="OSRRefD22_16x_0" localSheetId="90">'492'!$D$85</definedName>
    <definedName name="OSRRefD22_16x_0" localSheetId="9">'Div 2'!$D$75:$D$78</definedName>
    <definedName name="OSRRefD22_16x_0" localSheetId="47">'Div 3'!$D$215</definedName>
    <definedName name="OSRRefD22_16x_0" localSheetId="74">'Div 4'!$D$83:$D$85</definedName>
    <definedName name="OSRRefD22_16x_0" localSheetId="2">Summary!$D$251</definedName>
    <definedName name="OSRRefD22_17x_0" localSheetId="48">'300'!$D$214:$D$216</definedName>
    <definedName name="OSRRefD22_17x_0" localSheetId="49">'300 &amp; 317'!$D$239:$D$241</definedName>
    <definedName name="OSRRefD22_17x_0" localSheetId="50">'301'!$D$74:$D$78</definedName>
    <definedName name="OSRRefD22_17x_0" localSheetId="65">'310'!$D$84:$D$85</definedName>
    <definedName name="OSRRefD22_17x_0" localSheetId="75">'310 &amp; 491'!$D$93:$D$94</definedName>
    <definedName name="OSRRefD22_17x_0" localSheetId="59">'326'!$D$110</definedName>
    <definedName name="OSRRefD22_17x_0" localSheetId="57">'331'!$D$125</definedName>
    <definedName name="OSRRefD22_17x_0" localSheetId="77">'405'!$D$78</definedName>
    <definedName name="OSRRefD22_17x_0" localSheetId="83">'415'!$D$83</definedName>
    <definedName name="OSRRefD22_17x_0" localSheetId="76">'491'!$D$91</definedName>
    <definedName name="OSRRefD22_17x_0" localSheetId="90">'492'!$D$87:$D$88</definedName>
    <definedName name="OSRRefD22_17x_0" localSheetId="9">'Div 2'!$D$80:$D$81</definedName>
    <definedName name="OSRRefD22_17x_0" localSheetId="47">'Div 3'!$D$217:$D$219</definedName>
    <definedName name="OSRRefD22_17x_0" localSheetId="74">'Div 4'!$D$87:$D$88</definedName>
    <definedName name="OSRRefD22_17x_0" localSheetId="2">Summary!$D$253</definedName>
    <definedName name="OSRRefD22_18x_0" localSheetId="48">'300'!$D$218:$D$221</definedName>
    <definedName name="OSRRefD22_18x_0" localSheetId="49">'300 &amp; 317'!$D$243:$D$246</definedName>
    <definedName name="OSRRefD22_18x_0" localSheetId="50">'301'!$D$80</definedName>
    <definedName name="OSRRefD22_18x_0" localSheetId="65">'310'!$D$87:$D$93</definedName>
    <definedName name="OSRRefD22_18x_0" localSheetId="75">'310 &amp; 491'!$D$96:$D$100</definedName>
    <definedName name="OSRRefD22_18x_0" localSheetId="59">'326'!$D$112</definedName>
    <definedName name="OSRRefD22_18x_0" localSheetId="57">'331'!$D$127:$D$131</definedName>
    <definedName name="OSRRefD22_18x_0" localSheetId="76">'491'!$D$93:$D$100</definedName>
    <definedName name="OSRRefD22_18x_0" localSheetId="9">'Div 2'!$D$83</definedName>
    <definedName name="OSRRefD22_18x_0" localSheetId="47">'Div 3'!$D$221:$D$223</definedName>
    <definedName name="OSRRefD22_18x_0" localSheetId="74">'Div 4'!$D$90:$D$94</definedName>
    <definedName name="OSRRefD22_18x_0" localSheetId="2">Summary!$D$255:$D$257</definedName>
    <definedName name="OSRRefD22_19x_0" localSheetId="48">'300'!$D$223:$D$224</definedName>
    <definedName name="OSRRefD22_19x_0" localSheetId="49">'300 &amp; 317'!$D$248:$D$249</definedName>
    <definedName name="OSRRefD22_19x_0" localSheetId="50">'301'!$D$82</definedName>
    <definedName name="OSRRefD22_19x_0" localSheetId="65">'310'!$D$95</definedName>
    <definedName name="OSRRefD22_19x_0" localSheetId="75">'310 &amp; 491'!$D$102:$D$103</definedName>
    <definedName name="OSRRefD22_19x_0" localSheetId="59">'326'!$D$114</definedName>
    <definedName name="OSRRefD22_19x_0" localSheetId="57">'331'!$D$133</definedName>
    <definedName name="OSRRefD22_19x_0" localSheetId="76">'491'!$D$102</definedName>
    <definedName name="OSRRefD22_19x_0" localSheetId="9">'Div 2'!$D$85:$D$86</definedName>
    <definedName name="OSRRefD22_19x_0" localSheetId="47">'Div 3'!$D$225:$D$229</definedName>
    <definedName name="OSRRefD22_19x_0" localSheetId="74">'Div 4'!$D$96</definedName>
    <definedName name="OSRRefD22_19x_0" localSheetId="2">Summary!$D$259:$D$261</definedName>
    <definedName name="OSRRefD22_1x_0" localSheetId="40">'200'!$D$22</definedName>
    <definedName name="OSRRefD22_1x_0" localSheetId="41">'201'!$D$30:$D$32</definedName>
    <definedName name="OSRRefD22_1x_0" localSheetId="42">'202'!$D$29:$D$32</definedName>
    <definedName name="OSRRefD22_1x_0" localSheetId="43">'203'!$D$31:$D$34</definedName>
    <definedName name="OSRRefD22_1x_0" localSheetId="44">'204'!$D$30:$D$34</definedName>
    <definedName name="OSRRefD22_1x_0" localSheetId="45">'205'!$D$29</definedName>
    <definedName name="OSRRefD22_1x_0" localSheetId="46">'206'!$D$29:$D$34</definedName>
    <definedName name="OSRRefD22_1x_0" localSheetId="48">'300'!$D$170:$D$176</definedName>
    <definedName name="OSRRefD22_1x_0" localSheetId="49">'300 &amp; 317'!$D$195:$D$201</definedName>
    <definedName name="OSRRefD22_1x_0" localSheetId="50">'301'!$D$29:$D$35</definedName>
    <definedName name="OSRRefD22_1x_0" localSheetId="51">'306'!$D$30:$D$34</definedName>
    <definedName name="OSRRefD22_1x_0" localSheetId="53">'307'!$D$81:$D$84</definedName>
    <definedName name="OSRRefD22_1x_0" localSheetId="54">'308'!$D$72:$D$76</definedName>
    <definedName name="OSRRefD22_1x_0" localSheetId="66">'309'!$D$33:$D$37</definedName>
    <definedName name="OSRRefD22_1x_0" localSheetId="65">'310'!$D$41:$D$46</definedName>
    <definedName name="OSRRefD22_1x_0" localSheetId="75">'310 &amp; 491'!$D$50:$D$56</definedName>
    <definedName name="OSRRefD22_1x_0" localSheetId="55">'311'!$D$71:$D$75</definedName>
    <definedName name="OSRRefD22_1x_0" localSheetId="67">'313'!$D$38:$D$42</definedName>
    <definedName name="OSRRefD22_1x_0" localSheetId="56">'314'!$D$64:$D$66</definedName>
    <definedName name="OSRRefD22_1x_0" localSheetId="58">'315'!$D$64:$D$68</definedName>
    <definedName name="OSRRefD22_1x_0" localSheetId="61">'316'!$D$41:$D$44</definedName>
    <definedName name="OSRRefD22_1x_0" localSheetId="64">'317'!$D$67:$D$70</definedName>
    <definedName name="OSRRefD22_1x_0" localSheetId="62">'320'!$D$37:$D$39</definedName>
    <definedName name="OSRRefD22_1x_0" localSheetId="68">'321'!$D$32:$D$36</definedName>
    <definedName name="OSRRefD22_1x_0" localSheetId="69">'322'!$D$33:$D$37</definedName>
    <definedName name="OSRRefD22_1x_0" localSheetId="72">'325'!$D$33:$D$38</definedName>
    <definedName name="OSRRefD22_1x_0" localSheetId="59">'326'!$D$68:$D$71</definedName>
    <definedName name="OSRRefD22_1x_0" localSheetId="73">'327'!$D$24</definedName>
    <definedName name="OSRRefD22_1x_0" localSheetId="52">'330'!$D$89:$D$92</definedName>
    <definedName name="OSRRefD22_1x_0" localSheetId="57">'331'!$D$82:$D$86</definedName>
    <definedName name="OSRRefD22_1x_0" localSheetId="60">'332'!$D$50:$D$53</definedName>
    <definedName name="OSRRefD22_1x_0" localSheetId="77">'405'!$D$33:$D$36</definedName>
    <definedName name="OSRRefD22_1x_0" localSheetId="78">'406'!$D$33:$D$37</definedName>
    <definedName name="OSRRefD22_1x_0" localSheetId="79">'411'!$D$30:$D$35</definedName>
    <definedName name="OSRRefD22_1x_0" localSheetId="80">'412'!$D$33:$D$38</definedName>
    <definedName name="OSRRefD22_1x_0" localSheetId="81">'413'!$D$33:$D$37</definedName>
    <definedName name="OSRRefD22_1x_0" localSheetId="82">'414'!$D$33:$D$38</definedName>
    <definedName name="OSRRefD22_1x_0" localSheetId="83">'415'!$D$33:$D$38</definedName>
    <definedName name="OSRRefD22_1x_0" localSheetId="84">'418'!$D$33:$D$38</definedName>
    <definedName name="OSRRefD22_1x_0" localSheetId="85">'420'!$D$30:$D$33</definedName>
    <definedName name="OSRRefD22_1x_0" localSheetId="86">'423'!$D$30</definedName>
    <definedName name="OSRRefD22_1x_0" localSheetId="87">'424'!$D$28:$D$31</definedName>
    <definedName name="OSRRefD22_1x_0" localSheetId="88">'425'!$D$36:$D$40</definedName>
    <definedName name="OSRRefD22_1x_0" localSheetId="91">'430'!$D$29</definedName>
    <definedName name="OSRRefD22_1x_0" localSheetId="92">'433'!$D$36:$D$41</definedName>
    <definedName name="OSRRefD22_1x_0" localSheetId="93">'435'!$D$29:$D$30</definedName>
    <definedName name="OSRRefD22_1x_0" localSheetId="94">'444'!$D$35:$D$40</definedName>
    <definedName name="OSRRefD22_1x_0" localSheetId="95">'450'!$D$35:$D$40</definedName>
    <definedName name="OSRRefD22_1x_0" localSheetId="89">'455'!$D$28:$D$29</definedName>
    <definedName name="OSRRefD22_1x_0" localSheetId="76">'491'!$D$43:$D$49</definedName>
    <definedName name="OSRRefD22_1x_0" localSheetId="90">'492'!$D$38:$D$44</definedName>
    <definedName name="OSRRefD22_1x_0" localSheetId="97">'501'!$D$30:$D$35</definedName>
    <definedName name="OSRRefD22_1x_0" localSheetId="9">'Div 2'!$D$32:$D$38</definedName>
    <definedName name="OSRRefD22_1x_0" localSheetId="47">'Div 3'!$D$175:$D$181</definedName>
    <definedName name="OSRRefD22_1x_0" localSheetId="74">'Div 4'!$D$44:$D$50</definedName>
    <definedName name="OSRRefD22_1x_0" localSheetId="96">'Div 5'!$D$30:$D$35</definedName>
    <definedName name="OSRRefD22_1x_0" localSheetId="63">'Div 6'!$D$67:$D$70</definedName>
    <definedName name="OSRRefD22_1x_0" localSheetId="2">Summary!$D$209:$D$215</definedName>
    <definedName name="OSRRefD22_20x_0" localSheetId="48">'300'!$D$226:$D$231</definedName>
    <definedName name="OSRRefD22_20x_0" localSheetId="49">'300 &amp; 317'!$D$251:$D$256</definedName>
    <definedName name="OSRRefD22_20x_0" localSheetId="50">'301'!$D$84:$D$85</definedName>
    <definedName name="OSRRefD22_20x_0" localSheetId="65">'310'!$D$97</definedName>
    <definedName name="OSRRefD22_20x_0" localSheetId="75">'310 &amp; 491'!$D$105:$D$112</definedName>
    <definedName name="OSRRefD22_20x_0" localSheetId="57">'331'!$D$135</definedName>
    <definedName name="OSRRefD22_20x_0" localSheetId="76">'491'!$D$104</definedName>
    <definedName name="OSRRefD22_20x_0" localSheetId="47">'Div 3'!$D$231:$D$232</definedName>
    <definedName name="OSRRefD22_20x_0" localSheetId="74">'Div 4'!$D$98:$D$105</definedName>
    <definedName name="OSRRefD22_20x_0" localSheetId="2">Summary!$D$263:$D$267</definedName>
    <definedName name="OSRRefD22_21x_0" localSheetId="48">'300'!$D$233:$D$234</definedName>
    <definedName name="OSRRefD22_21x_0" localSheetId="49">'300 &amp; 317'!$D$258:$D$259</definedName>
    <definedName name="OSRRefD22_21x_0" localSheetId="50">'301'!$D$87</definedName>
    <definedName name="OSRRefD22_21x_0" localSheetId="65">'310'!$D$99</definedName>
    <definedName name="OSRRefD22_21x_0" localSheetId="75">'310 &amp; 491'!$D$114</definedName>
    <definedName name="OSRRefD22_21x_0" localSheetId="57">'331'!$D$137:$D$138</definedName>
    <definedName name="OSRRefD22_21x_0" localSheetId="76">'491'!$D$106:$D$108</definedName>
    <definedName name="OSRRefD22_21x_0" localSheetId="47">'Div 3'!$D$234:$D$240</definedName>
    <definedName name="OSRRefD22_21x_0" localSheetId="74">'Div 4'!$D$107</definedName>
    <definedName name="OSRRefD22_21x_0" localSheetId="2">Summary!$D$269:$D$270</definedName>
    <definedName name="OSRRefD22_22x_0" localSheetId="48">'300'!$D$236</definedName>
    <definedName name="OSRRefD22_22x_0" localSheetId="49">'300 &amp; 317'!$D$261</definedName>
    <definedName name="OSRRefD22_22x_0" localSheetId="75">'310 &amp; 491'!$D$116</definedName>
    <definedName name="OSRRefD22_22x_0" localSheetId="57">'331'!$D$140</definedName>
    <definedName name="OSRRefD22_22x_0" localSheetId="76">'491'!$D$110</definedName>
    <definedName name="OSRRefD22_22x_0" localSheetId="47">'Div 3'!$D$242:$D$243</definedName>
    <definedName name="OSRRefD22_22x_0" localSheetId="74">'Div 4'!$D$109</definedName>
    <definedName name="OSRRefD22_22x_0" localSheetId="2">Summary!$D$272:$D$279</definedName>
    <definedName name="OSRRefD22_23x_0" localSheetId="48">'300'!$D$238:$D$240</definedName>
    <definedName name="OSRRefD22_23x_0" localSheetId="49">'300 &amp; 317'!$D$263:$D$265</definedName>
    <definedName name="OSRRefD22_23x_0" localSheetId="75">'310 &amp; 491'!$D$118:$D$120</definedName>
    <definedName name="OSRRefD22_23x_0" localSheetId="47">'Div 3'!$D$245</definedName>
    <definedName name="OSRRefD22_23x_0" localSheetId="74">'Div 4'!$D$111:$D$113</definedName>
    <definedName name="OSRRefD22_23x_0" localSheetId="2">Summary!$D$281:$D$282</definedName>
    <definedName name="OSRRefD22_24x_0" localSheetId="48">'300'!$D$242</definedName>
    <definedName name="OSRRefD22_24x_0" localSheetId="49">'300 &amp; 317'!$D$267</definedName>
    <definedName name="OSRRefD22_24x_0" localSheetId="75">'310 &amp; 491'!$D$122</definedName>
    <definedName name="OSRRefD22_24x_0" localSheetId="47">'Div 3'!$D$247:$D$249</definedName>
    <definedName name="OSRRefD22_24x_0" localSheetId="74">'Div 4'!$D$115</definedName>
    <definedName name="OSRRefD22_24x_0" localSheetId="2">Summary!$D$284</definedName>
    <definedName name="OSRRefD22_25x_0" localSheetId="47">'Div 3'!$D$251</definedName>
    <definedName name="OSRRefD22_25x_0" localSheetId="2">Summary!$D$286:$D$288</definedName>
    <definedName name="OSRRefD22_26x_0" localSheetId="2">Summary!$D$290</definedName>
    <definedName name="OSRRefD22_2x_0" localSheetId="40">'200'!$D$24</definedName>
    <definedName name="OSRRefD22_2x_0" localSheetId="41">'201'!$D$34</definedName>
    <definedName name="OSRRefD22_2x_0" localSheetId="42">'202'!$D$34</definedName>
    <definedName name="OSRRefD22_2x_0" localSheetId="43">'203'!$D$36</definedName>
    <definedName name="OSRRefD22_2x_0" localSheetId="44">'204'!$D$36</definedName>
    <definedName name="OSRRefD22_2x_0" localSheetId="45">'205'!$D$31</definedName>
    <definedName name="OSRRefD22_2x_0" localSheetId="46">'206'!$D$36</definedName>
    <definedName name="OSRRefD22_2x_0" localSheetId="48">'300'!$D$178</definedName>
    <definedName name="OSRRefD22_2x_0" localSheetId="49">'300 &amp; 317'!$D$203</definedName>
    <definedName name="OSRRefD22_2x_0" localSheetId="50">'301'!$D$37</definedName>
    <definedName name="OSRRefD22_2x_0" localSheetId="51">'306'!$D$36</definedName>
    <definedName name="OSRRefD22_2x_0" localSheetId="53">'307'!$D$86</definedName>
    <definedName name="OSRRefD22_2x_0" localSheetId="54">'308'!$D$78</definedName>
    <definedName name="OSRRefD22_2x_0" localSheetId="66">'309'!$D$39</definedName>
    <definedName name="OSRRefD22_2x_0" localSheetId="65">'310'!$D$48</definedName>
    <definedName name="OSRRefD22_2x_0" localSheetId="75">'310 &amp; 491'!$D$58</definedName>
    <definedName name="OSRRefD22_2x_0" localSheetId="55">'311'!$D$77</definedName>
    <definedName name="OSRRefD22_2x_0" localSheetId="67">'313'!$D$44</definedName>
    <definedName name="OSRRefD22_2x_0" localSheetId="56">'314'!$D$68</definedName>
    <definedName name="OSRRefD22_2x_0" localSheetId="58">'315'!$D$70</definedName>
    <definedName name="OSRRefD22_2x_0" localSheetId="61">'316'!$D$46</definedName>
    <definedName name="OSRRefD22_2x_0" localSheetId="64">'317'!$D$72</definedName>
    <definedName name="OSRRefD22_2x_0" localSheetId="62">'320'!$D$41</definedName>
    <definedName name="OSRRefD22_2x_0" localSheetId="68">'321'!$D$38</definedName>
    <definedName name="OSRRefD22_2x_0" localSheetId="69">'322'!$D$39</definedName>
    <definedName name="OSRRefD22_2x_0" localSheetId="72">'325'!$D$40</definedName>
    <definedName name="OSRRefD22_2x_0" localSheetId="59">'326'!$D$73</definedName>
    <definedName name="OSRRefD22_2x_0" localSheetId="73">'327'!$D$26</definedName>
    <definedName name="OSRRefD22_2x_0" localSheetId="52">'330'!$D$94</definedName>
    <definedName name="OSRRefD22_2x_0" localSheetId="57">'331'!$D$88</definedName>
    <definedName name="OSRRefD22_2x_0" localSheetId="60">'332'!$D$55</definedName>
    <definedName name="OSRRefD22_2x_0" localSheetId="77">'405'!$D$38</definedName>
    <definedName name="OSRRefD22_2x_0" localSheetId="78">'406'!$D$39</definedName>
    <definedName name="OSRRefD22_2x_0" localSheetId="79">'411'!$D$37</definedName>
    <definedName name="OSRRefD22_2x_0" localSheetId="80">'412'!$D$40</definedName>
    <definedName name="OSRRefD22_2x_0" localSheetId="81">'413'!$D$39</definedName>
    <definedName name="OSRRefD22_2x_0" localSheetId="82">'414'!$D$40</definedName>
    <definedName name="OSRRefD22_2x_0" localSheetId="83">'415'!$D$40</definedName>
    <definedName name="OSRRefD22_2x_0" localSheetId="84">'418'!$D$40</definedName>
    <definedName name="OSRRefD22_2x_0" localSheetId="85">'420'!$D$35</definedName>
    <definedName name="OSRRefD22_2x_0" localSheetId="86">'423'!$D$32</definedName>
    <definedName name="OSRRefD22_2x_0" localSheetId="87">'424'!$D$33</definedName>
    <definedName name="OSRRefD22_2x_0" localSheetId="88">'425'!$D$42</definedName>
    <definedName name="OSRRefD22_2x_0" localSheetId="91">'430'!$D$31</definedName>
    <definedName name="OSRRefD22_2x_0" localSheetId="92">'433'!$D$43</definedName>
    <definedName name="OSRRefD22_2x_0" localSheetId="93">'435'!$D$32</definedName>
    <definedName name="OSRRefD22_2x_0" localSheetId="94">'444'!$D$42</definedName>
    <definedName name="OSRRefD22_2x_0" localSheetId="95">'450'!$D$42</definedName>
    <definedName name="OSRRefD22_2x_0" localSheetId="89">'455'!$D$31</definedName>
    <definedName name="OSRRefD22_2x_0" localSheetId="76">'491'!$D$51</definedName>
    <definedName name="OSRRefD22_2x_0" localSheetId="90">'492'!$D$46</definedName>
    <definedName name="OSRRefD22_2x_0" localSheetId="97">'501'!$D$37</definedName>
    <definedName name="OSRRefD22_2x_0" localSheetId="9">'Div 2'!$D$40</definedName>
    <definedName name="OSRRefD22_2x_0" localSheetId="47">'Div 3'!$D$183</definedName>
    <definedName name="OSRRefD22_2x_0" localSheetId="74">'Div 4'!$D$52</definedName>
    <definedName name="OSRRefD22_2x_0" localSheetId="96">'Div 5'!$D$37</definedName>
    <definedName name="OSRRefD22_2x_0" localSheetId="63">'Div 6'!$D$72</definedName>
    <definedName name="OSRRefD22_2x_0" localSheetId="2">Summary!$D$217</definedName>
    <definedName name="OSRRefD22_3x_0" localSheetId="40">'200'!$D$26:$D$27</definedName>
    <definedName name="OSRRefD22_3x_0" localSheetId="41">'201'!$D$36</definedName>
    <definedName name="OSRRefD22_3x_0" localSheetId="42">'202'!$D$36</definedName>
    <definedName name="OSRRefD22_3x_0" localSheetId="43">'203'!$D$38</definedName>
    <definedName name="OSRRefD22_3x_0" localSheetId="44">'204'!$D$38:$D$39</definedName>
    <definedName name="OSRRefD22_3x_0" localSheetId="45">'205'!$D$33</definedName>
    <definedName name="OSRRefD22_3x_0" localSheetId="46">'206'!$D$38</definedName>
    <definedName name="OSRRefD22_3x_0" localSheetId="48">'300'!$D$180:$D$181</definedName>
    <definedName name="OSRRefD22_3x_0" localSheetId="49">'300 &amp; 317'!$D$205:$D$206</definedName>
    <definedName name="OSRRefD22_3x_0" localSheetId="50">'301'!$D$39:$D$40</definedName>
    <definedName name="OSRRefD22_3x_0" localSheetId="51">'306'!$D$38</definedName>
    <definedName name="OSRRefD22_3x_0" localSheetId="53">'307'!$D$88</definedName>
    <definedName name="OSRRefD22_3x_0" localSheetId="54">'308'!$D$80:$D$81</definedName>
    <definedName name="OSRRefD22_3x_0" localSheetId="66">'309'!$D$41</definedName>
    <definedName name="OSRRefD22_3x_0" localSheetId="65">'310'!$D$50</definedName>
    <definedName name="OSRRefD22_3x_0" localSheetId="75">'310 &amp; 491'!$D$60</definedName>
    <definedName name="OSRRefD22_3x_0" localSheetId="55">'311'!$D$79:$D$80</definedName>
    <definedName name="OSRRefD22_3x_0" localSheetId="67">'313'!$D$46</definedName>
    <definedName name="OSRRefD22_3x_0" localSheetId="56">'314'!$D$70:$D$71</definedName>
    <definedName name="OSRRefD22_3x_0" localSheetId="58">'315'!$D$72:$D$73</definedName>
    <definedName name="OSRRefD22_3x_0" localSheetId="61">'316'!$D$48</definedName>
    <definedName name="OSRRefD22_3x_0" localSheetId="64">'317'!$D$74</definedName>
    <definedName name="OSRRefD22_3x_0" localSheetId="62">'320'!$D$43</definedName>
    <definedName name="OSRRefD22_3x_0" localSheetId="68">'321'!$D$40</definedName>
    <definedName name="OSRRefD22_3x_0" localSheetId="69">'322'!$D$41</definedName>
    <definedName name="OSRRefD22_3x_0" localSheetId="72">'325'!$D$42</definedName>
    <definedName name="OSRRefD22_3x_0" localSheetId="59">'326'!$D$75</definedName>
    <definedName name="OSRRefD22_3x_0" localSheetId="52">'330'!$D$96</definedName>
    <definedName name="OSRRefD22_3x_0" localSheetId="57">'331'!$D$90</definedName>
    <definedName name="OSRRefD22_3x_0" localSheetId="60">'332'!$D$57</definedName>
    <definedName name="OSRRefD22_3x_0" localSheetId="77">'405'!$D$40</definedName>
    <definedName name="OSRRefD22_3x_0" localSheetId="78">'406'!$D$41</definedName>
    <definedName name="OSRRefD22_3x_0" localSheetId="79">'411'!$D$39:$D$41</definedName>
    <definedName name="OSRRefD22_3x_0" localSheetId="80">'412'!$D$42</definedName>
    <definedName name="OSRRefD22_3x_0" localSheetId="81">'413'!$D$41</definedName>
    <definedName name="OSRRefD22_3x_0" localSheetId="82">'414'!$D$42</definedName>
    <definedName name="OSRRefD22_3x_0" localSheetId="83">'415'!$D$42</definedName>
    <definedName name="OSRRefD22_3x_0" localSheetId="84">'418'!$D$42</definedName>
    <definedName name="OSRRefD22_3x_0" localSheetId="85">'420'!$D$37</definedName>
    <definedName name="OSRRefD22_3x_0" localSheetId="86">'423'!$D$34</definedName>
    <definedName name="OSRRefD22_3x_0" localSheetId="87">'424'!$D$35</definedName>
    <definedName name="OSRRefD22_3x_0" localSheetId="88">'425'!$D$44</definedName>
    <definedName name="OSRRefD22_3x_0" localSheetId="91">'430'!$D$33</definedName>
    <definedName name="OSRRefD22_3x_0" localSheetId="92">'433'!$D$45</definedName>
    <definedName name="OSRRefD22_3x_0" localSheetId="93">'435'!$D$34</definedName>
    <definedName name="OSRRefD22_3x_0" localSheetId="94">'444'!$D$44</definedName>
    <definedName name="OSRRefD22_3x_0" localSheetId="95">'450'!$D$44</definedName>
    <definedName name="OSRRefD22_3x_0" localSheetId="76">'491'!$D$53</definedName>
    <definedName name="OSRRefD22_3x_0" localSheetId="90">'492'!$D$48</definedName>
    <definedName name="OSRRefD22_3x_0" localSheetId="97">'501'!$D$39</definedName>
    <definedName name="OSRRefD22_3x_0" localSheetId="9">'Div 2'!$D$42</definedName>
    <definedName name="OSRRefD22_3x_0" localSheetId="47">'Div 3'!$D$185:$D$186</definedName>
    <definedName name="OSRRefD22_3x_0" localSheetId="74">'Div 4'!$D$54</definedName>
    <definedName name="OSRRefD22_3x_0" localSheetId="96">'Div 5'!$D$39</definedName>
    <definedName name="OSRRefD22_3x_0" localSheetId="63">'Div 6'!$D$74</definedName>
    <definedName name="OSRRefD22_3x_0" localSheetId="2">Summary!$D$219:$D$220</definedName>
    <definedName name="OSRRefD22_4x_0" localSheetId="41">'201'!$D$38</definedName>
    <definedName name="OSRRefD22_4x_0" localSheetId="42">'202'!$D$38</definedName>
    <definedName name="OSRRefD22_4x_0" localSheetId="43">'203'!$D$40</definedName>
    <definedName name="OSRRefD22_4x_0" localSheetId="44">'204'!$D$41</definedName>
    <definedName name="OSRRefD22_4x_0" localSheetId="45">'205'!$D$35:$D$36</definedName>
    <definedName name="OSRRefD22_4x_0" localSheetId="46">'206'!$D$40</definedName>
    <definedName name="OSRRefD22_4x_0" localSheetId="48">'300'!$D$183</definedName>
    <definedName name="OSRRefD22_4x_0" localSheetId="49">'300 &amp; 317'!$D$208</definedName>
    <definedName name="OSRRefD22_4x_0" localSheetId="50">'301'!$D$42</definedName>
    <definedName name="OSRRefD22_4x_0" localSheetId="51">'306'!$D$40</definedName>
    <definedName name="OSRRefD22_4x_0" localSheetId="53">'307'!$D$90:$D$91</definedName>
    <definedName name="OSRRefD22_4x_0" localSheetId="54">'308'!$D$83</definedName>
    <definedName name="OSRRefD22_4x_0" localSheetId="66">'309'!$D$43</definedName>
    <definedName name="OSRRefD22_4x_0" localSheetId="65">'310'!$D$52</definedName>
    <definedName name="OSRRefD22_4x_0" localSheetId="75">'310 &amp; 491'!$D$62</definedName>
    <definedName name="OSRRefD22_4x_0" localSheetId="55">'311'!$D$82</definedName>
    <definedName name="OSRRefD22_4x_0" localSheetId="67">'313'!$D$48</definedName>
    <definedName name="OSRRefD22_4x_0" localSheetId="56">'314'!$D$73</definedName>
    <definedName name="OSRRefD22_4x_0" localSheetId="58">'315'!$D$75</definedName>
    <definedName name="OSRRefD22_4x_0" localSheetId="61">'316'!$D$50</definedName>
    <definedName name="OSRRefD22_4x_0" localSheetId="64">'317'!$D$76</definedName>
    <definedName name="OSRRefD22_4x_0" localSheetId="62">'320'!$D$45:$D$46</definedName>
    <definedName name="OSRRefD22_4x_0" localSheetId="68">'321'!$D$42</definedName>
    <definedName name="OSRRefD22_4x_0" localSheetId="69">'322'!$D$43</definedName>
    <definedName name="OSRRefD22_4x_0" localSheetId="72">'325'!$D$44</definedName>
    <definedName name="OSRRefD22_4x_0" localSheetId="59">'326'!$D$77</definedName>
    <definedName name="OSRRefD22_4x_0" localSheetId="52">'330'!$D$98:$D$99</definedName>
    <definedName name="OSRRefD22_4x_0" localSheetId="57">'331'!$D$92</definedName>
    <definedName name="OSRRefD22_4x_0" localSheetId="60">'332'!$D$59</definedName>
    <definedName name="OSRRefD22_4x_0" localSheetId="77">'405'!$D$42</definedName>
    <definedName name="OSRRefD22_4x_0" localSheetId="78">'406'!$D$43</definedName>
    <definedName name="OSRRefD22_4x_0" localSheetId="79">'411'!$D$43</definedName>
    <definedName name="OSRRefD22_4x_0" localSheetId="80">'412'!$D$44</definedName>
    <definedName name="OSRRefD22_4x_0" localSheetId="81">'413'!$D$43</definedName>
    <definedName name="OSRRefD22_4x_0" localSheetId="82">'414'!$D$44</definedName>
    <definedName name="OSRRefD22_4x_0" localSheetId="83">'415'!$D$44</definedName>
    <definedName name="OSRRefD22_4x_0" localSheetId="84">'418'!$D$44</definedName>
    <definedName name="OSRRefD22_4x_0" localSheetId="86">'423'!$D$36</definedName>
    <definedName name="OSRRefD22_4x_0" localSheetId="87">'424'!$D$37</definedName>
    <definedName name="OSRRefD22_4x_0" localSheetId="88">'425'!$D$46</definedName>
    <definedName name="OSRRefD22_4x_0" localSheetId="91">'430'!$D$35</definedName>
    <definedName name="OSRRefD22_4x_0" localSheetId="92">'433'!$D$47</definedName>
    <definedName name="OSRRefD22_4x_0" localSheetId="93">'435'!$D$36</definedName>
    <definedName name="OSRRefD22_4x_0" localSheetId="94">'444'!$D$46</definedName>
    <definedName name="OSRRefD22_4x_0" localSheetId="95">'450'!$D$46</definedName>
    <definedName name="OSRRefD22_4x_0" localSheetId="76">'491'!$D$55</definedName>
    <definedName name="OSRRefD22_4x_0" localSheetId="90">'492'!$D$50</definedName>
    <definedName name="OSRRefD22_4x_0" localSheetId="97">'501'!$D$41</definedName>
    <definedName name="OSRRefD22_4x_0" localSheetId="9">'Div 2'!$D$44</definedName>
    <definedName name="OSRRefD22_4x_0" localSheetId="47">'Div 3'!$D$188</definedName>
    <definedName name="OSRRefD22_4x_0" localSheetId="74">'Div 4'!$D$56</definedName>
    <definedName name="OSRRefD22_4x_0" localSheetId="96">'Div 5'!$D$41</definedName>
    <definedName name="OSRRefD22_4x_0" localSheetId="63">'Div 6'!$D$76</definedName>
    <definedName name="OSRRefD22_4x_0" localSheetId="2">Summary!$D$222</definedName>
    <definedName name="OSRRefD22_5x_0" localSheetId="41">'201'!$D$40</definedName>
    <definedName name="OSRRefD22_5x_0" localSheetId="42">'202'!$D$40</definedName>
    <definedName name="OSRRefD22_5x_0" localSheetId="43">'203'!$D$42</definedName>
    <definedName name="OSRRefD22_5x_0" localSheetId="44">'204'!$D$43</definedName>
    <definedName name="OSRRefD22_5x_0" localSheetId="45">'205'!$D$38</definedName>
    <definedName name="OSRRefD22_5x_0" localSheetId="46">'206'!$D$42:$D$43</definedName>
    <definedName name="OSRRefD22_5x_0" localSheetId="48">'300'!$D$185:$D$186</definedName>
    <definedName name="OSRRefD22_5x_0" localSheetId="49">'300 &amp; 317'!$D$210:$D$211</definedName>
    <definedName name="OSRRefD22_5x_0" localSheetId="50">'301'!$D$44:$D$45</definedName>
    <definedName name="OSRRefD22_5x_0" localSheetId="51">'306'!$D$42</definedName>
    <definedName name="OSRRefD22_5x_0" localSheetId="53">'307'!$D$93</definedName>
    <definedName name="OSRRefD22_5x_0" localSheetId="54">'308'!$D$85</definedName>
    <definedName name="OSRRefD22_5x_0" localSheetId="66">'309'!$D$45</definedName>
    <definedName name="OSRRefD22_5x_0" localSheetId="65">'310'!$D$54:$D$55</definedName>
    <definedName name="OSRRefD22_5x_0" localSheetId="75">'310 &amp; 491'!$D$64:$D$66</definedName>
    <definedName name="OSRRefD22_5x_0" localSheetId="55">'311'!$D$84</definedName>
    <definedName name="OSRRefD22_5x_0" localSheetId="67">'313'!$D$50</definedName>
    <definedName name="OSRRefD22_5x_0" localSheetId="56">'314'!$D$75</definedName>
    <definedName name="OSRRefD22_5x_0" localSheetId="58">'315'!$D$77:$D$78</definedName>
    <definedName name="OSRRefD22_5x_0" localSheetId="61">'316'!$D$52:$D$53</definedName>
    <definedName name="OSRRefD22_5x_0" localSheetId="64">'317'!$D$78</definedName>
    <definedName name="OSRRefD22_5x_0" localSheetId="62">'320'!$D$48</definedName>
    <definedName name="OSRRefD22_5x_0" localSheetId="68">'321'!$D$44</definedName>
    <definedName name="OSRRefD22_5x_0" localSheetId="69">'322'!$D$45</definedName>
    <definedName name="OSRRefD22_5x_0" localSheetId="72">'325'!$D$46:$D$47</definedName>
    <definedName name="OSRRefD22_5x_0" localSheetId="59">'326'!$D$79</definedName>
    <definedName name="OSRRefD22_5x_0" localSheetId="52">'330'!$D$101</definedName>
    <definedName name="OSRRefD22_5x_0" localSheetId="57">'331'!$D$94:$D$95</definedName>
    <definedName name="OSRRefD22_5x_0" localSheetId="60">'332'!$D$61:$D$62</definedName>
    <definedName name="OSRRefD22_5x_0" localSheetId="77">'405'!$D$44:$D$45</definedName>
    <definedName name="OSRRefD22_5x_0" localSheetId="78">'406'!$D$45</definedName>
    <definedName name="OSRRefD22_5x_0" localSheetId="79">'411'!$D$45</definedName>
    <definedName name="OSRRefD22_5x_0" localSheetId="80">'412'!$D$46</definedName>
    <definedName name="OSRRefD22_5x_0" localSheetId="81">'413'!$D$45</definedName>
    <definedName name="OSRRefD22_5x_0" localSheetId="82">'414'!$D$46</definedName>
    <definedName name="OSRRefD22_5x_0" localSheetId="83">'415'!$D$46:$D$47</definedName>
    <definedName name="OSRRefD22_5x_0" localSheetId="84">'418'!$D$46:$D$47</definedName>
    <definedName name="OSRRefD22_5x_0" localSheetId="86">'423'!$D$38</definedName>
    <definedName name="OSRRefD22_5x_0" localSheetId="87">'424'!$D$39</definedName>
    <definedName name="OSRRefD22_5x_0" localSheetId="88">'425'!$D$48</definedName>
    <definedName name="OSRRefD22_5x_0" localSheetId="91">'430'!$D$37</definedName>
    <definedName name="OSRRefD22_5x_0" localSheetId="92">'433'!$D$49</definedName>
    <definedName name="OSRRefD22_5x_0" localSheetId="93">'435'!$D$38</definedName>
    <definedName name="OSRRefD22_5x_0" localSheetId="94">'444'!$D$48</definedName>
    <definedName name="OSRRefD22_5x_0" localSheetId="95">'450'!$D$48</definedName>
    <definedName name="OSRRefD22_5x_0" localSheetId="76">'491'!$D$57:$D$59</definedName>
    <definedName name="OSRRefD22_5x_0" localSheetId="90">'492'!$D$52</definedName>
    <definedName name="OSRRefD22_5x_0" localSheetId="97">'501'!$D$43</definedName>
    <definedName name="OSRRefD22_5x_0" localSheetId="9">'Div 2'!$D$46:$D$47</definedName>
    <definedName name="OSRRefD22_5x_0" localSheetId="47">'Div 3'!$D$190:$D$191</definedName>
    <definedName name="OSRRefD22_5x_0" localSheetId="74">'Div 4'!$D$58:$D$60</definedName>
    <definedName name="OSRRefD22_5x_0" localSheetId="96">'Div 5'!$D$43</definedName>
    <definedName name="OSRRefD22_5x_0" localSheetId="63">'Div 6'!$D$78</definedName>
    <definedName name="OSRRefD22_5x_0" localSheetId="2">Summary!$D$224:$D$226</definedName>
    <definedName name="OSRRefD22_6x_0" localSheetId="41">'201'!$D$42</definedName>
    <definedName name="OSRRefD22_6x_0" localSheetId="42">'202'!$D$42</definedName>
    <definedName name="OSRRefD22_6x_0" localSheetId="43">'203'!$D$44</definedName>
    <definedName name="OSRRefD22_6x_0" localSheetId="44">'204'!$D$45:$D$47</definedName>
    <definedName name="OSRRefD22_6x_0" localSheetId="45">'205'!$D$40:$D$41</definedName>
    <definedName name="OSRRefD22_6x_0" localSheetId="46">'206'!$D$45</definedName>
    <definedName name="OSRRefD22_6x_0" localSheetId="48">'300'!$D$188:$D$189</definedName>
    <definedName name="OSRRefD22_6x_0" localSheetId="49">'300 &amp; 317'!$D$213:$D$214</definedName>
    <definedName name="OSRRefD22_6x_0" localSheetId="50">'301'!$D$47:$D$48</definedName>
    <definedName name="OSRRefD22_6x_0" localSheetId="51">'306'!$D$44:$D$45</definedName>
    <definedName name="OSRRefD22_6x_0" localSheetId="53">'307'!$D$95</definedName>
    <definedName name="OSRRefD22_6x_0" localSheetId="54">'308'!$D$87:$D$88</definedName>
    <definedName name="OSRRefD22_6x_0" localSheetId="66">'309'!$D$47</definedName>
    <definedName name="OSRRefD22_6x_0" localSheetId="65">'310'!$D$57</definedName>
    <definedName name="OSRRefD22_6x_0" localSheetId="75">'310 &amp; 491'!$D$68</definedName>
    <definedName name="OSRRefD22_6x_0" localSheetId="55">'311'!$D$86:$D$87</definedName>
    <definedName name="OSRRefD22_6x_0" localSheetId="67">'313'!$D$52</definedName>
    <definedName name="OSRRefD22_6x_0" localSheetId="56">'314'!$D$77:$D$78</definedName>
    <definedName name="OSRRefD22_6x_0" localSheetId="58">'315'!$D$80</definedName>
    <definedName name="OSRRefD22_6x_0" localSheetId="61">'316'!$D$55</definedName>
    <definedName name="OSRRefD22_6x_0" localSheetId="64">'317'!$D$80</definedName>
    <definedName name="OSRRefD22_6x_0" localSheetId="62">'320'!$D$50</definedName>
    <definedName name="OSRRefD22_6x_0" localSheetId="68">'321'!$D$46:$D$48</definedName>
    <definedName name="OSRRefD22_6x_0" localSheetId="69">'322'!$D$47</definedName>
    <definedName name="OSRRefD22_6x_0" localSheetId="72">'325'!$D$49</definedName>
    <definedName name="OSRRefD22_6x_0" localSheetId="59">'326'!$D$81</definedName>
    <definedName name="OSRRefD22_6x_0" localSheetId="52">'330'!$D$103</definedName>
    <definedName name="OSRRefD22_6x_0" localSheetId="57">'331'!$D$97</definedName>
    <definedName name="OSRRefD22_6x_0" localSheetId="60">'332'!$D$64</definedName>
    <definedName name="OSRRefD22_6x_0" localSheetId="77">'405'!$D$47</definedName>
    <definedName name="OSRRefD22_6x_0" localSheetId="78">'406'!$D$47</definedName>
    <definedName name="OSRRefD22_6x_0" localSheetId="79">'411'!$D$47</definedName>
    <definedName name="OSRRefD22_6x_0" localSheetId="80">'412'!$D$48</definedName>
    <definedName name="OSRRefD22_6x_0" localSheetId="81">'413'!$D$47</definedName>
    <definedName name="OSRRefD22_6x_0" localSheetId="82">'414'!$D$48</definedName>
    <definedName name="OSRRefD22_6x_0" localSheetId="83">'415'!$D$49</definedName>
    <definedName name="OSRRefD22_6x_0" localSheetId="84">'418'!$D$49</definedName>
    <definedName name="OSRRefD22_6x_0" localSheetId="87">'424'!$D$41</definedName>
    <definedName name="OSRRefD22_6x_0" localSheetId="88">'425'!$D$50</definedName>
    <definedName name="OSRRefD22_6x_0" localSheetId="91">'430'!$D$39:$D$40</definedName>
    <definedName name="OSRRefD22_6x_0" localSheetId="92">'433'!$D$51</definedName>
    <definedName name="OSRRefD22_6x_0" localSheetId="93">'435'!$D$40:$D$43</definedName>
    <definedName name="OSRRefD22_6x_0" localSheetId="94">'444'!$D$50</definedName>
    <definedName name="OSRRefD22_6x_0" localSheetId="95">'450'!$D$50</definedName>
    <definedName name="OSRRefD22_6x_0" localSheetId="76">'491'!$D$61</definedName>
    <definedName name="OSRRefD22_6x_0" localSheetId="90">'492'!$D$54</definedName>
    <definedName name="OSRRefD22_6x_0" localSheetId="97">'501'!$D$45</definedName>
    <definedName name="OSRRefD22_6x_0" localSheetId="9">'Div 2'!$D$49</definedName>
    <definedName name="OSRRefD22_6x_0" localSheetId="47">'Div 3'!$D$193:$D$194</definedName>
    <definedName name="OSRRefD22_6x_0" localSheetId="74">'Div 4'!$D$62</definedName>
    <definedName name="OSRRefD22_6x_0" localSheetId="96">'Div 5'!$D$45</definedName>
    <definedName name="OSRRefD22_6x_0" localSheetId="63">'Div 6'!$D$80</definedName>
    <definedName name="OSRRefD22_6x_0" localSheetId="2">Summary!$D$228:$D$229</definedName>
    <definedName name="OSRRefD22_7x_0" localSheetId="41">'201'!$D$44</definedName>
    <definedName name="OSRRefD22_7x_0" localSheetId="42">'202'!$D$44</definedName>
    <definedName name="OSRRefD22_7x_0" localSheetId="43">'203'!$D$46</definedName>
    <definedName name="OSRRefD22_7x_0" localSheetId="44">'204'!$D$49:$D$50</definedName>
    <definedName name="OSRRefD22_7x_0" localSheetId="45">'205'!$D$43</definedName>
    <definedName name="OSRRefD22_7x_0" localSheetId="46">'206'!$D$47</definedName>
    <definedName name="OSRRefD22_7x_0" localSheetId="48">'300'!$D$191</definedName>
    <definedName name="OSRRefD22_7x_0" localSheetId="49">'300 &amp; 317'!$D$216</definedName>
    <definedName name="OSRRefD22_7x_0" localSheetId="50">'301'!$D$50</definedName>
    <definedName name="OSRRefD22_7x_0" localSheetId="51">'306'!$D$47:$D$50</definedName>
    <definedName name="OSRRefD22_7x_0" localSheetId="53">'307'!$D$97</definedName>
    <definedName name="OSRRefD22_7x_0" localSheetId="54">'308'!$D$90</definedName>
    <definedName name="OSRRefD22_7x_0" localSheetId="66">'309'!$D$49:$D$50</definedName>
    <definedName name="OSRRefD22_7x_0" localSheetId="65">'310'!$D$59</definedName>
    <definedName name="OSRRefD22_7x_0" localSheetId="75">'310 &amp; 491'!$D$70</definedName>
    <definedName name="OSRRefD22_7x_0" localSheetId="55">'311'!$D$89</definedName>
    <definedName name="OSRRefD22_7x_0" localSheetId="67">'313'!$D$54</definedName>
    <definedName name="OSRRefD22_7x_0" localSheetId="56">'314'!$D$80</definedName>
    <definedName name="OSRRefD22_7x_0" localSheetId="58">'315'!$D$82</definedName>
    <definedName name="OSRRefD22_7x_0" localSheetId="61">'316'!$D$57:$D$60</definedName>
    <definedName name="OSRRefD22_7x_0" localSheetId="64">'317'!$D$82</definedName>
    <definedName name="OSRRefD22_7x_0" localSheetId="62">'320'!$D$52:$D$53</definedName>
    <definedName name="OSRRefD22_7x_0" localSheetId="68">'321'!$D$50</definedName>
    <definedName name="OSRRefD22_7x_0" localSheetId="69">'322'!$D$49</definedName>
    <definedName name="OSRRefD22_7x_0" localSheetId="72">'325'!$D$51</definedName>
    <definedName name="OSRRefD22_7x_0" localSheetId="59">'326'!$D$83</definedName>
    <definedName name="OSRRefD22_7x_0" localSheetId="52">'330'!$D$105</definedName>
    <definedName name="OSRRefD22_7x_0" localSheetId="57">'331'!$D$99</definedName>
    <definedName name="OSRRefD22_7x_0" localSheetId="60">'332'!$D$66</definedName>
    <definedName name="OSRRefD22_7x_0" localSheetId="77">'405'!$D$49</definedName>
    <definedName name="OSRRefD22_7x_0" localSheetId="78">'406'!$D$49</definedName>
    <definedName name="OSRRefD22_7x_0" localSheetId="79">'411'!$D$49</definedName>
    <definedName name="OSRRefD22_7x_0" localSheetId="80">'412'!$D$50</definedName>
    <definedName name="OSRRefD22_7x_0" localSheetId="81">'413'!$D$49:$D$51</definedName>
    <definedName name="OSRRefD22_7x_0" localSheetId="82">'414'!$D$50</definedName>
    <definedName name="OSRRefD22_7x_0" localSheetId="83">'415'!$D$51</definedName>
    <definedName name="OSRRefD22_7x_0" localSheetId="84">'418'!$D$51</definedName>
    <definedName name="OSRRefD22_7x_0" localSheetId="87">'424'!$D$43:$D$44</definedName>
    <definedName name="OSRRefD22_7x_0" localSheetId="88">'425'!$D$52</definedName>
    <definedName name="OSRRefD22_7x_0" localSheetId="91">'430'!$D$42</definedName>
    <definedName name="OSRRefD22_7x_0" localSheetId="92">'433'!$D$53</definedName>
    <definedName name="OSRRefD22_7x_0" localSheetId="93">'435'!$D$45</definedName>
    <definedName name="OSRRefD22_7x_0" localSheetId="94">'444'!$D$52</definedName>
    <definedName name="OSRRefD22_7x_0" localSheetId="95">'450'!$D$52</definedName>
    <definedName name="OSRRefD22_7x_0" localSheetId="76">'491'!$D$63</definedName>
    <definedName name="OSRRefD22_7x_0" localSheetId="90">'492'!$D$56</definedName>
    <definedName name="OSRRefD22_7x_0" localSheetId="97">'501'!$D$47</definedName>
    <definedName name="OSRRefD22_7x_0" localSheetId="9">'Div 2'!$D$51</definedName>
    <definedName name="OSRRefD22_7x_0" localSheetId="47">'Div 3'!$D$196</definedName>
    <definedName name="OSRRefD22_7x_0" localSheetId="74">'Div 4'!$D$64</definedName>
    <definedName name="OSRRefD22_7x_0" localSheetId="96">'Div 5'!$D$47</definedName>
    <definedName name="OSRRefD22_7x_0" localSheetId="63">'Div 6'!$D$82</definedName>
    <definedName name="OSRRefD22_7x_0" localSheetId="2">Summary!$D$231</definedName>
    <definedName name="OSRRefD22_8x_0" localSheetId="41">'201'!$D$46</definedName>
    <definedName name="OSRRefD22_8x_0" localSheetId="42">'202'!$D$46:$D$48</definedName>
    <definedName name="OSRRefD22_8x_0" localSheetId="43">'203'!$D$48</definedName>
    <definedName name="OSRRefD22_8x_0" localSheetId="44">'204'!$D$52:$D$53</definedName>
    <definedName name="OSRRefD22_8x_0" localSheetId="45">'205'!$D$45</definedName>
    <definedName name="OSRRefD22_8x_0" localSheetId="48">'300'!$D$193</definedName>
    <definedName name="OSRRefD22_8x_0" localSheetId="49">'300 &amp; 317'!$D$218</definedName>
    <definedName name="OSRRefD22_8x_0" localSheetId="50">'301'!$D$52</definedName>
    <definedName name="OSRRefD22_8x_0" localSheetId="51">'306'!$D$52</definedName>
    <definedName name="OSRRefD22_8x_0" localSheetId="53">'307'!$D$99:$D$100</definedName>
    <definedName name="OSRRefD22_8x_0" localSheetId="54">'308'!$D$92</definedName>
    <definedName name="OSRRefD22_8x_0" localSheetId="66">'309'!$D$52:$D$53</definedName>
    <definedName name="OSRRefD22_8x_0" localSheetId="65">'310'!$D$61</definedName>
    <definedName name="OSRRefD22_8x_0" localSheetId="75">'310 &amp; 491'!$D$72</definedName>
    <definedName name="OSRRefD22_8x_0" localSheetId="55">'311'!$D$91</definedName>
    <definedName name="OSRRefD22_8x_0" localSheetId="67">'313'!$D$56</definedName>
    <definedName name="OSRRefD22_8x_0" localSheetId="58">'315'!$D$84:$D$85</definedName>
    <definedName name="OSRRefD22_8x_0" localSheetId="61">'316'!$D$62</definedName>
    <definedName name="OSRRefD22_8x_0" localSheetId="64">'317'!$D$84</definedName>
    <definedName name="OSRRefD22_8x_0" localSheetId="62">'320'!$D$55</definedName>
    <definedName name="OSRRefD22_8x_0" localSheetId="68">'321'!$D$52:$D$54</definedName>
    <definedName name="OSRRefD22_8x_0" localSheetId="69">'322'!$D$51</definedName>
    <definedName name="OSRRefD22_8x_0" localSheetId="72">'325'!$D$53</definedName>
    <definedName name="OSRRefD22_8x_0" localSheetId="59">'326'!$D$85</definedName>
    <definedName name="OSRRefD22_8x_0" localSheetId="52">'330'!$D$107</definedName>
    <definedName name="OSRRefD22_8x_0" localSheetId="57">'331'!$D$101:$D$102</definedName>
    <definedName name="OSRRefD22_8x_0" localSheetId="60">'332'!$D$68:$D$69</definedName>
    <definedName name="OSRRefD22_8x_0" localSheetId="77">'405'!$D$51</definedName>
    <definedName name="OSRRefD22_8x_0" localSheetId="78">'406'!$D$51:$D$53</definedName>
    <definedName name="OSRRefD22_8x_0" localSheetId="79">'411'!$D$51</definedName>
    <definedName name="OSRRefD22_8x_0" localSheetId="80">'412'!$D$52:$D$53</definedName>
    <definedName name="OSRRefD22_8x_0" localSheetId="81">'413'!$D$53:$D$54</definedName>
    <definedName name="OSRRefD22_8x_0" localSheetId="82">'414'!$D$52:$D$53</definedName>
    <definedName name="OSRRefD22_8x_0" localSheetId="83">'415'!$D$53</definedName>
    <definedName name="OSRRefD22_8x_0" localSheetId="84">'418'!$D$53:$D$54</definedName>
    <definedName name="OSRRefD22_8x_0" localSheetId="87">'424'!$D$46</definedName>
    <definedName name="OSRRefD22_8x_0" localSheetId="88">'425'!$D$54</definedName>
    <definedName name="OSRRefD22_8x_0" localSheetId="91">'430'!$D$44</definedName>
    <definedName name="OSRRefD22_8x_0" localSheetId="92">'433'!$D$55</definedName>
    <definedName name="OSRRefD22_8x_0" localSheetId="94">'444'!$D$54</definedName>
    <definedName name="OSRRefD22_8x_0" localSheetId="95">'450'!$D$54</definedName>
    <definedName name="OSRRefD22_8x_0" localSheetId="76">'491'!$D$65</definedName>
    <definedName name="OSRRefD22_8x_0" localSheetId="90">'492'!$D$58</definedName>
    <definedName name="OSRRefD22_8x_0" localSheetId="97">'501'!$D$49</definedName>
    <definedName name="OSRRefD22_8x_0" localSheetId="9">'Div 2'!$D$53</definedName>
    <definedName name="OSRRefD22_8x_0" localSheetId="47">'Div 3'!$D$198</definedName>
    <definedName name="OSRRefD22_8x_0" localSheetId="74">'Div 4'!$D$66</definedName>
    <definedName name="OSRRefD22_8x_0" localSheetId="96">'Div 5'!$D$49</definedName>
    <definedName name="OSRRefD22_8x_0" localSheetId="63">'Div 6'!$D$84</definedName>
    <definedName name="OSRRefD22_8x_0" localSheetId="2">Summary!$D$233</definedName>
    <definedName name="OSRRefD22_9x_0" localSheetId="41">'201'!$D$48:$D$50</definedName>
    <definedName name="OSRRefD22_9x_0" localSheetId="42">'202'!$D$50</definedName>
    <definedName name="OSRRefD22_9x_0" localSheetId="43">'203'!$D$50:$D$52</definedName>
    <definedName name="OSRRefD22_9x_0" localSheetId="44">'204'!$D$55</definedName>
    <definedName name="OSRRefD22_9x_0" localSheetId="48">'300'!$D$195</definedName>
    <definedName name="OSRRefD22_9x_0" localSheetId="49">'300 &amp; 317'!$D$220</definedName>
    <definedName name="OSRRefD22_9x_0" localSheetId="50">'301'!$D$54</definedName>
    <definedName name="OSRRefD22_9x_0" localSheetId="51">'306'!$D$54</definedName>
    <definedName name="OSRRefD22_9x_0" localSheetId="53">'307'!$D$102:$D$103</definedName>
    <definedName name="OSRRefD22_9x_0" localSheetId="54">'308'!$D$94:$D$95</definedName>
    <definedName name="OSRRefD22_9x_0" localSheetId="66">'309'!$D$55</definedName>
    <definedName name="OSRRefD22_9x_0" localSheetId="65">'310'!$D$63</definedName>
    <definedName name="OSRRefD22_9x_0" localSheetId="75">'310 &amp; 491'!$D$74</definedName>
    <definedName name="OSRRefD22_9x_0" localSheetId="55">'311'!$D$93:$D$94</definedName>
    <definedName name="OSRRefD22_9x_0" localSheetId="67">'313'!$D$58:$D$60</definedName>
    <definedName name="OSRRefD22_9x_0" localSheetId="58">'315'!$D$87:$D$88</definedName>
    <definedName name="OSRRefD22_9x_0" localSheetId="61">'316'!$D$64</definedName>
    <definedName name="OSRRefD22_9x_0" localSheetId="64">'317'!$D$86:$D$87</definedName>
    <definedName name="OSRRefD22_9x_0" localSheetId="68">'321'!$D$56:$D$60</definedName>
    <definedName name="OSRRefD22_9x_0" localSheetId="69">'322'!$D$53:$D$54</definedName>
    <definedName name="OSRRefD22_9x_0" localSheetId="72">'325'!$D$55</definedName>
    <definedName name="OSRRefD22_9x_0" localSheetId="59">'326'!$D$87</definedName>
    <definedName name="OSRRefD22_9x_0" localSheetId="52">'330'!$D$109:$D$110</definedName>
    <definedName name="OSRRefD22_9x_0" localSheetId="57">'331'!$D$104</definedName>
    <definedName name="OSRRefD22_9x_0" localSheetId="60">'332'!$D$71</definedName>
    <definedName name="OSRRefD22_9x_0" localSheetId="77">'405'!$D$53</definedName>
    <definedName name="OSRRefD22_9x_0" localSheetId="78">'406'!$D$55:$D$56</definedName>
    <definedName name="OSRRefD22_9x_0" localSheetId="79">'411'!$D$53</definedName>
    <definedName name="OSRRefD22_9x_0" localSheetId="80">'412'!$D$55</definedName>
    <definedName name="OSRRefD22_9x_0" localSheetId="81">'413'!$D$56:$D$60</definedName>
    <definedName name="OSRRefD22_9x_0" localSheetId="82">'414'!$D$55</definedName>
    <definedName name="OSRRefD22_9x_0" localSheetId="83">'415'!$D$55</definedName>
    <definedName name="OSRRefD22_9x_0" localSheetId="84">'418'!$D$56:$D$58</definedName>
    <definedName name="OSRRefD22_9x_0" localSheetId="87">'424'!$D$48</definedName>
    <definedName name="OSRRefD22_9x_0" localSheetId="88">'425'!$D$56:$D$58</definedName>
    <definedName name="OSRRefD22_9x_0" localSheetId="91">'430'!$D$46</definedName>
    <definedName name="OSRRefD22_9x_0" localSheetId="92">'433'!$D$57</definedName>
    <definedName name="OSRRefD22_9x_0" localSheetId="94">'444'!$D$56</definedName>
    <definedName name="OSRRefD22_9x_0" localSheetId="95">'450'!$D$56</definedName>
    <definedName name="OSRRefD22_9x_0" localSheetId="76">'491'!$D$67:$D$68</definedName>
    <definedName name="OSRRefD22_9x_0" localSheetId="90">'492'!$D$60</definedName>
    <definedName name="OSRRefD22_9x_0" localSheetId="97">'501'!$D$51</definedName>
    <definedName name="OSRRefD22_9x_0" localSheetId="9">'Div 2'!$D$55</definedName>
    <definedName name="OSRRefD22_9x_0" localSheetId="47">'Div 3'!$D$200</definedName>
    <definedName name="OSRRefD22_9x_0" localSheetId="74">'Div 4'!$D$68</definedName>
    <definedName name="OSRRefD22_9x_0" localSheetId="96">'Div 5'!$D$51</definedName>
    <definedName name="OSRRefD22_9x_0" localSheetId="63">'Div 6'!$D$86:$D$87</definedName>
    <definedName name="OSRRefD22_9x_0" localSheetId="2">Summary!$D$235</definedName>
    <definedName name="OSRRefD22x_0" localSheetId="40">'200'!$D$20,'200'!$D$22,'200'!$D$24,'200'!$D$26:$D$27</definedName>
    <definedName name="OSRRefD22x_0" localSheetId="41">'201'!$D$20:$D$28,'201'!$D$30:$D$32,'201'!$D$34,'201'!$D$36,'201'!$D$38,'201'!$D$40,'201'!$D$42,'201'!$D$44,'201'!$D$46,'201'!$D$48:$D$50,'201'!$D$52:$D$54,'201'!$D$56,'201'!$D$58:$D$60,'201'!$D$62,'201'!$D$64,'201'!$D$66:$D$67</definedName>
    <definedName name="OSRRefD22x_0" localSheetId="42">'202'!$D$20:$D$27,'202'!$D$29:$D$32,'202'!$D$34,'202'!$D$36,'202'!$D$38,'202'!$D$40,'202'!$D$42,'202'!$D$44,'202'!$D$46:$D$48,'202'!$D$50,'202'!$D$52,'202'!$D$54:$D$56,'202'!$D$58,'202'!$D$60</definedName>
    <definedName name="OSRRefD22x_0" localSheetId="43">'203'!$D$20:$D$29,'203'!$D$31:$D$34,'203'!$D$36,'203'!$D$38,'203'!$D$40,'203'!$D$42,'203'!$D$44,'203'!$D$46,'203'!$D$48,'203'!$D$50:$D$52,'203'!$D$54:$D$55,'203'!$D$57,'203'!$D$59:$D$61,'203'!$D$63,'203'!$D$65,'203'!$D$67</definedName>
    <definedName name="OSRRefD22x_0" localSheetId="44">'204'!$D$20:$D$28,'204'!$D$30:$D$34,'204'!$D$36,'204'!$D$38:$D$39,'204'!$D$41,'204'!$D$43,'204'!$D$45:$D$47,'204'!$D$49:$D$50,'204'!$D$52:$D$53,'204'!$D$55,'204'!$D$57:$D$58</definedName>
    <definedName name="OSRRefD22x_0" localSheetId="45">'205'!$D$20:$D$27,'205'!$D$29,'205'!$D$31,'205'!$D$33,'205'!$D$35:$D$36,'205'!$D$38,'205'!$D$40:$D$41,'205'!$D$43,'205'!$D$45</definedName>
    <definedName name="OSRRefD22x_0" localSheetId="46">'206'!$D$20:$D$27,'206'!$D$29:$D$34,'206'!$D$36,'206'!$D$38,'206'!$D$40,'206'!$D$42:$D$43,'206'!$D$45,'206'!$D$47</definedName>
    <definedName name="OSRRefD22x_0" localSheetId="48">'300'!$D$160:$D$168,'300'!$D$170:$D$176,'300'!$D$178,'300'!$D$180:$D$181,'300'!$D$183,'300'!$D$185:$D$186,'300'!$D$188:$D$189,'300'!$D$191,'300'!$D$193,'300'!$D$195,'300'!$D$197:$D$198,'300'!$D$200,'300'!$D$202,'300'!$D$204,'300'!$D$206,'300'!$D$208,'300'!$D$210:$D$212,'300'!$D$214:$D$216,'300'!$D$218:$D$221,'300'!$D$223:$D$224,'300'!$D$226:$D$231,'300'!$D$233:$D$234,'300'!$D$236,'300'!$D$238:$D$240,'300'!$D$242</definedName>
    <definedName name="OSRRefD22x_0" localSheetId="49">'300 &amp; 317'!$D$185:$D$193,'300 &amp; 317'!$D$195:$D$201,'300 &amp; 317'!$D$203,'300 &amp; 317'!$D$205:$D$206,'300 &amp; 317'!$D$208,'300 &amp; 317'!$D$210:$D$211,'300 &amp; 317'!$D$213:$D$214,'300 &amp; 317'!$D$216,'300 &amp; 317'!$D$218,'300 &amp; 317'!$D$220,'300 &amp; 317'!$D$222:$D$223,'300 &amp; 317'!$D$225,'300 &amp; 317'!$D$227,'300 &amp; 317'!$D$229,'300 &amp; 317'!$D$231,'300 &amp; 317'!$D$233,'300 &amp; 317'!$D$235:$D$237,'300 &amp; 317'!$D$239:$D$241,'300 &amp; 317'!$D$243:$D$246,'300 &amp; 317'!$D$248:$D$249,'300 &amp; 317'!$D$251:$D$256,'300 &amp; 317'!$D$258:$D$259,'300 &amp; 317'!$D$261,'300 &amp; 317'!$D$263:$D$265,'300 &amp; 317'!$D$267</definedName>
    <definedName name="OSRRefD22x_0" localSheetId="50">'301'!$D$20:$D$27,'301'!$D$29:$D$35,'301'!$D$37,'301'!$D$39:$D$40,'301'!$D$42,'301'!$D$44:$D$45,'301'!$D$47:$D$48,'301'!$D$50,'301'!$D$52,'301'!$D$54,'301'!$D$56,'301'!$D$58,'301'!$D$60,'301'!$D$62,'301'!$D$64:$D$66,'301'!$D$68:$D$70,'301'!$D$72,'301'!$D$74:$D$78,'301'!$D$80,'301'!$D$82,'301'!$D$84:$D$85,'301'!$D$87</definedName>
    <definedName name="OSRRefD22x_0" localSheetId="51">'306'!$D$20:$D$28,'306'!$D$30:$D$34,'306'!$D$36,'306'!$D$38,'306'!$D$40,'306'!$D$42,'306'!$D$44:$D$45,'306'!$D$47:$D$50,'306'!$D$52,'306'!$D$54</definedName>
    <definedName name="OSRRefD22x_0" localSheetId="53">'307'!$D$72:$D$79,'307'!$D$81:$D$84,'307'!$D$86,'307'!$D$88,'307'!$D$90:$D$91,'307'!$D$93,'307'!$D$95,'307'!$D$97,'307'!$D$99:$D$100,'307'!$D$102:$D$103,'307'!$D$105:$D$106,'307'!$D$108,'307'!$D$110</definedName>
    <definedName name="OSRRefD22x_0" localSheetId="54">'308'!$D$62:$D$70,'308'!$D$72:$D$76,'308'!$D$78,'308'!$D$80:$D$81,'308'!$D$83,'308'!$D$85,'308'!$D$87:$D$88,'308'!$D$90,'308'!$D$92,'308'!$D$94:$D$95,'308'!$D$97,'308'!$D$99:$D$102,'308'!$D$104:$D$105,'308'!$D$107,'308'!$D$109</definedName>
    <definedName name="OSRRefD22x_0" localSheetId="66">'309'!$D$24:$D$31,'309'!$D$33:$D$37,'309'!$D$39,'309'!$D$41,'309'!$D$43,'309'!$D$45,'309'!$D$47,'309'!$D$49:$D$50,'309'!$D$52:$D$53,'309'!$D$55,'309'!$D$57:$D$62,'309'!$D$64</definedName>
    <definedName name="OSRRefD22x_0" localSheetId="65">'310'!$D$32:$D$39,'310'!$D$41:$D$46,'310'!$D$48,'310'!$D$50,'310'!$D$52,'310'!$D$54:$D$55,'310'!$D$57,'310'!$D$59,'310'!$D$61,'310'!$D$63,'310'!$D$65,'310'!$D$67,'310'!$D$69,'310'!$D$71,'310'!$D$73:$D$75,'310'!$D$77,'310'!$D$79:$D$82,'310'!$D$84:$D$85,'310'!$D$87:$D$93,'310'!$D$95,'310'!$D$97,'310'!$D$99</definedName>
    <definedName name="OSRRefD22x_0" localSheetId="75">'310 &amp; 491'!$D$40:$D$48,'310 &amp; 491'!$D$50:$D$56,'310 &amp; 491'!$D$58,'310 &amp; 491'!$D$60,'310 &amp; 491'!$D$62,'310 &amp; 491'!$D$64:$D$66,'310 &amp; 491'!$D$68,'310 &amp; 491'!$D$70,'310 &amp; 491'!$D$72,'310 &amp; 491'!$D$74,'310 &amp; 491'!$D$76,'310 &amp; 491'!$D$78:$D$79,'310 &amp; 491'!$D$81,'310 &amp; 491'!$D$83,'310 &amp; 491'!$D$85,'310 &amp; 491'!$D$87,'310 &amp; 491'!$D$89:$D$91,'310 &amp; 491'!$D$93:$D$94,'310 &amp; 491'!$D$96:$D$100,'310 &amp; 491'!$D$102:$D$103,'310 &amp; 491'!$D$105:$D$112,'310 &amp; 491'!$D$114,'310 &amp; 491'!$D$116,'310 &amp; 491'!$D$118:$D$120,'310 &amp; 491'!$D$122</definedName>
    <definedName name="OSRRefD22x_0" localSheetId="55">'311'!$D$61:$D$69,'311'!$D$71:$D$75,'311'!$D$77,'311'!$D$79:$D$80,'311'!$D$82,'311'!$D$84,'311'!$D$86:$D$87,'311'!$D$89,'311'!$D$91,'311'!$D$93:$D$94,'311'!$D$96,'311'!$D$98:$D$101,'311'!$D$103:$D$104,'311'!$D$106,'311'!$D$108</definedName>
    <definedName name="OSRRefD22x_0" localSheetId="67">'313'!$D$29:$D$36,'313'!$D$38:$D$42,'313'!$D$44,'313'!$D$46,'313'!$D$48,'313'!$D$50,'313'!$D$52,'313'!$D$54,'313'!$D$56,'313'!$D$58:$D$60,'313'!$D$62,'313'!$D$64,'313'!$D$66:$D$71,'313'!$D$73,'313'!$D$75</definedName>
    <definedName name="OSRRefD22x_0" localSheetId="56">'314'!$D$56:$D$62,'314'!$D$64:$D$66,'314'!$D$68,'314'!$D$70:$D$71,'314'!$D$73,'314'!$D$75,'314'!$D$77:$D$78,'314'!$D$80</definedName>
    <definedName name="OSRRefD22x_0" localSheetId="58">'315'!$D$55:$D$62,'315'!$D$64:$D$68,'315'!$D$70,'315'!$D$72:$D$73,'315'!$D$75,'315'!$D$77:$D$78,'315'!$D$80,'315'!$D$82,'315'!$D$84:$D$85,'315'!$D$87:$D$88,'315'!$D$90,'315'!$D$92:$D$95,'315'!$D$97,'315'!$D$99,'315'!$D$101:$D$102</definedName>
    <definedName name="OSRRefD22x_0" localSheetId="61">'316'!$D$32:$D$39,'316'!$D$41:$D$44,'316'!$D$46,'316'!$D$48,'316'!$D$50,'316'!$D$52:$D$53,'316'!$D$55,'316'!$D$57:$D$60,'316'!$D$62,'316'!$D$64</definedName>
    <definedName name="OSRRefD22x_0" localSheetId="64">'317'!$D$57:$D$65,'317'!$D$67:$D$70,'317'!$D$72,'317'!$D$74,'317'!$D$76,'317'!$D$78,'317'!$D$80,'317'!$D$82,'317'!$D$84,'317'!$D$86:$D$87,'317'!$D$89,'317'!$D$91,'317'!$D$93</definedName>
    <definedName name="OSRRefD22x_0" localSheetId="62">'320'!$D$29:$D$35,'320'!$D$37:$D$39,'320'!$D$41,'320'!$D$43,'320'!$D$45:$D$46,'320'!$D$48,'320'!$D$50,'320'!$D$52:$D$53,'320'!$D$55</definedName>
    <definedName name="OSRRefD22x_0" localSheetId="68">'321'!$D$24:$D$30,'321'!$D$32:$D$36,'321'!$D$38,'321'!$D$40,'321'!$D$42,'321'!$D$44,'321'!$D$46:$D$48,'321'!$D$50,'321'!$D$52:$D$54,'321'!$D$56:$D$60,'321'!$D$62,'321'!$D$64</definedName>
    <definedName name="OSRRefD22x_0" localSheetId="69">'322'!$D$24:$D$31,'322'!$D$33:$D$37,'322'!$D$39,'322'!$D$41,'322'!$D$43,'322'!$D$45,'322'!$D$47,'322'!$D$49,'322'!$D$51,'322'!$D$53:$D$54,'322'!$D$56:$D$58,'322'!$D$60:$D$65,'322'!$D$67,'322'!$D$69</definedName>
    <definedName name="OSRRefD22x_0" localSheetId="71">'324'!$D$25</definedName>
    <definedName name="OSRRefD22x_0" localSheetId="72">'325'!$D$24:$D$31,'325'!$D$33:$D$38,'325'!$D$40,'325'!$D$42,'325'!$D$44,'325'!$D$46:$D$47,'325'!$D$49,'325'!$D$51,'325'!$D$53,'325'!$D$55,'325'!$D$57,'325'!$D$59:$D$61,'325'!$D$63:$D$65,'325'!$D$67,'325'!$D$69:$D$74,'325'!$D$76,'325'!$D$78</definedName>
    <definedName name="OSRRefD22x_0" localSheetId="59">'326'!$D$59:$D$66,'326'!$D$68:$D$71,'326'!$D$73,'326'!$D$75,'326'!$D$77,'326'!$D$79,'326'!$D$81,'326'!$D$83,'326'!$D$85,'326'!$D$87,'326'!$D$89,'326'!$D$91,'326'!$D$93,'326'!$D$95:$D$96,'326'!$D$98:$D$100,'326'!$D$102,'326'!$D$104:$D$108,'326'!$D$110,'326'!$D$112,'326'!$D$114</definedName>
    <definedName name="OSRRefD22x_0" localSheetId="73">'327'!$D$22,'327'!$D$24,'327'!$D$26</definedName>
    <definedName name="OSRRefD22x_0" localSheetId="52">'330'!$D$80:$D$87,'330'!$D$89:$D$92,'330'!$D$94,'330'!$D$96,'330'!$D$98:$D$99,'330'!$D$101,'330'!$D$103,'330'!$D$105,'330'!$D$107,'330'!$D$109:$D$110,'330'!$D$112:$D$113,'330'!$D$115,'330'!$D$117:$D$119,'330'!$D$121,'330'!$D$123</definedName>
    <definedName name="OSRRefD22x_0" localSheetId="57">'331'!$D$73:$D$80,'331'!$D$82:$D$86,'331'!$D$88,'331'!$D$90,'331'!$D$92,'331'!$D$94:$D$95,'331'!$D$97,'331'!$D$99,'331'!$D$101:$D$102,'331'!$D$104,'331'!$D$106,'331'!$D$108,'331'!$D$110,'331'!$D$112,'331'!$D$114:$D$116,'331'!$D$118:$D$119,'331'!$D$121:$D$123,'331'!$D$125,'331'!$D$127:$D$131,'331'!$D$133,'331'!$D$135,'331'!$D$137:$D$138,'331'!$D$140</definedName>
    <definedName name="OSRRefD22x_0" localSheetId="60">'332'!$D$41:$D$48,'332'!$D$50:$D$53,'332'!$D$55,'332'!$D$57,'332'!$D$59,'332'!$D$61:$D$62,'332'!$D$64,'332'!$D$66,'332'!$D$68:$D$69,'332'!$D$71,'332'!$D$73:$D$77,'332'!$D$79,'332'!$D$81</definedName>
    <definedName name="OSRRefD22x_0" localSheetId="77">'405'!$D$24:$D$31,'405'!$D$33:$D$36,'405'!$D$38,'405'!$D$40,'405'!$D$42,'405'!$D$44:$D$45,'405'!$D$47,'405'!$D$49,'405'!$D$51,'405'!$D$53,'405'!$D$55:$D$56,'405'!$D$58,'405'!$D$60:$D$62,'405'!$D$64,'405'!$D$66:$D$72,'405'!$D$74,'405'!$D$76,'405'!$D$78</definedName>
    <definedName name="OSRRefD22x_0" localSheetId="78">'406'!$D$24:$D$31,'406'!$D$33:$D$37,'406'!$D$39,'406'!$D$41,'406'!$D$43,'406'!$D$45,'406'!$D$47,'406'!$D$49,'406'!$D$51:$D$53,'406'!$D$55:$D$56,'406'!$D$58:$D$63,'406'!$D$65,'406'!$D$67</definedName>
    <definedName name="OSRRefD22x_0" localSheetId="79">'411'!$D$20:$D$28,'411'!$D$30:$D$35,'411'!$D$37,'411'!$D$39:$D$41,'411'!$D$43,'411'!$D$45,'411'!$D$47,'411'!$D$49,'411'!$D$51,'411'!$D$53,'411'!$D$55:$D$57,'411'!$D$59:$D$63,'411'!$D$65:$D$71,'411'!$D$73,'411'!$D$75,'411'!$D$77:$D$79,'411'!$D$81</definedName>
    <definedName name="OSRRefD22x_0" localSheetId="80">'412'!$D$24:$D$31,'412'!$D$33:$D$38,'412'!$D$40,'412'!$D$42,'412'!$D$44,'412'!$D$46,'412'!$D$48,'412'!$D$50,'412'!$D$52:$D$53,'412'!$D$55,'412'!$D$57:$D$59,'412'!$D$61:$D$67,'412'!$D$69,'412'!$D$71</definedName>
    <definedName name="OSRRefD22x_0" localSheetId="81">'413'!$D$24:$D$31,'413'!$D$33:$D$37,'413'!$D$39,'413'!$D$41,'413'!$D$43,'413'!$D$45,'413'!$D$47,'413'!$D$49:$D$51,'413'!$D$53:$D$54,'413'!$D$56:$D$60,'413'!$D$62</definedName>
    <definedName name="OSRRefD22x_0" localSheetId="82">'414'!$D$24:$D$31,'414'!$D$33:$D$38,'414'!$D$40,'414'!$D$42,'414'!$D$44,'414'!$D$46,'414'!$D$48,'414'!$D$50,'414'!$D$52:$D$53,'414'!$D$55,'414'!$D$57,'414'!$D$59,'414'!$D$61:$D$67,'414'!$D$69,'414'!$D$71</definedName>
    <definedName name="OSRRefD22x_0" localSheetId="83">'415'!$D$24:$D$31,'415'!$D$33:$D$38,'415'!$D$40,'415'!$D$42,'415'!$D$44,'415'!$D$46:$D$47,'415'!$D$49,'415'!$D$51,'415'!$D$53,'415'!$D$55,'415'!$D$57,'415'!$D$59:$D$61,'415'!$D$63:$D$67,'415'!$D$69,'415'!$D$71:$D$77,'415'!$D$79,'415'!$D$81,'415'!$D$83</definedName>
    <definedName name="OSRRefD22x_0" localSheetId="84">'418'!$D$24:$D$31,'418'!$D$33:$D$38,'418'!$D$40,'418'!$D$42,'418'!$D$44,'418'!$D$46:$D$47,'418'!$D$49,'418'!$D$51,'418'!$D$53:$D$54,'418'!$D$56:$D$58,'418'!$D$60:$D$62,'418'!$D$64,'418'!$D$66:$D$72,'418'!$D$74,'418'!$D$76</definedName>
    <definedName name="OSRRefD22x_0" localSheetId="85">'420'!$D$22:$D$28,'420'!$D$30:$D$33,'420'!$D$35,'420'!$D$37</definedName>
    <definedName name="OSRRefD22x_0" localSheetId="86">'423'!$D$21:$D$28,'423'!$D$30,'423'!$D$32,'423'!$D$34,'423'!$D$36,'423'!$D$38</definedName>
    <definedName name="OSRRefD22x_0" localSheetId="87">'424'!$D$24:$D$26,'424'!$D$28:$D$31,'424'!$D$33,'424'!$D$35,'424'!$D$37,'424'!$D$39,'424'!$D$41,'424'!$D$43:$D$44,'424'!$D$46,'424'!$D$48,'424'!$D$50:$D$54,'424'!$D$56</definedName>
    <definedName name="OSRRefD22x_0" localSheetId="88">'425'!$D$27:$D$34,'425'!$D$36:$D$40,'425'!$D$42,'425'!$D$44,'425'!$D$46,'425'!$D$48,'425'!$D$50,'425'!$D$52,'425'!$D$54,'425'!$D$56:$D$58,'425'!$D$60,'425'!$D$62:$D$63,'425'!$D$65:$D$71,'425'!$D$73,'425'!$D$75,'425'!$D$77</definedName>
    <definedName name="OSRRefD22x_0" localSheetId="91">'430'!$D$20:$D$27,'430'!$D$29,'430'!$D$31,'430'!$D$33,'430'!$D$35,'430'!$D$37,'430'!$D$39:$D$40,'430'!$D$42,'430'!$D$44,'430'!$D$46</definedName>
    <definedName name="OSRRefD22x_0" localSheetId="92">'433'!$D$26:$D$34,'433'!$D$36:$D$41,'433'!$D$43,'433'!$D$45,'433'!$D$47,'433'!$D$49,'433'!$D$51,'433'!$D$53,'433'!$D$55,'433'!$D$57,'433'!$D$59:$D$61,'433'!$D$63:$D$65,'433'!$D$67:$D$72,'433'!$D$74,'433'!$D$76,'433'!$D$78:$D$79</definedName>
    <definedName name="OSRRefD22x_0" localSheetId="93">'435'!$D$25:$D$27,'435'!$D$29:$D$30,'435'!$D$32,'435'!$D$34,'435'!$D$36,'435'!$D$38,'435'!$D$40:$D$43,'435'!$D$45</definedName>
    <definedName name="OSRRefD22x_0" localSheetId="94">'444'!$D$25:$D$33,'444'!$D$35:$D$40,'444'!$D$42,'444'!$D$44,'444'!$D$46,'444'!$D$48,'444'!$D$50,'444'!$D$52,'444'!$D$54,'444'!$D$56,'444'!$D$58,'444'!$D$60:$D$62,'444'!$D$64:$D$66,'444'!$D$68:$D$75,'444'!$D$77,'444'!$D$79,'444'!$D$81</definedName>
    <definedName name="OSRRefD22x_0" localSheetId="95">'450'!$D$25:$D$33,'450'!$D$35:$D$40,'450'!$D$42,'450'!$D$44,'450'!$D$46,'450'!$D$48,'450'!$D$50,'450'!$D$52,'450'!$D$54,'450'!$D$56,'450'!$D$58,'450'!$D$60:$D$61,'450'!$D$63:$D$65,'450'!$D$67:$D$73,'450'!$D$75,'450'!$D$77,'450'!$D$79:$D$80</definedName>
    <definedName name="OSRRefD22x_0" localSheetId="89">'455'!$D$20:$D$26,'455'!$D$28:$D$29,'455'!$D$31</definedName>
    <definedName name="OSRRefD22x_0" localSheetId="76">'491'!$D$33:$D$41,'491'!$D$43:$D$49,'491'!$D$51,'491'!$D$53,'491'!$D$55,'491'!$D$57:$D$59,'491'!$D$61,'491'!$D$63,'491'!$D$65,'491'!$D$67:$D$68,'491'!$D$70,'491'!$D$72,'491'!$D$74,'491'!$D$76,'491'!$D$78:$D$80,'491'!$D$82:$D$83,'491'!$D$85:$D$89,'491'!$D$91,'491'!$D$93:$D$100,'491'!$D$102,'491'!$D$104,'491'!$D$106:$D$108,'491'!$D$110</definedName>
    <definedName name="OSRRefD22x_0" localSheetId="90">'492'!$D$28:$D$36,'492'!$D$38:$D$44,'492'!$D$46,'492'!$D$48,'492'!$D$50,'492'!$D$52,'492'!$D$54,'492'!$D$56,'492'!$D$58,'492'!$D$60,'492'!$D$62,'492'!$D$64,'492'!$D$66:$D$68,'492'!$D$70:$D$72,'492'!$D$74:$D$81,'492'!$D$83,'492'!$D$85,'492'!$D$87:$D$88</definedName>
    <definedName name="OSRRefD22x_0" localSheetId="97">'501'!$D$21:$D$28,'501'!$D$30:$D$35,'501'!$D$37,'501'!$D$39,'501'!$D$41,'501'!$D$43,'501'!$D$45,'501'!$D$47,'501'!$D$49,'501'!$D$51,'501'!$D$53:$D$54,'501'!$D$56:$D$59,'501'!$D$61</definedName>
    <definedName name="OSRRefD22x_0" localSheetId="9">'Div 2'!$D$20:$D$30,'Div 2'!$D$32:$D$38,'Div 2'!$D$40,'Div 2'!$D$42,'Div 2'!$D$44,'Div 2'!$D$46:$D$47,'Div 2'!$D$49,'Div 2'!$D$51,'Div 2'!$D$53,'Div 2'!$D$55,'Div 2'!$D$57,'Div 2'!$D$59,'Div 2'!$D$61:$D$64,'Div 2'!$D$66:$D$68,'Div 2'!$D$70:$D$71,'Div 2'!$D$73,'Div 2'!$D$75:$D$78,'Div 2'!$D$80:$D$81,'Div 2'!$D$83,'Div 2'!$D$85:$D$86</definedName>
    <definedName name="OSRRefD22x_0" localSheetId="47">'Div 3'!$D$165:$D$173,'Div 3'!$D$175:$D$181,'Div 3'!$D$183,'Div 3'!$D$185:$D$186,'Div 3'!$D$188,'Div 3'!$D$190:$D$191,'Div 3'!$D$193:$D$194,'Div 3'!$D$196,'Div 3'!$D$198,'Div 3'!$D$200,'Div 3'!$D$202:$D$203,'Div 3'!$D$205,'Div 3'!$D$207,'Div 3'!$D$209,'Div 3'!$D$211,'Div 3'!$D$213,'Div 3'!$D$215,'Div 3'!$D$217:$D$219,'Div 3'!$D$221:$D$223,'Div 3'!$D$225:$D$229,'Div 3'!$D$231:$D$232,'Div 3'!$D$234:$D$240,'Div 3'!$D$242:$D$243,'Div 3'!$D$245,'Div 3'!$D$247:$D$249,'Div 3'!$D$251</definedName>
    <definedName name="OSRRefD22x_0" localSheetId="74">'Div 4'!$D$34:$D$42,'Div 4'!$D$44:$D$50,'Div 4'!$D$52,'Div 4'!$D$54,'Div 4'!$D$56,'Div 4'!$D$58:$D$60,'Div 4'!$D$62,'Div 4'!$D$64,'Div 4'!$D$66,'Div 4'!$D$68,'Div 4'!$D$70:$D$71,'Div 4'!$D$73,'Div 4'!$D$75,'Div 4'!$D$77,'Div 4'!$D$79,'Div 4'!$D$81,'Div 4'!$D$83:$D$85,'Div 4'!$D$87:$D$88,'Div 4'!$D$90:$D$94,'Div 4'!$D$96,'Div 4'!$D$98:$D$105,'Div 4'!$D$107,'Div 4'!$D$109,'Div 4'!$D$111:$D$113,'Div 4'!$D$115</definedName>
    <definedName name="OSRRefD22x_0" localSheetId="96">'Div 5'!$D$21:$D$28,'Div 5'!$D$30:$D$35,'Div 5'!$D$37,'Div 5'!$D$39,'Div 5'!$D$41,'Div 5'!$D$43,'Div 5'!$D$45,'Div 5'!$D$47,'Div 5'!$D$49,'Div 5'!$D$51,'Div 5'!$D$53:$D$54,'Div 5'!$D$56:$D$59,'Div 5'!$D$61</definedName>
    <definedName name="OSRRefD22x_0" localSheetId="63">'Div 6'!$D$57:$D$65,'Div 6'!$D$67:$D$70,'Div 6'!$D$72,'Div 6'!$D$74,'Div 6'!$D$76,'Div 6'!$D$78,'Div 6'!$D$80,'Div 6'!$D$82,'Div 6'!$D$84,'Div 6'!$D$86:$D$87,'Div 6'!$D$89,'Div 6'!$D$91,'Div 6'!$D$93</definedName>
    <definedName name="OSRRefD22x_0" localSheetId="2">Summary!$D$199:$D$207,Summary!$D$209:$D$215,Summary!$D$217,Summary!$D$219:$D$220,Summary!$D$222,Summary!$D$224:$D$226,Summary!$D$228:$D$229,Summary!$D$231,Summary!$D$233,Summary!$D$235,Summary!$D$237:$D$238,Summary!$D$240:$D$241,Summary!$D$243,Summary!$D$245,Summary!$D$247,Summary!$D$249,Summary!$D$251,Summary!$D$253,Summary!$D$255:$D$257,Summary!$D$259:$D$261,Summary!$D$263:$D$267,Summary!$D$269:$D$270,Summary!$D$272:$D$279,Summary!$D$281:$D$282,Summary!$D$284,Summary!$D$286:$D$288,Summary!$D$290</definedName>
    <definedName name="OSRRefD25x_0" localSheetId="48">'300'!$D$245:$D$252</definedName>
    <definedName name="OSRRefD25x_0" localSheetId="49">'300 &amp; 317'!$D$270:$D$279</definedName>
    <definedName name="OSRRefD25x_0" localSheetId="50">'301'!$D$90:$D$91</definedName>
    <definedName name="OSRRefD25x_0" localSheetId="54">'308'!$D$112:$D$114</definedName>
    <definedName name="OSRRefD25x_0" localSheetId="75">'310 &amp; 491'!$D$125:$D$127</definedName>
    <definedName name="OSRRefD25x_0" localSheetId="55">'311'!$D$111:$D$113</definedName>
    <definedName name="OSRRefD25x_0" localSheetId="58">'315'!$D$105</definedName>
    <definedName name="OSRRefD25x_0" localSheetId="61">'316'!$D$67</definedName>
    <definedName name="OSRRefD25x_0" localSheetId="64">'317'!$D$96:$D$98</definedName>
    <definedName name="OSRRefD25x_0" localSheetId="62">'320'!$D$58:$D$62</definedName>
    <definedName name="OSRRefD25x_0" localSheetId="57">'331'!$D$143</definedName>
    <definedName name="OSRRefD25x_0" localSheetId="60">'332'!$D$84:$D$89</definedName>
    <definedName name="OSRRefD25x_0" localSheetId="79">'411'!$D$84:$D$85</definedName>
    <definedName name="OSRRefD25x_0" localSheetId="81">'413'!$D$65</definedName>
    <definedName name="OSRRefD25x_0" localSheetId="84">'418'!$D$79</definedName>
    <definedName name="OSRRefD25x_0" localSheetId="86">'423'!$D$41</definedName>
    <definedName name="OSRRefD25x_0" localSheetId="87">'424'!$D$59</definedName>
    <definedName name="OSRRefD25x_0" localSheetId="88">'425'!$D$80</definedName>
    <definedName name="OSRRefD25x_0" localSheetId="89">'455'!$D$34:$D$35</definedName>
    <definedName name="OSRRefD25x_0" localSheetId="76">'491'!$D$113:$D$115</definedName>
    <definedName name="OSRRefD25x_0" localSheetId="97">'501'!$D$64:$D$65</definedName>
    <definedName name="OSRRefD25x_0" localSheetId="47">'Div 3'!$D$254:$D$261</definedName>
    <definedName name="OSRRefD25x_0" localSheetId="74">'Div 4'!$D$118:$D$120</definedName>
    <definedName name="OSRRefD25x_0" localSheetId="96">'Div 5'!$D$64:$D$65</definedName>
    <definedName name="OSRRefD25x_0" localSheetId="63">'Div 6'!$D$96:$D$98</definedName>
    <definedName name="OSRRefD25x_0" localSheetId="2">Summary!$D$293:$D$303</definedName>
    <definedName name="OSRRefH13x_0" localSheetId="48">'300'!$H$13:$H$103</definedName>
    <definedName name="OSRRefH13x_0" localSheetId="49">'300 &amp; 317'!$H$13:$H$121</definedName>
    <definedName name="OSRRefH13x_0" localSheetId="53">'307'!$H$13:$H$45</definedName>
    <definedName name="OSRRefH13x_0" localSheetId="54">'308'!$H$13:$H$39</definedName>
    <definedName name="OSRRefH13x_0" localSheetId="66">'309'!$H$13:$H$14</definedName>
    <definedName name="OSRRefH13x_0" localSheetId="65">'310'!$H$13:$H$22</definedName>
    <definedName name="OSRRefH13x_0" localSheetId="75">'310 &amp; 491'!$H$13:$H$30</definedName>
    <definedName name="OSRRefH13x_0" localSheetId="55">'311'!$H$13:$H$38</definedName>
    <definedName name="OSRRefH13x_0" localSheetId="67">'313'!$H$13:$H$19</definedName>
    <definedName name="OSRRefH13x_0" localSheetId="56">'314'!$H$13:$H$33</definedName>
    <definedName name="OSRRefH13x_0" localSheetId="58">'315'!$H$13:$H$32</definedName>
    <definedName name="OSRRefH13x_0" localSheetId="61">'316'!$H$13:$H$24</definedName>
    <definedName name="OSRRefH13x_0" localSheetId="64">'317'!$H$13:$H$36</definedName>
    <definedName name="OSRRefH13x_0" localSheetId="62">'320'!$H$13:$H$16</definedName>
    <definedName name="OSRRefH13x_0" localSheetId="68">'321'!$H$13:$H$14</definedName>
    <definedName name="OSRRefH13x_0" localSheetId="69">'322'!$H$13:$H$14</definedName>
    <definedName name="OSRRefH13x_0" localSheetId="71">'324'!$H$13:$H$15</definedName>
    <definedName name="OSRRefH13x_0" localSheetId="72">'325'!$H$13:$H$14</definedName>
    <definedName name="OSRRefH13x_0" localSheetId="59">'326'!$H$13:$H$34</definedName>
    <definedName name="OSRRefH13x_0" localSheetId="73">'327'!$H$13</definedName>
    <definedName name="OSRRefH13x_0" localSheetId="52">'330'!$H$13:$H$49</definedName>
    <definedName name="OSRRefH13x_0" localSheetId="57">'331'!$H$13:$H$42</definedName>
    <definedName name="OSRRefH13x_0" localSheetId="60">'332'!$H$13:$H$28</definedName>
    <definedName name="OSRRefH13x_0" localSheetId="77">'405'!$H$13:$H$14</definedName>
    <definedName name="OSRRefH13x_0" localSheetId="78">'406'!$H$13:$H$14</definedName>
    <definedName name="OSRRefH13x_0" localSheetId="80">'412'!$H$13:$H$15</definedName>
    <definedName name="OSRRefH13x_0" localSheetId="81">'413'!$H$13:$H$14</definedName>
    <definedName name="OSRRefH13x_0" localSheetId="82">'414'!$H$13:$H$14</definedName>
    <definedName name="OSRRefH13x_0" localSheetId="83">'415'!$H$13:$H$14</definedName>
    <definedName name="OSRRefH13x_0" localSheetId="84">'418'!$H$13:$H$14</definedName>
    <definedName name="OSRRefH13x_0" localSheetId="85">'420'!$H$13:$H$14</definedName>
    <definedName name="OSRRefH13x_0" localSheetId="87">'424'!$H$13:$H$14</definedName>
    <definedName name="OSRRefH13x_0" localSheetId="88">'425'!$H$13:$H$17</definedName>
    <definedName name="OSRRefH13x_0" localSheetId="92">'433'!$H$13:$H$16</definedName>
    <definedName name="OSRRefH13x_0" localSheetId="93">'435'!$H$13:$H$15</definedName>
    <definedName name="OSRRefH13x_0" localSheetId="94">'444'!$H$13:$H$15</definedName>
    <definedName name="OSRRefH13x_0" localSheetId="95">'450'!$H$13:$H$15</definedName>
    <definedName name="OSRRefH13x_0" localSheetId="76">'491'!$H$13:$H$23</definedName>
    <definedName name="OSRRefH13x_0" localSheetId="90">'492'!$H$13:$H$18</definedName>
    <definedName name="OSRRefH13x_0" localSheetId="97">'501'!$H$13</definedName>
    <definedName name="OSRRefH13x_0" localSheetId="47">'Div 3'!$H$13:$H$106</definedName>
    <definedName name="OSRRefH13x_0" localSheetId="74">'Div 4'!$H$13:$H$24</definedName>
    <definedName name="OSRRefH13x_0" localSheetId="96">'Div 5'!$H$13</definedName>
    <definedName name="OSRRefH13x_0" localSheetId="63">'Div 6'!$H$13:$H$36</definedName>
    <definedName name="OSRRefH13x_0" localSheetId="2">Summary!$H$13:$H$133</definedName>
    <definedName name="OSRRefH16x_0" localSheetId="48">'300'!$H$106:$H$154</definedName>
    <definedName name="OSRRefH16x_0" localSheetId="49">'300 &amp; 317'!$H$124:$H$179</definedName>
    <definedName name="OSRRefH16x_0" localSheetId="53">'307'!$H$48:$H$66</definedName>
    <definedName name="OSRRefH16x_0" localSheetId="54">'308'!$H$42:$H$56</definedName>
    <definedName name="OSRRefH16x_0" localSheetId="66">'309'!$H$17:$H$18</definedName>
    <definedName name="OSRRefH16x_0" localSheetId="65">'310'!$H$25:$H$26</definedName>
    <definedName name="OSRRefH16x_0" localSheetId="75">'310 &amp; 491'!$H$33:$H$34</definedName>
    <definedName name="OSRRefH16x_0" localSheetId="55">'311'!$H$41:$H$55</definedName>
    <definedName name="OSRRefH16x_0" localSheetId="67">'313'!$H$22:$H$23</definedName>
    <definedName name="OSRRefH16x_0" localSheetId="56">'314'!$H$36:$H$50</definedName>
    <definedName name="OSRRefH16x_0" localSheetId="58">'315'!$H$35:$H$49</definedName>
    <definedName name="OSRRefH16x_0" localSheetId="64">'317'!$H$39:$H$51</definedName>
    <definedName name="OSRRefH16x_0" localSheetId="62">'320'!$H$19:$H$23</definedName>
    <definedName name="OSRRefH16x_0" localSheetId="68">'321'!$H$17:$H$18</definedName>
    <definedName name="OSRRefH16x_0" localSheetId="69">'322'!$H$17:$H$18</definedName>
    <definedName name="OSRRefH16x_0" localSheetId="71">'324'!$H$18:$H$19</definedName>
    <definedName name="OSRRefH16x_0" localSheetId="72">'325'!$H$17:$H$18</definedName>
    <definedName name="OSRRefH16x_0" localSheetId="59">'326'!$H$37:$H$53</definedName>
    <definedName name="OSRRefH16x_0" localSheetId="73">'327'!$H$16</definedName>
    <definedName name="OSRRefH16x_0" localSheetId="52">'330'!$H$52:$H$74</definedName>
    <definedName name="OSRRefH16x_0" localSheetId="57">'331'!$H$45:$H$67</definedName>
    <definedName name="OSRRefH16x_0" localSheetId="60">'332'!$H$31:$H$35</definedName>
    <definedName name="OSRRefH16x_0" localSheetId="77">'405'!$H$17:$H$18</definedName>
    <definedName name="OSRRefH16x_0" localSheetId="78">'406'!$H$17:$H$18</definedName>
    <definedName name="OSRRefH16x_0" localSheetId="80">'412'!$H$18</definedName>
    <definedName name="OSRRefH16x_0" localSheetId="81">'413'!$H$17:$H$18</definedName>
    <definedName name="OSRRefH16x_0" localSheetId="82">'414'!$H$17:$H$18</definedName>
    <definedName name="OSRRefH16x_0" localSheetId="83">'415'!$H$17:$H$18</definedName>
    <definedName name="OSRRefH16x_0" localSheetId="84">'418'!$H$17:$H$18</definedName>
    <definedName name="OSRRefH16x_0" localSheetId="86">'423'!$H$15</definedName>
    <definedName name="OSRRefH16x_0" localSheetId="87">'424'!$H$17:$H$18</definedName>
    <definedName name="OSRRefH16x_0" localSheetId="88">'425'!$H$20:$H$21</definedName>
    <definedName name="OSRRefH16x_0" localSheetId="92">'433'!$H$19:$H$20</definedName>
    <definedName name="OSRRefH16x_0" localSheetId="93">'435'!$H$18:$H$19</definedName>
    <definedName name="OSRRefH16x_0" localSheetId="94">'444'!$H$18:$H$19</definedName>
    <definedName name="OSRRefH16x_0" localSheetId="95">'450'!$H$18:$H$19</definedName>
    <definedName name="OSRRefH16x_0" localSheetId="76">'491'!$H$26:$H$27</definedName>
    <definedName name="OSRRefH16x_0" localSheetId="90">'492'!$H$21:$H$22</definedName>
    <definedName name="OSRRefH16x_0" localSheetId="47">'Div 3'!$H$109:$H$159</definedName>
    <definedName name="OSRRefH16x_0" localSheetId="74">'Div 4'!$H$27:$H$28</definedName>
    <definedName name="OSRRefH16x_0" localSheetId="63">'Div 6'!$H$39:$H$51</definedName>
    <definedName name="OSRRefH16x_0" localSheetId="2">Summary!$H$136:$H$193</definedName>
    <definedName name="OSRRefH22_0x_0" localSheetId="40">'200'!$H$20</definedName>
    <definedName name="OSRRefH22_0x_0" localSheetId="41">'201'!$H$20:$H$28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'206'!$H$20:$H$27</definedName>
    <definedName name="OSRRefH22_0x_0" localSheetId="48">'300'!$H$160:$H$168</definedName>
    <definedName name="OSRRefH22_0x_0" localSheetId="49">'300 &amp; 317'!$H$185:$H$193</definedName>
    <definedName name="OSRRefH22_0x_0" localSheetId="50">'301'!$H$20:$H$27</definedName>
    <definedName name="OSRRefH22_0x_0" localSheetId="51">'306'!$H$20:$H$28</definedName>
    <definedName name="OSRRefH22_0x_0" localSheetId="53">'307'!$H$72:$H$79</definedName>
    <definedName name="OSRRefH22_0x_0" localSheetId="54">'308'!$H$62:$H$70</definedName>
    <definedName name="OSRRefH22_0x_0" localSheetId="66">'309'!$H$24:$H$31</definedName>
    <definedName name="OSRRefH22_0x_0" localSheetId="65">'310'!$H$32:$H$39</definedName>
    <definedName name="OSRRefH22_0x_0" localSheetId="75">'310 &amp; 491'!$H$40:$H$48</definedName>
    <definedName name="OSRRefH22_0x_0" localSheetId="55">'311'!$H$61:$H$69</definedName>
    <definedName name="OSRRefH22_0x_0" localSheetId="67">'313'!$H$29:$H$36</definedName>
    <definedName name="OSRRefH22_0x_0" localSheetId="56">'314'!$H$56:$H$62</definedName>
    <definedName name="OSRRefH22_0x_0" localSheetId="58">'315'!$H$55:$H$62</definedName>
    <definedName name="OSRRefH22_0x_0" localSheetId="61">'316'!$H$32:$H$39</definedName>
    <definedName name="OSRRefH22_0x_0" localSheetId="64">'317'!$H$57:$H$65</definedName>
    <definedName name="OSRRefH22_0x_0" localSheetId="62">'320'!$H$29:$H$35</definedName>
    <definedName name="OSRRefH22_0x_0" localSheetId="68">'321'!$H$24:$H$30</definedName>
    <definedName name="OSRRefH22_0x_0" localSheetId="69">'322'!$H$24:$H$31</definedName>
    <definedName name="OSRRefH22_0x_0" localSheetId="71">'324'!$H$25</definedName>
    <definedName name="OSRRefH22_0x_0" localSheetId="72">'325'!$H$24:$H$31</definedName>
    <definedName name="OSRRefH22_0x_0" localSheetId="59">'326'!$H$59:$H$66</definedName>
    <definedName name="OSRRefH22_0x_0" localSheetId="73">'327'!$H$22</definedName>
    <definedName name="OSRRefH22_0x_0" localSheetId="52">'330'!$H$80:$H$87</definedName>
    <definedName name="OSRRefH22_0x_0" localSheetId="57">'331'!$H$73:$H$80</definedName>
    <definedName name="OSRRefH22_0x_0" localSheetId="60">'332'!$H$41:$H$48</definedName>
    <definedName name="OSRRefH22_0x_0" localSheetId="77">'405'!$H$24:$H$31</definedName>
    <definedName name="OSRRefH22_0x_0" localSheetId="78">'406'!$H$24:$H$31</definedName>
    <definedName name="OSRRefH22_0x_0" localSheetId="79">'411'!$H$20:$H$28</definedName>
    <definedName name="OSRRefH22_0x_0" localSheetId="80">'412'!$H$24:$H$31</definedName>
    <definedName name="OSRRefH22_0x_0" localSheetId="81">'413'!$H$24:$H$31</definedName>
    <definedName name="OSRRefH22_0x_0" localSheetId="82">'414'!$H$24:$H$31</definedName>
    <definedName name="OSRRefH22_0x_0" localSheetId="83">'415'!$H$24:$H$31</definedName>
    <definedName name="OSRRefH22_0x_0" localSheetId="84">'418'!$H$24:$H$31</definedName>
    <definedName name="OSRRefH22_0x_0" localSheetId="85">'420'!$H$22:$H$28</definedName>
    <definedName name="OSRRefH22_0x_0" localSheetId="86">'423'!$H$21:$H$28</definedName>
    <definedName name="OSRRefH22_0x_0" localSheetId="87">'424'!$H$24:$H$26</definedName>
    <definedName name="OSRRefH22_0x_0" localSheetId="88">'425'!$H$27:$H$34</definedName>
    <definedName name="OSRRefH22_0x_0" localSheetId="91">'430'!$H$20:$H$27</definedName>
    <definedName name="OSRRefH22_0x_0" localSheetId="92">'433'!$H$26:$H$34</definedName>
    <definedName name="OSRRefH22_0x_0" localSheetId="93">'435'!$H$25:$H$27</definedName>
    <definedName name="OSRRefH22_0x_0" localSheetId="94">'444'!$H$25:$H$33</definedName>
    <definedName name="OSRRefH22_0x_0" localSheetId="95">'450'!$H$25:$H$33</definedName>
    <definedName name="OSRRefH22_0x_0" localSheetId="89">'455'!$H$20:$H$26</definedName>
    <definedName name="OSRRefH22_0x_0" localSheetId="76">'491'!$H$33:$H$41</definedName>
    <definedName name="OSRRefH22_0x_0" localSheetId="90">'492'!$H$28:$H$36</definedName>
    <definedName name="OSRRefH22_0x_0" localSheetId="97">'501'!$H$21:$H$28</definedName>
    <definedName name="OSRRefH22_0x_0" localSheetId="9">'Div 2'!$H$20:$H$30</definedName>
    <definedName name="OSRRefH22_0x_0" localSheetId="47">'Div 3'!$H$165:$H$173</definedName>
    <definedName name="OSRRefH22_0x_0" localSheetId="74">'Div 4'!$H$34:$H$42</definedName>
    <definedName name="OSRRefH22_0x_0" localSheetId="96">'Div 5'!$H$21:$H$28</definedName>
    <definedName name="OSRRefH22_0x_0" localSheetId="63">'Div 6'!$H$57:$H$65</definedName>
    <definedName name="OSRRefH22_0x_0" localSheetId="2">Summary!$H$199:$H$207</definedName>
    <definedName name="OSRRefH22_10x_0" localSheetId="41">'201'!$H$52:$H$54</definedName>
    <definedName name="OSRRefH22_10x_0" localSheetId="42">'202'!$H$52</definedName>
    <definedName name="OSRRefH22_10x_0" localSheetId="43">'203'!$H$54:$H$55</definedName>
    <definedName name="OSRRefH22_10x_0" localSheetId="44">'204'!$H$57:$H$58</definedName>
    <definedName name="OSRRefH22_10x_0" localSheetId="48">'300'!$H$197:$H$198</definedName>
    <definedName name="OSRRefH22_10x_0" localSheetId="49">'300 &amp; 317'!$H$222:$H$223</definedName>
    <definedName name="OSRRefH22_10x_0" localSheetId="50">'301'!$H$56</definedName>
    <definedName name="OSRRefH22_10x_0" localSheetId="53">'307'!$H$105:$H$106</definedName>
    <definedName name="OSRRefH22_10x_0" localSheetId="54">'308'!$H$97</definedName>
    <definedName name="OSRRefH22_10x_0" localSheetId="66">'309'!$H$57:$H$62</definedName>
    <definedName name="OSRRefH22_10x_0" localSheetId="65">'310'!$H$65</definedName>
    <definedName name="OSRRefH22_10x_0" localSheetId="75">'310 &amp; 491'!$H$76</definedName>
    <definedName name="OSRRefH22_10x_0" localSheetId="55">'311'!$H$96</definedName>
    <definedName name="OSRRefH22_10x_0" localSheetId="67">'313'!$H$62</definedName>
    <definedName name="OSRRefH22_10x_0" localSheetId="58">'315'!$H$90</definedName>
    <definedName name="OSRRefH22_10x_0" localSheetId="64">'317'!$H$89</definedName>
    <definedName name="OSRRefH22_10x_0" localSheetId="68">'321'!$H$62</definedName>
    <definedName name="OSRRefH22_10x_0" localSheetId="69">'322'!$H$56:$H$58</definedName>
    <definedName name="OSRRefH22_10x_0" localSheetId="72">'325'!$H$57</definedName>
    <definedName name="OSRRefH22_10x_0" localSheetId="59">'326'!$H$89</definedName>
    <definedName name="OSRRefH22_10x_0" localSheetId="52">'330'!$H$112:$H$113</definedName>
    <definedName name="OSRRefH22_10x_0" localSheetId="57">'331'!$H$106</definedName>
    <definedName name="OSRRefH22_10x_0" localSheetId="60">'332'!$H$73:$H$77</definedName>
    <definedName name="OSRRefH22_10x_0" localSheetId="77">'405'!$H$55:$H$56</definedName>
    <definedName name="OSRRefH22_10x_0" localSheetId="78">'406'!$H$58:$H$63</definedName>
    <definedName name="OSRRefH22_10x_0" localSheetId="79">'411'!$H$55:$H$57</definedName>
    <definedName name="OSRRefH22_10x_0" localSheetId="80">'412'!$H$57:$H$59</definedName>
    <definedName name="OSRRefH22_10x_0" localSheetId="81">'413'!$H$62</definedName>
    <definedName name="OSRRefH22_10x_0" localSheetId="82">'414'!$H$57</definedName>
    <definedName name="OSRRefH22_10x_0" localSheetId="83">'415'!$H$57</definedName>
    <definedName name="OSRRefH22_10x_0" localSheetId="84">'418'!$H$60:$H$62</definedName>
    <definedName name="OSRRefH22_10x_0" localSheetId="87">'424'!$H$50:$H$54</definedName>
    <definedName name="OSRRefH22_10x_0" localSheetId="88">'425'!$H$60</definedName>
    <definedName name="OSRRefH22_10x_0" localSheetId="92">'433'!$H$59:$H$61</definedName>
    <definedName name="OSRRefH22_10x_0" localSheetId="94">'444'!$H$58</definedName>
    <definedName name="OSRRefH22_10x_0" localSheetId="95">'450'!$H$58</definedName>
    <definedName name="OSRRefH22_10x_0" localSheetId="76">'491'!$H$70</definedName>
    <definedName name="OSRRefH22_10x_0" localSheetId="90">'492'!$H$62</definedName>
    <definedName name="OSRRefH22_10x_0" localSheetId="97">'501'!$H$53:$H$54</definedName>
    <definedName name="OSRRefH22_10x_0" localSheetId="9">'Div 2'!$H$57</definedName>
    <definedName name="OSRRefH22_10x_0" localSheetId="47">'Div 3'!$H$202:$H$203</definedName>
    <definedName name="OSRRefH22_10x_0" localSheetId="74">'Div 4'!$H$70:$H$71</definedName>
    <definedName name="OSRRefH22_10x_0" localSheetId="96">'Div 5'!$H$53:$H$54</definedName>
    <definedName name="OSRRefH22_10x_0" localSheetId="63">'Div 6'!$H$89</definedName>
    <definedName name="OSRRefH22_10x_0" localSheetId="2">Summary!$H$237:$H$238</definedName>
    <definedName name="OSRRefH22_11x_0" localSheetId="41">'201'!$H$56</definedName>
    <definedName name="OSRRefH22_11x_0" localSheetId="42">'202'!$H$54:$H$56</definedName>
    <definedName name="OSRRefH22_11x_0" localSheetId="43">'203'!$H$57</definedName>
    <definedName name="OSRRefH22_11x_0" localSheetId="48">'300'!$H$200</definedName>
    <definedName name="OSRRefH22_11x_0" localSheetId="49">'300 &amp; 317'!$H$225</definedName>
    <definedName name="OSRRefH22_11x_0" localSheetId="50">'301'!$H$58</definedName>
    <definedName name="OSRRefH22_11x_0" localSheetId="53">'307'!$H$108</definedName>
    <definedName name="OSRRefH22_11x_0" localSheetId="54">'308'!$H$99:$H$102</definedName>
    <definedName name="OSRRefH22_11x_0" localSheetId="66">'309'!$H$64</definedName>
    <definedName name="OSRRefH22_11x_0" localSheetId="65">'310'!$H$67</definedName>
    <definedName name="OSRRefH22_11x_0" localSheetId="75">'310 &amp; 491'!$H$78:$H$79</definedName>
    <definedName name="OSRRefH22_11x_0" localSheetId="55">'311'!$H$98:$H$101</definedName>
    <definedName name="OSRRefH22_11x_0" localSheetId="67">'313'!$H$64</definedName>
    <definedName name="OSRRefH22_11x_0" localSheetId="58">'315'!$H$92:$H$95</definedName>
    <definedName name="OSRRefH22_11x_0" localSheetId="64">'317'!$H$91</definedName>
    <definedName name="OSRRefH22_11x_0" localSheetId="68">'321'!$H$64</definedName>
    <definedName name="OSRRefH22_11x_0" localSheetId="69">'322'!$H$60:$H$65</definedName>
    <definedName name="OSRRefH22_11x_0" localSheetId="72">'325'!$H$59:$H$61</definedName>
    <definedName name="OSRRefH22_11x_0" localSheetId="59">'326'!$H$91</definedName>
    <definedName name="OSRRefH22_11x_0" localSheetId="52">'330'!$H$115</definedName>
    <definedName name="OSRRefH22_11x_0" localSheetId="57">'331'!$H$108</definedName>
    <definedName name="OSRRefH22_11x_0" localSheetId="60">'332'!$H$79</definedName>
    <definedName name="OSRRefH22_11x_0" localSheetId="77">'405'!$H$58</definedName>
    <definedName name="OSRRefH22_11x_0" localSheetId="78">'406'!$H$65</definedName>
    <definedName name="OSRRefH22_11x_0" localSheetId="79">'411'!$H$59:$H$63</definedName>
    <definedName name="OSRRefH22_11x_0" localSheetId="80">'412'!$H$61:$H$67</definedName>
    <definedName name="OSRRefH22_11x_0" localSheetId="82">'414'!$H$59</definedName>
    <definedName name="OSRRefH22_11x_0" localSheetId="83">'415'!$H$59:$H$61</definedName>
    <definedName name="OSRRefH22_11x_0" localSheetId="84">'418'!$H$64</definedName>
    <definedName name="OSRRefH22_11x_0" localSheetId="87">'424'!$H$56</definedName>
    <definedName name="OSRRefH22_11x_0" localSheetId="88">'425'!$H$62:$H$63</definedName>
    <definedName name="OSRRefH22_11x_0" localSheetId="92">'433'!$H$63:$H$65</definedName>
    <definedName name="OSRRefH22_11x_0" localSheetId="94">'444'!$H$60:$H$62</definedName>
    <definedName name="OSRRefH22_11x_0" localSheetId="95">'450'!$H$60:$H$61</definedName>
    <definedName name="OSRRefH22_11x_0" localSheetId="76">'491'!$H$72</definedName>
    <definedName name="OSRRefH22_11x_0" localSheetId="90">'492'!$H$64</definedName>
    <definedName name="OSRRefH22_11x_0" localSheetId="97">'501'!$H$56:$H$59</definedName>
    <definedName name="OSRRefH22_11x_0" localSheetId="9">'Div 2'!$H$59</definedName>
    <definedName name="OSRRefH22_11x_0" localSheetId="47">'Div 3'!$H$205</definedName>
    <definedName name="OSRRefH22_11x_0" localSheetId="74">'Div 4'!$H$73</definedName>
    <definedName name="OSRRefH22_11x_0" localSheetId="96">'Div 5'!$H$56:$H$59</definedName>
    <definedName name="OSRRefH22_11x_0" localSheetId="63">'Div 6'!$H$91</definedName>
    <definedName name="OSRRefH22_11x_0" localSheetId="2">Summary!$H$240:$H$241</definedName>
    <definedName name="OSRRefH22_12x_0" localSheetId="41">'201'!$H$58:$H$60</definedName>
    <definedName name="OSRRefH22_12x_0" localSheetId="42">'202'!$H$58</definedName>
    <definedName name="OSRRefH22_12x_0" localSheetId="43">'203'!$H$59:$H$61</definedName>
    <definedName name="OSRRefH22_12x_0" localSheetId="48">'300'!$H$202</definedName>
    <definedName name="OSRRefH22_12x_0" localSheetId="49">'300 &amp; 317'!$H$227</definedName>
    <definedName name="OSRRefH22_12x_0" localSheetId="50">'301'!$H$60</definedName>
    <definedName name="OSRRefH22_12x_0" localSheetId="53">'307'!$H$110</definedName>
    <definedName name="OSRRefH22_12x_0" localSheetId="54">'308'!$H$104:$H$105</definedName>
    <definedName name="OSRRefH22_12x_0" localSheetId="65">'310'!$H$69</definedName>
    <definedName name="OSRRefH22_12x_0" localSheetId="75">'310 &amp; 491'!$H$81</definedName>
    <definedName name="OSRRefH22_12x_0" localSheetId="55">'311'!$H$103:$H$104</definedName>
    <definedName name="OSRRefH22_12x_0" localSheetId="67">'313'!$H$66:$H$71</definedName>
    <definedName name="OSRRefH22_12x_0" localSheetId="58">'315'!$H$97</definedName>
    <definedName name="OSRRefH22_12x_0" localSheetId="64">'317'!$H$93</definedName>
    <definedName name="OSRRefH22_12x_0" localSheetId="69">'322'!$H$67</definedName>
    <definedName name="OSRRefH22_12x_0" localSheetId="72">'325'!$H$63:$H$65</definedName>
    <definedName name="OSRRefH22_12x_0" localSheetId="59">'326'!$H$93</definedName>
    <definedName name="OSRRefH22_12x_0" localSheetId="52">'330'!$H$117:$H$119</definedName>
    <definedName name="OSRRefH22_12x_0" localSheetId="57">'331'!$H$110</definedName>
    <definedName name="OSRRefH22_12x_0" localSheetId="60">'332'!$H$81</definedName>
    <definedName name="OSRRefH22_12x_0" localSheetId="77">'405'!$H$60:$H$62</definedName>
    <definedName name="OSRRefH22_12x_0" localSheetId="78">'406'!$H$67</definedName>
    <definedName name="OSRRefH22_12x_0" localSheetId="79">'411'!$H$65:$H$71</definedName>
    <definedName name="OSRRefH22_12x_0" localSheetId="80">'412'!$H$69</definedName>
    <definedName name="OSRRefH22_12x_0" localSheetId="82">'414'!$H$61:$H$67</definedName>
    <definedName name="OSRRefH22_12x_0" localSheetId="83">'415'!$H$63:$H$67</definedName>
    <definedName name="OSRRefH22_12x_0" localSheetId="84">'418'!$H$66:$H$72</definedName>
    <definedName name="OSRRefH22_12x_0" localSheetId="88">'425'!$H$65:$H$71</definedName>
    <definedName name="OSRRefH22_12x_0" localSheetId="92">'433'!$H$67:$H$72</definedName>
    <definedName name="OSRRefH22_12x_0" localSheetId="94">'444'!$H$64:$H$66</definedName>
    <definedName name="OSRRefH22_12x_0" localSheetId="95">'450'!$H$63:$H$65</definedName>
    <definedName name="OSRRefH22_12x_0" localSheetId="76">'491'!$H$74</definedName>
    <definedName name="OSRRefH22_12x_0" localSheetId="90">'492'!$H$66:$H$68</definedName>
    <definedName name="OSRRefH22_12x_0" localSheetId="97">'501'!$H$61</definedName>
    <definedName name="OSRRefH22_12x_0" localSheetId="9">'Div 2'!$H$61:$H$64</definedName>
    <definedName name="OSRRefH22_12x_0" localSheetId="47">'Div 3'!$H$207</definedName>
    <definedName name="OSRRefH22_12x_0" localSheetId="74">'Div 4'!$H$75</definedName>
    <definedName name="OSRRefH22_12x_0" localSheetId="96">'Div 5'!$H$61</definedName>
    <definedName name="OSRRefH22_12x_0" localSheetId="63">'Div 6'!$H$93</definedName>
    <definedName name="OSRRefH22_12x_0" localSheetId="2">Summary!$H$243</definedName>
    <definedName name="OSRRefH22_13x_0" localSheetId="41">'201'!$H$62</definedName>
    <definedName name="OSRRefH22_13x_0" localSheetId="42">'202'!$H$60</definedName>
    <definedName name="OSRRefH22_13x_0" localSheetId="43">'203'!$H$63</definedName>
    <definedName name="OSRRefH22_13x_0" localSheetId="48">'300'!$H$204</definedName>
    <definedName name="OSRRefH22_13x_0" localSheetId="49">'300 &amp; 317'!$H$229</definedName>
    <definedName name="OSRRefH22_13x_0" localSheetId="50">'301'!$H$62</definedName>
    <definedName name="OSRRefH22_13x_0" localSheetId="54">'308'!$H$107</definedName>
    <definedName name="OSRRefH22_13x_0" localSheetId="65">'310'!$H$71</definedName>
    <definedName name="OSRRefH22_13x_0" localSheetId="75">'310 &amp; 491'!$H$83</definedName>
    <definedName name="OSRRefH22_13x_0" localSheetId="55">'311'!$H$106</definedName>
    <definedName name="OSRRefH22_13x_0" localSheetId="67">'313'!$H$73</definedName>
    <definedName name="OSRRefH22_13x_0" localSheetId="58">'315'!$H$99</definedName>
    <definedName name="OSRRefH22_13x_0" localSheetId="69">'322'!$H$69</definedName>
    <definedName name="OSRRefH22_13x_0" localSheetId="72">'325'!$H$67</definedName>
    <definedName name="OSRRefH22_13x_0" localSheetId="59">'326'!$H$95:$H$96</definedName>
    <definedName name="OSRRefH22_13x_0" localSheetId="52">'330'!$H$121</definedName>
    <definedName name="OSRRefH22_13x_0" localSheetId="57">'331'!$H$112</definedName>
    <definedName name="OSRRefH22_13x_0" localSheetId="77">'405'!$H$64</definedName>
    <definedName name="OSRRefH22_13x_0" localSheetId="79">'411'!$H$73</definedName>
    <definedName name="OSRRefH22_13x_0" localSheetId="80">'412'!$H$71</definedName>
    <definedName name="OSRRefH22_13x_0" localSheetId="82">'414'!$H$69</definedName>
    <definedName name="OSRRefH22_13x_0" localSheetId="83">'415'!$H$69</definedName>
    <definedName name="OSRRefH22_13x_0" localSheetId="84">'418'!$H$74</definedName>
    <definedName name="OSRRefH22_13x_0" localSheetId="88">'425'!$H$73</definedName>
    <definedName name="OSRRefH22_13x_0" localSheetId="92">'433'!$H$74</definedName>
    <definedName name="OSRRefH22_13x_0" localSheetId="94">'444'!$H$68:$H$75</definedName>
    <definedName name="OSRRefH22_13x_0" localSheetId="95">'450'!$H$67:$H$73</definedName>
    <definedName name="OSRRefH22_13x_0" localSheetId="76">'491'!$H$76</definedName>
    <definedName name="OSRRefH22_13x_0" localSheetId="90">'492'!$H$70:$H$72</definedName>
    <definedName name="OSRRefH22_13x_0" localSheetId="9">'Div 2'!$H$66:$H$68</definedName>
    <definedName name="OSRRefH22_13x_0" localSheetId="47">'Div 3'!$H$209</definedName>
    <definedName name="OSRRefH22_13x_0" localSheetId="74">'Div 4'!$H$77</definedName>
    <definedName name="OSRRefH22_13x_0" localSheetId="2">Summary!$H$245</definedName>
    <definedName name="OSRRefH22_14x_0" localSheetId="41">'201'!$H$64</definedName>
    <definedName name="OSRRefH22_14x_0" localSheetId="43">'203'!$H$65</definedName>
    <definedName name="OSRRefH22_14x_0" localSheetId="48">'300'!$H$206</definedName>
    <definedName name="OSRRefH22_14x_0" localSheetId="49">'300 &amp; 317'!$H$231</definedName>
    <definedName name="OSRRefH22_14x_0" localSheetId="50">'301'!$H$64:$H$66</definedName>
    <definedName name="OSRRefH22_14x_0" localSheetId="54">'308'!$H$109</definedName>
    <definedName name="OSRRefH22_14x_0" localSheetId="65">'310'!$H$73:$H$75</definedName>
    <definedName name="OSRRefH22_14x_0" localSheetId="75">'310 &amp; 491'!$H$85</definedName>
    <definedName name="OSRRefH22_14x_0" localSheetId="55">'311'!$H$108</definedName>
    <definedName name="OSRRefH22_14x_0" localSheetId="67">'313'!$H$75</definedName>
    <definedName name="OSRRefH22_14x_0" localSheetId="58">'315'!$H$101:$H$102</definedName>
    <definedName name="OSRRefH22_14x_0" localSheetId="72">'325'!$H$69:$H$74</definedName>
    <definedName name="OSRRefH22_14x_0" localSheetId="59">'326'!$H$98:$H$100</definedName>
    <definedName name="OSRRefH22_14x_0" localSheetId="52">'330'!$H$123</definedName>
    <definedName name="OSRRefH22_14x_0" localSheetId="57">'331'!$H$114:$H$116</definedName>
    <definedName name="OSRRefH22_14x_0" localSheetId="77">'405'!$H$66:$H$72</definedName>
    <definedName name="OSRRefH22_14x_0" localSheetId="79">'411'!$H$75</definedName>
    <definedName name="OSRRefH22_14x_0" localSheetId="82">'414'!$H$71</definedName>
    <definedName name="OSRRefH22_14x_0" localSheetId="83">'415'!$H$71:$H$77</definedName>
    <definedName name="OSRRefH22_14x_0" localSheetId="84">'418'!$H$76</definedName>
    <definedName name="OSRRefH22_14x_0" localSheetId="88">'425'!$H$75</definedName>
    <definedName name="OSRRefH22_14x_0" localSheetId="92">'433'!$H$76</definedName>
    <definedName name="OSRRefH22_14x_0" localSheetId="94">'444'!$H$77</definedName>
    <definedName name="OSRRefH22_14x_0" localSheetId="95">'450'!$H$75</definedName>
    <definedName name="OSRRefH22_14x_0" localSheetId="76">'491'!$H$78:$H$80</definedName>
    <definedName name="OSRRefH22_14x_0" localSheetId="90">'492'!$H$74:$H$81</definedName>
    <definedName name="OSRRefH22_14x_0" localSheetId="9">'Div 2'!$H$70:$H$71</definedName>
    <definedName name="OSRRefH22_14x_0" localSheetId="47">'Div 3'!$H$211</definedName>
    <definedName name="OSRRefH22_14x_0" localSheetId="74">'Div 4'!$H$79</definedName>
    <definedName name="OSRRefH22_14x_0" localSheetId="2">Summary!$H$247</definedName>
    <definedName name="OSRRefH22_15x_0" localSheetId="41">'201'!$H$66:$H$67</definedName>
    <definedName name="OSRRefH22_15x_0" localSheetId="43">'203'!$H$67</definedName>
    <definedName name="OSRRefH22_15x_0" localSheetId="48">'300'!$H$208</definedName>
    <definedName name="OSRRefH22_15x_0" localSheetId="49">'300 &amp; 317'!$H$233</definedName>
    <definedName name="OSRRefH22_15x_0" localSheetId="50">'301'!$H$68:$H$70</definedName>
    <definedName name="OSRRefH22_15x_0" localSheetId="65">'310'!$H$77</definedName>
    <definedName name="OSRRefH22_15x_0" localSheetId="75">'310 &amp; 491'!$H$87</definedName>
    <definedName name="OSRRefH22_15x_0" localSheetId="72">'325'!$H$76</definedName>
    <definedName name="OSRRefH22_15x_0" localSheetId="59">'326'!$H$102</definedName>
    <definedName name="OSRRefH22_15x_0" localSheetId="57">'331'!$H$118:$H$119</definedName>
    <definedName name="OSRRefH22_15x_0" localSheetId="77">'405'!$H$74</definedName>
    <definedName name="OSRRefH22_15x_0" localSheetId="79">'411'!$H$77:$H$79</definedName>
    <definedName name="OSRRefH22_15x_0" localSheetId="83">'415'!$H$79</definedName>
    <definedName name="OSRRefH22_15x_0" localSheetId="88">'425'!$H$77</definedName>
    <definedName name="OSRRefH22_15x_0" localSheetId="92">'433'!$H$78:$H$79</definedName>
    <definedName name="OSRRefH22_15x_0" localSheetId="94">'444'!$H$79</definedName>
    <definedName name="OSRRefH22_15x_0" localSheetId="95">'450'!$H$77</definedName>
    <definedName name="OSRRefH22_15x_0" localSheetId="76">'491'!$H$82:$H$83</definedName>
    <definedName name="OSRRefH22_15x_0" localSheetId="90">'492'!$H$83</definedName>
    <definedName name="OSRRefH22_15x_0" localSheetId="9">'Div 2'!$H$73</definedName>
    <definedName name="OSRRefH22_15x_0" localSheetId="47">'Div 3'!$H$213</definedName>
    <definedName name="OSRRefH22_15x_0" localSheetId="74">'Div 4'!$H$81</definedName>
    <definedName name="OSRRefH22_15x_0" localSheetId="2">Summary!$H$249</definedName>
    <definedName name="OSRRefH22_16x_0" localSheetId="48">'300'!$H$210:$H$212</definedName>
    <definedName name="OSRRefH22_16x_0" localSheetId="49">'300 &amp; 317'!$H$235:$H$237</definedName>
    <definedName name="OSRRefH22_16x_0" localSheetId="50">'301'!$H$72</definedName>
    <definedName name="OSRRefH22_16x_0" localSheetId="65">'310'!$H$79:$H$82</definedName>
    <definedName name="OSRRefH22_16x_0" localSheetId="75">'310 &amp; 491'!$H$89:$H$91</definedName>
    <definedName name="OSRRefH22_16x_0" localSheetId="72">'325'!$H$78</definedName>
    <definedName name="OSRRefH22_16x_0" localSheetId="59">'326'!$H$104:$H$108</definedName>
    <definedName name="OSRRefH22_16x_0" localSheetId="57">'331'!$H$121:$H$123</definedName>
    <definedName name="OSRRefH22_16x_0" localSheetId="77">'405'!$H$76</definedName>
    <definedName name="OSRRefH22_16x_0" localSheetId="79">'411'!$H$81</definedName>
    <definedName name="OSRRefH22_16x_0" localSheetId="83">'415'!$H$81</definedName>
    <definedName name="OSRRefH22_16x_0" localSheetId="94">'444'!$H$81</definedName>
    <definedName name="OSRRefH22_16x_0" localSheetId="95">'450'!$H$79:$H$80</definedName>
    <definedName name="OSRRefH22_16x_0" localSheetId="76">'491'!$H$85:$H$89</definedName>
    <definedName name="OSRRefH22_16x_0" localSheetId="90">'492'!$H$85</definedName>
    <definedName name="OSRRefH22_16x_0" localSheetId="9">'Div 2'!$H$75:$H$78</definedName>
    <definedName name="OSRRefH22_16x_0" localSheetId="47">'Div 3'!$H$215</definedName>
    <definedName name="OSRRefH22_16x_0" localSheetId="74">'Div 4'!$H$83:$H$85</definedName>
    <definedName name="OSRRefH22_16x_0" localSheetId="2">Summary!$H$251</definedName>
    <definedName name="OSRRefH22_17x_0" localSheetId="48">'300'!$H$214:$H$216</definedName>
    <definedName name="OSRRefH22_17x_0" localSheetId="49">'300 &amp; 317'!$H$239:$H$241</definedName>
    <definedName name="OSRRefH22_17x_0" localSheetId="50">'301'!$H$74:$H$78</definedName>
    <definedName name="OSRRefH22_17x_0" localSheetId="65">'310'!$H$84:$H$85</definedName>
    <definedName name="OSRRefH22_17x_0" localSheetId="75">'310 &amp; 491'!$H$93:$H$94</definedName>
    <definedName name="OSRRefH22_17x_0" localSheetId="59">'326'!$H$110</definedName>
    <definedName name="OSRRefH22_17x_0" localSheetId="57">'331'!$H$125</definedName>
    <definedName name="OSRRefH22_17x_0" localSheetId="77">'405'!$H$78</definedName>
    <definedName name="OSRRefH22_17x_0" localSheetId="83">'415'!$H$83</definedName>
    <definedName name="OSRRefH22_17x_0" localSheetId="76">'491'!$H$91</definedName>
    <definedName name="OSRRefH22_17x_0" localSheetId="90">'492'!$H$87:$H$88</definedName>
    <definedName name="OSRRefH22_17x_0" localSheetId="9">'Div 2'!$H$80:$H$81</definedName>
    <definedName name="OSRRefH22_17x_0" localSheetId="47">'Div 3'!$H$217:$H$219</definedName>
    <definedName name="OSRRefH22_17x_0" localSheetId="74">'Div 4'!$H$87:$H$88</definedName>
    <definedName name="OSRRefH22_17x_0" localSheetId="2">Summary!$H$253</definedName>
    <definedName name="OSRRefH22_18x_0" localSheetId="48">'300'!$H$218:$H$221</definedName>
    <definedName name="OSRRefH22_18x_0" localSheetId="49">'300 &amp; 317'!$H$243:$H$246</definedName>
    <definedName name="OSRRefH22_18x_0" localSheetId="50">'301'!$H$80</definedName>
    <definedName name="OSRRefH22_18x_0" localSheetId="65">'310'!$H$87:$H$93</definedName>
    <definedName name="OSRRefH22_18x_0" localSheetId="75">'310 &amp; 491'!$H$96:$H$100</definedName>
    <definedName name="OSRRefH22_18x_0" localSheetId="59">'326'!$H$112</definedName>
    <definedName name="OSRRefH22_18x_0" localSheetId="57">'331'!$H$127:$H$131</definedName>
    <definedName name="OSRRefH22_18x_0" localSheetId="76">'491'!$H$93:$H$100</definedName>
    <definedName name="OSRRefH22_18x_0" localSheetId="9">'Div 2'!$H$83</definedName>
    <definedName name="OSRRefH22_18x_0" localSheetId="47">'Div 3'!$H$221:$H$223</definedName>
    <definedName name="OSRRefH22_18x_0" localSheetId="74">'Div 4'!$H$90:$H$94</definedName>
    <definedName name="OSRRefH22_18x_0" localSheetId="2">Summary!$H$255:$H$257</definedName>
    <definedName name="OSRRefH22_19x_0" localSheetId="48">'300'!$H$223:$H$224</definedName>
    <definedName name="OSRRefH22_19x_0" localSheetId="49">'300 &amp; 317'!$H$248:$H$249</definedName>
    <definedName name="OSRRefH22_19x_0" localSheetId="50">'301'!$H$82</definedName>
    <definedName name="OSRRefH22_19x_0" localSheetId="65">'310'!$H$95</definedName>
    <definedName name="OSRRefH22_19x_0" localSheetId="75">'310 &amp; 491'!$H$102:$H$103</definedName>
    <definedName name="OSRRefH22_19x_0" localSheetId="59">'326'!$H$114</definedName>
    <definedName name="OSRRefH22_19x_0" localSheetId="57">'331'!$H$133</definedName>
    <definedName name="OSRRefH22_19x_0" localSheetId="76">'491'!$H$102</definedName>
    <definedName name="OSRRefH22_19x_0" localSheetId="9">'Div 2'!$H$85:$H$86</definedName>
    <definedName name="OSRRefH22_19x_0" localSheetId="47">'Div 3'!$H$225:$H$229</definedName>
    <definedName name="OSRRefH22_19x_0" localSheetId="74">'Div 4'!$H$96</definedName>
    <definedName name="OSRRefH22_19x_0" localSheetId="2">Summary!$H$259:$H$261</definedName>
    <definedName name="OSRRefH22_1x_0" localSheetId="40">'200'!$H$22</definedName>
    <definedName name="OSRRefH22_1x_0" localSheetId="41">'201'!$H$30:$H$32</definedName>
    <definedName name="OSRRefH22_1x_0" localSheetId="42">'202'!$H$29:$H$32</definedName>
    <definedName name="OSRRefH22_1x_0" localSheetId="43">'203'!$H$31:$H$34</definedName>
    <definedName name="OSRRefH22_1x_0" localSheetId="44">'204'!$H$30:$H$34</definedName>
    <definedName name="OSRRefH22_1x_0" localSheetId="45">'205'!$H$29</definedName>
    <definedName name="OSRRefH22_1x_0" localSheetId="46">'206'!$H$29:$H$34</definedName>
    <definedName name="OSRRefH22_1x_0" localSheetId="48">'300'!$H$170:$H$176</definedName>
    <definedName name="OSRRefH22_1x_0" localSheetId="49">'300 &amp; 317'!$H$195:$H$201</definedName>
    <definedName name="OSRRefH22_1x_0" localSheetId="50">'301'!$H$29:$H$35</definedName>
    <definedName name="OSRRefH22_1x_0" localSheetId="51">'306'!$H$30:$H$34</definedName>
    <definedName name="OSRRefH22_1x_0" localSheetId="53">'307'!$H$81:$H$84</definedName>
    <definedName name="OSRRefH22_1x_0" localSheetId="54">'308'!$H$72:$H$76</definedName>
    <definedName name="OSRRefH22_1x_0" localSheetId="66">'309'!$H$33:$H$37</definedName>
    <definedName name="OSRRefH22_1x_0" localSheetId="65">'310'!$H$41:$H$46</definedName>
    <definedName name="OSRRefH22_1x_0" localSheetId="75">'310 &amp; 491'!$H$50:$H$56</definedName>
    <definedName name="OSRRefH22_1x_0" localSheetId="55">'311'!$H$71:$H$75</definedName>
    <definedName name="OSRRefH22_1x_0" localSheetId="67">'313'!$H$38:$H$42</definedName>
    <definedName name="OSRRefH22_1x_0" localSheetId="56">'314'!$H$64:$H$66</definedName>
    <definedName name="OSRRefH22_1x_0" localSheetId="58">'315'!$H$64:$H$68</definedName>
    <definedName name="OSRRefH22_1x_0" localSheetId="61">'316'!$H$41:$H$44</definedName>
    <definedName name="OSRRefH22_1x_0" localSheetId="64">'317'!$H$67:$H$70</definedName>
    <definedName name="OSRRefH22_1x_0" localSheetId="62">'320'!$H$37:$H$39</definedName>
    <definedName name="OSRRefH22_1x_0" localSheetId="68">'321'!$H$32:$H$36</definedName>
    <definedName name="OSRRefH22_1x_0" localSheetId="69">'322'!$H$33:$H$37</definedName>
    <definedName name="OSRRefH22_1x_0" localSheetId="72">'325'!$H$33:$H$38</definedName>
    <definedName name="OSRRefH22_1x_0" localSheetId="59">'326'!$H$68:$H$71</definedName>
    <definedName name="OSRRefH22_1x_0" localSheetId="73">'327'!$H$24</definedName>
    <definedName name="OSRRefH22_1x_0" localSheetId="52">'330'!$H$89:$H$92</definedName>
    <definedName name="OSRRefH22_1x_0" localSheetId="57">'331'!$H$82:$H$86</definedName>
    <definedName name="OSRRefH22_1x_0" localSheetId="60">'332'!$H$50:$H$53</definedName>
    <definedName name="OSRRefH22_1x_0" localSheetId="77">'405'!$H$33:$H$36</definedName>
    <definedName name="OSRRefH22_1x_0" localSheetId="78">'406'!$H$33:$H$37</definedName>
    <definedName name="OSRRefH22_1x_0" localSheetId="79">'411'!$H$30:$H$35</definedName>
    <definedName name="OSRRefH22_1x_0" localSheetId="80">'412'!$H$33:$H$38</definedName>
    <definedName name="OSRRefH22_1x_0" localSheetId="81">'413'!$H$33:$H$37</definedName>
    <definedName name="OSRRefH22_1x_0" localSheetId="82">'414'!$H$33:$H$38</definedName>
    <definedName name="OSRRefH22_1x_0" localSheetId="83">'415'!$H$33:$H$38</definedName>
    <definedName name="OSRRefH22_1x_0" localSheetId="84">'418'!$H$33:$H$38</definedName>
    <definedName name="OSRRefH22_1x_0" localSheetId="85">'420'!$H$30:$H$33</definedName>
    <definedName name="OSRRefH22_1x_0" localSheetId="86">'423'!$H$30</definedName>
    <definedName name="OSRRefH22_1x_0" localSheetId="87">'424'!$H$28:$H$31</definedName>
    <definedName name="OSRRefH22_1x_0" localSheetId="88">'425'!$H$36:$H$40</definedName>
    <definedName name="OSRRefH22_1x_0" localSheetId="91">'430'!$H$29</definedName>
    <definedName name="OSRRefH22_1x_0" localSheetId="92">'433'!$H$36:$H$41</definedName>
    <definedName name="OSRRefH22_1x_0" localSheetId="93">'435'!$H$29:$H$30</definedName>
    <definedName name="OSRRefH22_1x_0" localSheetId="94">'444'!$H$35:$H$40</definedName>
    <definedName name="OSRRefH22_1x_0" localSheetId="95">'450'!$H$35:$H$40</definedName>
    <definedName name="OSRRefH22_1x_0" localSheetId="89">'455'!$H$28:$H$29</definedName>
    <definedName name="OSRRefH22_1x_0" localSheetId="76">'491'!$H$43:$H$49</definedName>
    <definedName name="OSRRefH22_1x_0" localSheetId="90">'492'!$H$38:$H$44</definedName>
    <definedName name="OSRRefH22_1x_0" localSheetId="97">'501'!$H$30:$H$35</definedName>
    <definedName name="OSRRefH22_1x_0" localSheetId="9">'Div 2'!$H$32:$H$38</definedName>
    <definedName name="OSRRefH22_1x_0" localSheetId="47">'Div 3'!$H$175:$H$181</definedName>
    <definedName name="OSRRefH22_1x_0" localSheetId="74">'Div 4'!$H$44:$H$50</definedName>
    <definedName name="OSRRefH22_1x_0" localSheetId="96">'Div 5'!$H$30:$H$35</definedName>
    <definedName name="OSRRefH22_1x_0" localSheetId="63">'Div 6'!$H$67:$H$70</definedName>
    <definedName name="OSRRefH22_1x_0" localSheetId="2">Summary!$H$209:$H$215</definedName>
    <definedName name="OSRRefH22_20x_0" localSheetId="48">'300'!$H$226:$H$231</definedName>
    <definedName name="OSRRefH22_20x_0" localSheetId="49">'300 &amp; 317'!$H$251:$H$256</definedName>
    <definedName name="OSRRefH22_20x_0" localSheetId="50">'301'!$H$84:$H$85</definedName>
    <definedName name="OSRRefH22_20x_0" localSheetId="65">'310'!$H$97</definedName>
    <definedName name="OSRRefH22_20x_0" localSheetId="75">'310 &amp; 491'!$H$105:$H$112</definedName>
    <definedName name="OSRRefH22_20x_0" localSheetId="57">'331'!$H$135</definedName>
    <definedName name="OSRRefH22_20x_0" localSheetId="76">'491'!$H$104</definedName>
    <definedName name="OSRRefH22_20x_0" localSheetId="47">'Div 3'!$H$231:$H$232</definedName>
    <definedName name="OSRRefH22_20x_0" localSheetId="74">'Div 4'!$H$98:$H$105</definedName>
    <definedName name="OSRRefH22_20x_0" localSheetId="2">Summary!$H$263:$H$267</definedName>
    <definedName name="OSRRefH22_21x_0" localSheetId="48">'300'!$H$233:$H$234</definedName>
    <definedName name="OSRRefH22_21x_0" localSheetId="49">'300 &amp; 317'!$H$258:$H$259</definedName>
    <definedName name="OSRRefH22_21x_0" localSheetId="50">'301'!$H$87</definedName>
    <definedName name="OSRRefH22_21x_0" localSheetId="65">'310'!$H$99</definedName>
    <definedName name="OSRRefH22_21x_0" localSheetId="75">'310 &amp; 491'!$H$114</definedName>
    <definedName name="OSRRefH22_21x_0" localSheetId="57">'331'!$H$137:$H$138</definedName>
    <definedName name="OSRRefH22_21x_0" localSheetId="76">'491'!$H$106:$H$108</definedName>
    <definedName name="OSRRefH22_21x_0" localSheetId="47">'Div 3'!$H$234:$H$240</definedName>
    <definedName name="OSRRefH22_21x_0" localSheetId="74">'Div 4'!$H$107</definedName>
    <definedName name="OSRRefH22_21x_0" localSheetId="2">Summary!$H$269:$H$270</definedName>
    <definedName name="OSRRefH22_22x_0" localSheetId="48">'300'!$H$236</definedName>
    <definedName name="OSRRefH22_22x_0" localSheetId="49">'300 &amp; 317'!$H$261</definedName>
    <definedName name="OSRRefH22_22x_0" localSheetId="75">'310 &amp; 491'!$H$116</definedName>
    <definedName name="OSRRefH22_22x_0" localSheetId="57">'331'!$H$140</definedName>
    <definedName name="OSRRefH22_22x_0" localSheetId="76">'491'!$H$110</definedName>
    <definedName name="OSRRefH22_22x_0" localSheetId="47">'Div 3'!$H$242:$H$243</definedName>
    <definedName name="OSRRefH22_22x_0" localSheetId="74">'Div 4'!$H$109</definedName>
    <definedName name="OSRRefH22_22x_0" localSheetId="2">Summary!$H$272:$H$279</definedName>
    <definedName name="OSRRefH22_23x_0" localSheetId="48">'300'!$H$238:$H$240</definedName>
    <definedName name="OSRRefH22_23x_0" localSheetId="49">'300 &amp; 317'!$H$263:$H$265</definedName>
    <definedName name="OSRRefH22_23x_0" localSheetId="75">'310 &amp; 491'!$H$118:$H$120</definedName>
    <definedName name="OSRRefH22_23x_0" localSheetId="47">'Div 3'!$H$245</definedName>
    <definedName name="OSRRefH22_23x_0" localSheetId="74">'Div 4'!$H$111:$H$113</definedName>
    <definedName name="OSRRefH22_23x_0" localSheetId="2">Summary!$H$281:$H$282</definedName>
    <definedName name="OSRRefH22_24x_0" localSheetId="48">'300'!$H$242</definedName>
    <definedName name="OSRRefH22_24x_0" localSheetId="49">'300 &amp; 317'!$H$267</definedName>
    <definedName name="OSRRefH22_24x_0" localSheetId="75">'310 &amp; 491'!$H$122</definedName>
    <definedName name="OSRRefH22_24x_0" localSheetId="47">'Div 3'!$H$247:$H$249</definedName>
    <definedName name="OSRRefH22_24x_0" localSheetId="74">'Div 4'!$H$115</definedName>
    <definedName name="OSRRefH22_24x_0" localSheetId="2">Summary!$H$284</definedName>
    <definedName name="OSRRefH22_25x_0" localSheetId="47">'Div 3'!$H$251</definedName>
    <definedName name="OSRRefH22_25x_0" localSheetId="2">Summary!$H$286:$H$288</definedName>
    <definedName name="OSRRefH22_26x_0" localSheetId="2">Summary!$H$290</definedName>
    <definedName name="OSRRefH22_2x_0" localSheetId="40">'200'!$H$24</definedName>
    <definedName name="OSRRefH22_2x_0" localSheetId="41">'201'!$H$34</definedName>
    <definedName name="OSRRefH22_2x_0" localSheetId="42">'202'!$H$34</definedName>
    <definedName name="OSRRefH22_2x_0" localSheetId="43">'203'!$H$36</definedName>
    <definedName name="OSRRefH22_2x_0" localSheetId="44">'204'!$H$36</definedName>
    <definedName name="OSRRefH22_2x_0" localSheetId="45">'205'!$H$31</definedName>
    <definedName name="OSRRefH22_2x_0" localSheetId="46">'206'!$H$36</definedName>
    <definedName name="OSRRefH22_2x_0" localSheetId="48">'300'!$H$178</definedName>
    <definedName name="OSRRefH22_2x_0" localSheetId="49">'300 &amp; 317'!$H$203</definedName>
    <definedName name="OSRRefH22_2x_0" localSheetId="50">'301'!$H$37</definedName>
    <definedName name="OSRRefH22_2x_0" localSheetId="51">'306'!$H$36</definedName>
    <definedName name="OSRRefH22_2x_0" localSheetId="53">'307'!$H$86</definedName>
    <definedName name="OSRRefH22_2x_0" localSheetId="54">'308'!$H$78</definedName>
    <definedName name="OSRRefH22_2x_0" localSheetId="66">'309'!$H$39</definedName>
    <definedName name="OSRRefH22_2x_0" localSheetId="65">'310'!$H$48</definedName>
    <definedName name="OSRRefH22_2x_0" localSheetId="75">'310 &amp; 491'!$H$58</definedName>
    <definedName name="OSRRefH22_2x_0" localSheetId="55">'311'!$H$77</definedName>
    <definedName name="OSRRefH22_2x_0" localSheetId="67">'313'!$H$44</definedName>
    <definedName name="OSRRefH22_2x_0" localSheetId="56">'314'!$H$68</definedName>
    <definedName name="OSRRefH22_2x_0" localSheetId="58">'315'!$H$70</definedName>
    <definedName name="OSRRefH22_2x_0" localSheetId="61">'316'!$H$46</definedName>
    <definedName name="OSRRefH22_2x_0" localSheetId="64">'317'!$H$72</definedName>
    <definedName name="OSRRefH22_2x_0" localSheetId="62">'320'!$H$41</definedName>
    <definedName name="OSRRefH22_2x_0" localSheetId="68">'321'!$H$38</definedName>
    <definedName name="OSRRefH22_2x_0" localSheetId="69">'322'!$H$39</definedName>
    <definedName name="OSRRefH22_2x_0" localSheetId="72">'325'!$H$40</definedName>
    <definedName name="OSRRefH22_2x_0" localSheetId="59">'326'!$H$73</definedName>
    <definedName name="OSRRefH22_2x_0" localSheetId="73">'327'!$H$26</definedName>
    <definedName name="OSRRefH22_2x_0" localSheetId="52">'330'!$H$94</definedName>
    <definedName name="OSRRefH22_2x_0" localSheetId="57">'331'!$H$88</definedName>
    <definedName name="OSRRefH22_2x_0" localSheetId="60">'332'!$H$55</definedName>
    <definedName name="OSRRefH22_2x_0" localSheetId="77">'405'!$H$38</definedName>
    <definedName name="OSRRefH22_2x_0" localSheetId="78">'406'!$H$39</definedName>
    <definedName name="OSRRefH22_2x_0" localSheetId="79">'411'!$H$37</definedName>
    <definedName name="OSRRefH22_2x_0" localSheetId="80">'412'!$H$40</definedName>
    <definedName name="OSRRefH22_2x_0" localSheetId="81">'413'!$H$39</definedName>
    <definedName name="OSRRefH22_2x_0" localSheetId="82">'414'!$H$40</definedName>
    <definedName name="OSRRefH22_2x_0" localSheetId="83">'415'!$H$40</definedName>
    <definedName name="OSRRefH22_2x_0" localSheetId="84">'418'!$H$40</definedName>
    <definedName name="OSRRefH22_2x_0" localSheetId="85">'420'!$H$35</definedName>
    <definedName name="OSRRefH22_2x_0" localSheetId="86">'423'!$H$32</definedName>
    <definedName name="OSRRefH22_2x_0" localSheetId="87">'424'!$H$33</definedName>
    <definedName name="OSRRefH22_2x_0" localSheetId="88">'425'!$H$42</definedName>
    <definedName name="OSRRefH22_2x_0" localSheetId="91">'430'!$H$31</definedName>
    <definedName name="OSRRefH22_2x_0" localSheetId="92">'433'!$H$43</definedName>
    <definedName name="OSRRefH22_2x_0" localSheetId="93">'435'!$H$32</definedName>
    <definedName name="OSRRefH22_2x_0" localSheetId="94">'444'!$H$42</definedName>
    <definedName name="OSRRefH22_2x_0" localSheetId="95">'450'!$H$42</definedName>
    <definedName name="OSRRefH22_2x_0" localSheetId="89">'455'!$H$31</definedName>
    <definedName name="OSRRefH22_2x_0" localSheetId="76">'491'!$H$51</definedName>
    <definedName name="OSRRefH22_2x_0" localSheetId="90">'492'!$H$46</definedName>
    <definedName name="OSRRefH22_2x_0" localSheetId="97">'501'!$H$37</definedName>
    <definedName name="OSRRefH22_2x_0" localSheetId="9">'Div 2'!$H$40</definedName>
    <definedName name="OSRRefH22_2x_0" localSheetId="47">'Div 3'!$H$183</definedName>
    <definedName name="OSRRefH22_2x_0" localSheetId="74">'Div 4'!$H$52</definedName>
    <definedName name="OSRRefH22_2x_0" localSheetId="96">'Div 5'!$H$37</definedName>
    <definedName name="OSRRefH22_2x_0" localSheetId="63">'Div 6'!$H$72</definedName>
    <definedName name="OSRRefH22_2x_0" localSheetId="2">Summary!$H$217</definedName>
    <definedName name="OSRRefH22_3x_0" localSheetId="40">'200'!$H$26:$H$27</definedName>
    <definedName name="OSRRefH22_3x_0" localSheetId="41">'201'!$H$36</definedName>
    <definedName name="OSRRefH22_3x_0" localSheetId="42">'202'!$H$36</definedName>
    <definedName name="OSRRefH22_3x_0" localSheetId="43">'203'!$H$38</definedName>
    <definedName name="OSRRefH22_3x_0" localSheetId="44">'204'!$H$38:$H$39</definedName>
    <definedName name="OSRRefH22_3x_0" localSheetId="45">'205'!$H$33</definedName>
    <definedName name="OSRRefH22_3x_0" localSheetId="46">'206'!$H$38</definedName>
    <definedName name="OSRRefH22_3x_0" localSheetId="48">'300'!$H$180:$H$181</definedName>
    <definedName name="OSRRefH22_3x_0" localSheetId="49">'300 &amp; 317'!$H$205:$H$206</definedName>
    <definedName name="OSRRefH22_3x_0" localSheetId="50">'301'!$H$39:$H$40</definedName>
    <definedName name="OSRRefH22_3x_0" localSheetId="51">'306'!$H$38</definedName>
    <definedName name="OSRRefH22_3x_0" localSheetId="53">'307'!$H$88</definedName>
    <definedName name="OSRRefH22_3x_0" localSheetId="54">'308'!$H$80:$H$81</definedName>
    <definedName name="OSRRefH22_3x_0" localSheetId="66">'309'!$H$41</definedName>
    <definedName name="OSRRefH22_3x_0" localSheetId="65">'310'!$H$50</definedName>
    <definedName name="OSRRefH22_3x_0" localSheetId="75">'310 &amp; 491'!$H$60</definedName>
    <definedName name="OSRRefH22_3x_0" localSheetId="55">'311'!$H$79:$H$80</definedName>
    <definedName name="OSRRefH22_3x_0" localSheetId="67">'313'!$H$46</definedName>
    <definedName name="OSRRefH22_3x_0" localSheetId="56">'314'!$H$70:$H$71</definedName>
    <definedName name="OSRRefH22_3x_0" localSheetId="58">'315'!$H$72:$H$73</definedName>
    <definedName name="OSRRefH22_3x_0" localSheetId="61">'316'!$H$48</definedName>
    <definedName name="OSRRefH22_3x_0" localSheetId="64">'317'!$H$74</definedName>
    <definedName name="OSRRefH22_3x_0" localSheetId="62">'320'!$H$43</definedName>
    <definedName name="OSRRefH22_3x_0" localSheetId="68">'321'!$H$40</definedName>
    <definedName name="OSRRefH22_3x_0" localSheetId="69">'322'!$H$41</definedName>
    <definedName name="OSRRefH22_3x_0" localSheetId="72">'325'!$H$42</definedName>
    <definedName name="OSRRefH22_3x_0" localSheetId="59">'326'!$H$75</definedName>
    <definedName name="OSRRefH22_3x_0" localSheetId="52">'330'!$H$96</definedName>
    <definedName name="OSRRefH22_3x_0" localSheetId="57">'331'!$H$90</definedName>
    <definedName name="OSRRefH22_3x_0" localSheetId="60">'332'!$H$57</definedName>
    <definedName name="OSRRefH22_3x_0" localSheetId="77">'405'!$H$40</definedName>
    <definedName name="OSRRefH22_3x_0" localSheetId="78">'406'!$H$41</definedName>
    <definedName name="OSRRefH22_3x_0" localSheetId="79">'411'!$H$39:$H$41</definedName>
    <definedName name="OSRRefH22_3x_0" localSheetId="80">'412'!$H$42</definedName>
    <definedName name="OSRRefH22_3x_0" localSheetId="81">'413'!$H$41</definedName>
    <definedName name="OSRRefH22_3x_0" localSheetId="82">'414'!$H$42</definedName>
    <definedName name="OSRRefH22_3x_0" localSheetId="83">'415'!$H$42</definedName>
    <definedName name="OSRRefH22_3x_0" localSheetId="84">'418'!$H$42</definedName>
    <definedName name="OSRRefH22_3x_0" localSheetId="85">'420'!$H$37</definedName>
    <definedName name="OSRRefH22_3x_0" localSheetId="86">'423'!$H$34</definedName>
    <definedName name="OSRRefH22_3x_0" localSheetId="87">'424'!$H$35</definedName>
    <definedName name="OSRRefH22_3x_0" localSheetId="88">'425'!$H$44</definedName>
    <definedName name="OSRRefH22_3x_0" localSheetId="91">'430'!$H$33</definedName>
    <definedName name="OSRRefH22_3x_0" localSheetId="92">'433'!$H$45</definedName>
    <definedName name="OSRRefH22_3x_0" localSheetId="93">'435'!$H$34</definedName>
    <definedName name="OSRRefH22_3x_0" localSheetId="94">'444'!$H$44</definedName>
    <definedName name="OSRRefH22_3x_0" localSheetId="95">'450'!$H$44</definedName>
    <definedName name="OSRRefH22_3x_0" localSheetId="76">'491'!$H$53</definedName>
    <definedName name="OSRRefH22_3x_0" localSheetId="90">'492'!$H$48</definedName>
    <definedName name="OSRRefH22_3x_0" localSheetId="97">'501'!$H$39</definedName>
    <definedName name="OSRRefH22_3x_0" localSheetId="9">'Div 2'!$H$42</definedName>
    <definedName name="OSRRefH22_3x_0" localSheetId="47">'Div 3'!$H$185:$H$186</definedName>
    <definedName name="OSRRefH22_3x_0" localSheetId="74">'Div 4'!$H$54</definedName>
    <definedName name="OSRRefH22_3x_0" localSheetId="96">'Div 5'!$H$39</definedName>
    <definedName name="OSRRefH22_3x_0" localSheetId="63">'Div 6'!$H$74</definedName>
    <definedName name="OSRRefH22_3x_0" localSheetId="2">Summary!$H$219:$H$220</definedName>
    <definedName name="OSRRefH22_4x_0" localSheetId="41">'201'!$H$38</definedName>
    <definedName name="OSRRefH22_4x_0" localSheetId="42">'202'!$H$38</definedName>
    <definedName name="OSRRefH22_4x_0" localSheetId="43">'203'!$H$40</definedName>
    <definedName name="OSRRefH22_4x_0" localSheetId="44">'204'!$H$41</definedName>
    <definedName name="OSRRefH22_4x_0" localSheetId="45">'205'!$H$35:$H$36</definedName>
    <definedName name="OSRRefH22_4x_0" localSheetId="46">'206'!$H$40</definedName>
    <definedName name="OSRRefH22_4x_0" localSheetId="48">'300'!$H$183</definedName>
    <definedName name="OSRRefH22_4x_0" localSheetId="49">'300 &amp; 317'!$H$208</definedName>
    <definedName name="OSRRefH22_4x_0" localSheetId="50">'301'!$H$42</definedName>
    <definedName name="OSRRefH22_4x_0" localSheetId="51">'306'!$H$40</definedName>
    <definedName name="OSRRefH22_4x_0" localSheetId="53">'307'!$H$90:$H$91</definedName>
    <definedName name="OSRRefH22_4x_0" localSheetId="54">'308'!$H$83</definedName>
    <definedName name="OSRRefH22_4x_0" localSheetId="66">'309'!$H$43</definedName>
    <definedName name="OSRRefH22_4x_0" localSheetId="65">'310'!$H$52</definedName>
    <definedName name="OSRRefH22_4x_0" localSheetId="75">'310 &amp; 491'!$H$62</definedName>
    <definedName name="OSRRefH22_4x_0" localSheetId="55">'311'!$H$82</definedName>
    <definedName name="OSRRefH22_4x_0" localSheetId="67">'313'!$H$48</definedName>
    <definedName name="OSRRefH22_4x_0" localSheetId="56">'314'!$H$73</definedName>
    <definedName name="OSRRefH22_4x_0" localSheetId="58">'315'!$H$75</definedName>
    <definedName name="OSRRefH22_4x_0" localSheetId="61">'316'!$H$50</definedName>
    <definedName name="OSRRefH22_4x_0" localSheetId="64">'317'!$H$76</definedName>
    <definedName name="OSRRefH22_4x_0" localSheetId="62">'320'!$H$45:$H$46</definedName>
    <definedName name="OSRRefH22_4x_0" localSheetId="68">'321'!$H$42</definedName>
    <definedName name="OSRRefH22_4x_0" localSheetId="69">'322'!$H$43</definedName>
    <definedName name="OSRRefH22_4x_0" localSheetId="72">'325'!$H$44</definedName>
    <definedName name="OSRRefH22_4x_0" localSheetId="59">'326'!$H$77</definedName>
    <definedName name="OSRRefH22_4x_0" localSheetId="52">'330'!$H$98:$H$99</definedName>
    <definedName name="OSRRefH22_4x_0" localSheetId="57">'331'!$H$92</definedName>
    <definedName name="OSRRefH22_4x_0" localSheetId="60">'332'!$H$59</definedName>
    <definedName name="OSRRefH22_4x_0" localSheetId="77">'405'!$H$42</definedName>
    <definedName name="OSRRefH22_4x_0" localSheetId="78">'406'!$H$43</definedName>
    <definedName name="OSRRefH22_4x_0" localSheetId="79">'411'!$H$43</definedName>
    <definedName name="OSRRefH22_4x_0" localSheetId="80">'412'!$H$44</definedName>
    <definedName name="OSRRefH22_4x_0" localSheetId="81">'413'!$H$43</definedName>
    <definedName name="OSRRefH22_4x_0" localSheetId="82">'414'!$H$44</definedName>
    <definedName name="OSRRefH22_4x_0" localSheetId="83">'415'!$H$44</definedName>
    <definedName name="OSRRefH22_4x_0" localSheetId="84">'418'!$H$44</definedName>
    <definedName name="OSRRefH22_4x_0" localSheetId="86">'423'!$H$36</definedName>
    <definedName name="OSRRefH22_4x_0" localSheetId="87">'424'!$H$37</definedName>
    <definedName name="OSRRefH22_4x_0" localSheetId="88">'425'!$H$46</definedName>
    <definedName name="OSRRefH22_4x_0" localSheetId="91">'430'!$H$35</definedName>
    <definedName name="OSRRefH22_4x_0" localSheetId="92">'433'!$H$47</definedName>
    <definedName name="OSRRefH22_4x_0" localSheetId="93">'435'!$H$36</definedName>
    <definedName name="OSRRefH22_4x_0" localSheetId="94">'444'!$H$46</definedName>
    <definedName name="OSRRefH22_4x_0" localSheetId="95">'450'!$H$46</definedName>
    <definedName name="OSRRefH22_4x_0" localSheetId="76">'491'!$H$55</definedName>
    <definedName name="OSRRefH22_4x_0" localSheetId="90">'492'!$H$50</definedName>
    <definedName name="OSRRefH22_4x_0" localSheetId="97">'501'!$H$41</definedName>
    <definedName name="OSRRefH22_4x_0" localSheetId="9">'Div 2'!$H$44</definedName>
    <definedName name="OSRRefH22_4x_0" localSheetId="47">'Div 3'!$H$188</definedName>
    <definedName name="OSRRefH22_4x_0" localSheetId="74">'Div 4'!$H$56</definedName>
    <definedName name="OSRRefH22_4x_0" localSheetId="96">'Div 5'!$H$41</definedName>
    <definedName name="OSRRefH22_4x_0" localSheetId="63">'Div 6'!$H$76</definedName>
    <definedName name="OSRRefH22_4x_0" localSheetId="2">Summary!$H$222</definedName>
    <definedName name="OSRRefH22_5x_0" localSheetId="41">'201'!$H$40</definedName>
    <definedName name="OSRRefH22_5x_0" localSheetId="42">'202'!$H$40</definedName>
    <definedName name="OSRRefH22_5x_0" localSheetId="43">'203'!$H$42</definedName>
    <definedName name="OSRRefH22_5x_0" localSheetId="44">'204'!$H$43</definedName>
    <definedName name="OSRRefH22_5x_0" localSheetId="45">'205'!$H$38</definedName>
    <definedName name="OSRRefH22_5x_0" localSheetId="46">'206'!$H$42:$H$43</definedName>
    <definedName name="OSRRefH22_5x_0" localSheetId="48">'300'!$H$185:$H$186</definedName>
    <definedName name="OSRRefH22_5x_0" localSheetId="49">'300 &amp; 317'!$H$210:$H$211</definedName>
    <definedName name="OSRRefH22_5x_0" localSheetId="50">'301'!$H$44:$H$45</definedName>
    <definedName name="OSRRefH22_5x_0" localSheetId="51">'306'!$H$42</definedName>
    <definedName name="OSRRefH22_5x_0" localSheetId="53">'307'!$H$93</definedName>
    <definedName name="OSRRefH22_5x_0" localSheetId="54">'308'!$H$85</definedName>
    <definedName name="OSRRefH22_5x_0" localSheetId="66">'309'!$H$45</definedName>
    <definedName name="OSRRefH22_5x_0" localSheetId="65">'310'!$H$54:$H$55</definedName>
    <definedName name="OSRRefH22_5x_0" localSheetId="75">'310 &amp; 491'!$H$64:$H$66</definedName>
    <definedName name="OSRRefH22_5x_0" localSheetId="55">'311'!$H$84</definedName>
    <definedName name="OSRRefH22_5x_0" localSheetId="67">'313'!$H$50</definedName>
    <definedName name="OSRRefH22_5x_0" localSheetId="56">'314'!$H$75</definedName>
    <definedName name="OSRRefH22_5x_0" localSheetId="58">'315'!$H$77:$H$78</definedName>
    <definedName name="OSRRefH22_5x_0" localSheetId="61">'316'!$H$52:$H$53</definedName>
    <definedName name="OSRRefH22_5x_0" localSheetId="64">'317'!$H$78</definedName>
    <definedName name="OSRRefH22_5x_0" localSheetId="62">'320'!$H$48</definedName>
    <definedName name="OSRRefH22_5x_0" localSheetId="68">'321'!$H$44</definedName>
    <definedName name="OSRRefH22_5x_0" localSheetId="69">'322'!$H$45</definedName>
    <definedName name="OSRRefH22_5x_0" localSheetId="72">'325'!$H$46:$H$47</definedName>
    <definedName name="OSRRefH22_5x_0" localSheetId="59">'326'!$H$79</definedName>
    <definedName name="OSRRefH22_5x_0" localSheetId="52">'330'!$H$101</definedName>
    <definedName name="OSRRefH22_5x_0" localSheetId="57">'331'!$H$94:$H$95</definedName>
    <definedName name="OSRRefH22_5x_0" localSheetId="60">'332'!$H$61:$H$62</definedName>
    <definedName name="OSRRefH22_5x_0" localSheetId="77">'405'!$H$44:$H$45</definedName>
    <definedName name="OSRRefH22_5x_0" localSheetId="78">'406'!$H$45</definedName>
    <definedName name="OSRRefH22_5x_0" localSheetId="79">'411'!$H$45</definedName>
    <definedName name="OSRRefH22_5x_0" localSheetId="80">'412'!$H$46</definedName>
    <definedName name="OSRRefH22_5x_0" localSheetId="81">'413'!$H$45</definedName>
    <definedName name="OSRRefH22_5x_0" localSheetId="82">'414'!$H$46</definedName>
    <definedName name="OSRRefH22_5x_0" localSheetId="83">'415'!$H$46:$H$47</definedName>
    <definedName name="OSRRefH22_5x_0" localSheetId="84">'418'!$H$46:$H$47</definedName>
    <definedName name="OSRRefH22_5x_0" localSheetId="86">'423'!$H$38</definedName>
    <definedName name="OSRRefH22_5x_0" localSheetId="87">'424'!$H$39</definedName>
    <definedName name="OSRRefH22_5x_0" localSheetId="88">'425'!$H$48</definedName>
    <definedName name="OSRRefH22_5x_0" localSheetId="91">'430'!$H$37</definedName>
    <definedName name="OSRRefH22_5x_0" localSheetId="92">'433'!$H$49</definedName>
    <definedName name="OSRRefH22_5x_0" localSheetId="93">'435'!$H$38</definedName>
    <definedName name="OSRRefH22_5x_0" localSheetId="94">'444'!$H$48</definedName>
    <definedName name="OSRRefH22_5x_0" localSheetId="95">'450'!$H$48</definedName>
    <definedName name="OSRRefH22_5x_0" localSheetId="76">'491'!$H$57:$H$59</definedName>
    <definedName name="OSRRefH22_5x_0" localSheetId="90">'492'!$H$52</definedName>
    <definedName name="OSRRefH22_5x_0" localSheetId="97">'501'!$H$43</definedName>
    <definedName name="OSRRefH22_5x_0" localSheetId="9">'Div 2'!$H$46:$H$47</definedName>
    <definedName name="OSRRefH22_5x_0" localSheetId="47">'Div 3'!$H$190:$H$191</definedName>
    <definedName name="OSRRefH22_5x_0" localSheetId="74">'Div 4'!$H$58:$H$60</definedName>
    <definedName name="OSRRefH22_5x_0" localSheetId="96">'Div 5'!$H$43</definedName>
    <definedName name="OSRRefH22_5x_0" localSheetId="63">'Div 6'!$H$78</definedName>
    <definedName name="OSRRefH22_5x_0" localSheetId="2">Summary!$H$224:$H$226</definedName>
    <definedName name="OSRRefH22_6x_0" localSheetId="41">'201'!$H$42</definedName>
    <definedName name="OSRRefH22_6x_0" localSheetId="42">'202'!$H$42</definedName>
    <definedName name="OSRRefH22_6x_0" localSheetId="43">'203'!$H$44</definedName>
    <definedName name="OSRRefH22_6x_0" localSheetId="44">'204'!$H$45:$H$47</definedName>
    <definedName name="OSRRefH22_6x_0" localSheetId="45">'205'!$H$40:$H$41</definedName>
    <definedName name="OSRRefH22_6x_0" localSheetId="46">'206'!$H$45</definedName>
    <definedName name="OSRRefH22_6x_0" localSheetId="48">'300'!$H$188:$H$189</definedName>
    <definedName name="OSRRefH22_6x_0" localSheetId="49">'300 &amp; 317'!$H$213:$H$214</definedName>
    <definedName name="OSRRefH22_6x_0" localSheetId="50">'301'!$H$47:$H$48</definedName>
    <definedName name="OSRRefH22_6x_0" localSheetId="51">'306'!$H$44:$H$45</definedName>
    <definedName name="OSRRefH22_6x_0" localSheetId="53">'307'!$H$95</definedName>
    <definedName name="OSRRefH22_6x_0" localSheetId="54">'308'!$H$87:$H$88</definedName>
    <definedName name="OSRRefH22_6x_0" localSheetId="66">'309'!$H$47</definedName>
    <definedName name="OSRRefH22_6x_0" localSheetId="65">'310'!$H$57</definedName>
    <definedName name="OSRRefH22_6x_0" localSheetId="75">'310 &amp; 491'!$H$68</definedName>
    <definedName name="OSRRefH22_6x_0" localSheetId="55">'311'!$H$86:$H$87</definedName>
    <definedName name="OSRRefH22_6x_0" localSheetId="67">'313'!$H$52</definedName>
    <definedName name="OSRRefH22_6x_0" localSheetId="56">'314'!$H$77:$H$78</definedName>
    <definedName name="OSRRefH22_6x_0" localSheetId="58">'315'!$H$80</definedName>
    <definedName name="OSRRefH22_6x_0" localSheetId="61">'316'!$H$55</definedName>
    <definedName name="OSRRefH22_6x_0" localSheetId="64">'317'!$H$80</definedName>
    <definedName name="OSRRefH22_6x_0" localSheetId="62">'320'!$H$50</definedName>
    <definedName name="OSRRefH22_6x_0" localSheetId="68">'321'!$H$46:$H$48</definedName>
    <definedName name="OSRRefH22_6x_0" localSheetId="69">'322'!$H$47</definedName>
    <definedName name="OSRRefH22_6x_0" localSheetId="72">'325'!$H$49</definedName>
    <definedName name="OSRRefH22_6x_0" localSheetId="59">'326'!$H$81</definedName>
    <definedName name="OSRRefH22_6x_0" localSheetId="52">'330'!$H$103</definedName>
    <definedName name="OSRRefH22_6x_0" localSheetId="57">'331'!$H$97</definedName>
    <definedName name="OSRRefH22_6x_0" localSheetId="60">'332'!$H$64</definedName>
    <definedName name="OSRRefH22_6x_0" localSheetId="77">'405'!$H$47</definedName>
    <definedName name="OSRRefH22_6x_0" localSheetId="78">'406'!$H$47</definedName>
    <definedName name="OSRRefH22_6x_0" localSheetId="79">'411'!$H$47</definedName>
    <definedName name="OSRRefH22_6x_0" localSheetId="80">'412'!$H$48</definedName>
    <definedName name="OSRRefH22_6x_0" localSheetId="81">'413'!$H$47</definedName>
    <definedName name="OSRRefH22_6x_0" localSheetId="82">'414'!$H$48</definedName>
    <definedName name="OSRRefH22_6x_0" localSheetId="83">'415'!$H$49</definedName>
    <definedName name="OSRRefH22_6x_0" localSheetId="84">'418'!$H$49</definedName>
    <definedName name="OSRRefH22_6x_0" localSheetId="87">'424'!$H$41</definedName>
    <definedName name="OSRRefH22_6x_0" localSheetId="88">'425'!$H$50</definedName>
    <definedName name="OSRRefH22_6x_0" localSheetId="91">'430'!$H$39:$H$40</definedName>
    <definedName name="OSRRefH22_6x_0" localSheetId="92">'433'!$H$51</definedName>
    <definedName name="OSRRefH22_6x_0" localSheetId="93">'435'!$H$40:$H$43</definedName>
    <definedName name="OSRRefH22_6x_0" localSheetId="94">'444'!$H$50</definedName>
    <definedName name="OSRRefH22_6x_0" localSheetId="95">'450'!$H$50</definedName>
    <definedName name="OSRRefH22_6x_0" localSheetId="76">'491'!$H$61</definedName>
    <definedName name="OSRRefH22_6x_0" localSheetId="90">'492'!$H$54</definedName>
    <definedName name="OSRRefH22_6x_0" localSheetId="97">'501'!$H$45</definedName>
    <definedName name="OSRRefH22_6x_0" localSheetId="9">'Div 2'!$H$49</definedName>
    <definedName name="OSRRefH22_6x_0" localSheetId="47">'Div 3'!$H$193:$H$194</definedName>
    <definedName name="OSRRefH22_6x_0" localSheetId="74">'Div 4'!$H$62</definedName>
    <definedName name="OSRRefH22_6x_0" localSheetId="96">'Div 5'!$H$45</definedName>
    <definedName name="OSRRefH22_6x_0" localSheetId="63">'Div 6'!$H$80</definedName>
    <definedName name="OSRRefH22_6x_0" localSheetId="2">Summary!$H$228:$H$229</definedName>
    <definedName name="OSRRefH22_7x_0" localSheetId="41">'201'!$H$44</definedName>
    <definedName name="OSRRefH22_7x_0" localSheetId="42">'202'!$H$44</definedName>
    <definedName name="OSRRefH22_7x_0" localSheetId="43">'203'!$H$46</definedName>
    <definedName name="OSRRefH22_7x_0" localSheetId="44">'204'!$H$49:$H$50</definedName>
    <definedName name="OSRRefH22_7x_0" localSheetId="45">'205'!$H$43</definedName>
    <definedName name="OSRRefH22_7x_0" localSheetId="46">'206'!$H$47</definedName>
    <definedName name="OSRRefH22_7x_0" localSheetId="48">'300'!$H$191</definedName>
    <definedName name="OSRRefH22_7x_0" localSheetId="49">'300 &amp; 317'!$H$216</definedName>
    <definedName name="OSRRefH22_7x_0" localSheetId="50">'301'!$H$50</definedName>
    <definedName name="OSRRefH22_7x_0" localSheetId="51">'306'!$H$47:$H$50</definedName>
    <definedName name="OSRRefH22_7x_0" localSheetId="53">'307'!$H$97</definedName>
    <definedName name="OSRRefH22_7x_0" localSheetId="54">'308'!$H$90</definedName>
    <definedName name="OSRRefH22_7x_0" localSheetId="66">'309'!$H$49:$H$50</definedName>
    <definedName name="OSRRefH22_7x_0" localSheetId="65">'310'!$H$59</definedName>
    <definedName name="OSRRefH22_7x_0" localSheetId="75">'310 &amp; 491'!$H$70</definedName>
    <definedName name="OSRRefH22_7x_0" localSheetId="55">'311'!$H$89</definedName>
    <definedName name="OSRRefH22_7x_0" localSheetId="67">'313'!$H$54</definedName>
    <definedName name="OSRRefH22_7x_0" localSheetId="56">'314'!$H$80</definedName>
    <definedName name="OSRRefH22_7x_0" localSheetId="58">'315'!$H$82</definedName>
    <definedName name="OSRRefH22_7x_0" localSheetId="61">'316'!$H$57:$H$60</definedName>
    <definedName name="OSRRefH22_7x_0" localSheetId="64">'317'!$H$82</definedName>
    <definedName name="OSRRefH22_7x_0" localSheetId="62">'320'!$H$52:$H$53</definedName>
    <definedName name="OSRRefH22_7x_0" localSheetId="68">'321'!$H$50</definedName>
    <definedName name="OSRRefH22_7x_0" localSheetId="69">'322'!$H$49</definedName>
    <definedName name="OSRRefH22_7x_0" localSheetId="72">'325'!$H$51</definedName>
    <definedName name="OSRRefH22_7x_0" localSheetId="59">'326'!$H$83</definedName>
    <definedName name="OSRRefH22_7x_0" localSheetId="52">'330'!$H$105</definedName>
    <definedName name="OSRRefH22_7x_0" localSheetId="57">'331'!$H$99</definedName>
    <definedName name="OSRRefH22_7x_0" localSheetId="60">'332'!$H$66</definedName>
    <definedName name="OSRRefH22_7x_0" localSheetId="77">'405'!$H$49</definedName>
    <definedName name="OSRRefH22_7x_0" localSheetId="78">'406'!$H$49</definedName>
    <definedName name="OSRRefH22_7x_0" localSheetId="79">'411'!$H$49</definedName>
    <definedName name="OSRRefH22_7x_0" localSheetId="80">'412'!$H$50</definedName>
    <definedName name="OSRRefH22_7x_0" localSheetId="81">'413'!$H$49:$H$51</definedName>
    <definedName name="OSRRefH22_7x_0" localSheetId="82">'414'!$H$50</definedName>
    <definedName name="OSRRefH22_7x_0" localSheetId="83">'415'!$H$51</definedName>
    <definedName name="OSRRefH22_7x_0" localSheetId="84">'418'!$H$51</definedName>
    <definedName name="OSRRefH22_7x_0" localSheetId="87">'424'!$H$43:$H$44</definedName>
    <definedName name="OSRRefH22_7x_0" localSheetId="88">'425'!$H$52</definedName>
    <definedName name="OSRRefH22_7x_0" localSheetId="91">'430'!$H$42</definedName>
    <definedName name="OSRRefH22_7x_0" localSheetId="92">'433'!$H$53</definedName>
    <definedName name="OSRRefH22_7x_0" localSheetId="93">'435'!$H$45</definedName>
    <definedName name="OSRRefH22_7x_0" localSheetId="94">'444'!$H$52</definedName>
    <definedName name="OSRRefH22_7x_0" localSheetId="95">'450'!$H$52</definedName>
    <definedName name="OSRRefH22_7x_0" localSheetId="76">'491'!$H$63</definedName>
    <definedName name="OSRRefH22_7x_0" localSheetId="90">'492'!$H$56</definedName>
    <definedName name="OSRRefH22_7x_0" localSheetId="97">'501'!$H$47</definedName>
    <definedName name="OSRRefH22_7x_0" localSheetId="9">'Div 2'!$H$51</definedName>
    <definedName name="OSRRefH22_7x_0" localSheetId="47">'Div 3'!$H$196</definedName>
    <definedName name="OSRRefH22_7x_0" localSheetId="74">'Div 4'!$H$64</definedName>
    <definedName name="OSRRefH22_7x_0" localSheetId="96">'Div 5'!$H$47</definedName>
    <definedName name="OSRRefH22_7x_0" localSheetId="63">'Div 6'!$H$82</definedName>
    <definedName name="OSRRefH22_7x_0" localSheetId="2">Summary!$H$231</definedName>
    <definedName name="OSRRefH22_8x_0" localSheetId="41">'201'!$H$46</definedName>
    <definedName name="OSRRefH22_8x_0" localSheetId="42">'202'!$H$46:$H$48</definedName>
    <definedName name="OSRRefH22_8x_0" localSheetId="43">'203'!$H$48</definedName>
    <definedName name="OSRRefH22_8x_0" localSheetId="44">'204'!$H$52:$H$53</definedName>
    <definedName name="OSRRefH22_8x_0" localSheetId="45">'205'!$H$45</definedName>
    <definedName name="OSRRefH22_8x_0" localSheetId="48">'300'!$H$193</definedName>
    <definedName name="OSRRefH22_8x_0" localSheetId="49">'300 &amp; 317'!$H$218</definedName>
    <definedName name="OSRRefH22_8x_0" localSheetId="50">'301'!$H$52</definedName>
    <definedName name="OSRRefH22_8x_0" localSheetId="51">'306'!$H$52</definedName>
    <definedName name="OSRRefH22_8x_0" localSheetId="53">'307'!$H$99:$H$100</definedName>
    <definedName name="OSRRefH22_8x_0" localSheetId="54">'308'!$H$92</definedName>
    <definedName name="OSRRefH22_8x_0" localSheetId="66">'309'!$H$52:$H$53</definedName>
    <definedName name="OSRRefH22_8x_0" localSheetId="65">'310'!$H$61</definedName>
    <definedName name="OSRRefH22_8x_0" localSheetId="75">'310 &amp; 491'!$H$72</definedName>
    <definedName name="OSRRefH22_8x_0" localSheetId="55">'311'!$H$91</definedName>
    <definedName name="OSRRefH22_8x_0" localSheetId="67">'313'!$H$56</definedName>
    <definedName name="OSRRefH22_8x_0" localSheetId="58">'315'!$H$84:$H$85</definedName>
    <definedName name="OSRRefH22_8x_0" localSheetId="61">'316'!$H$62</definedName>
    <definedName name="OSRRefH22_8x_0" localSheetId="64">'317'!$H$84</definedName>
    <definedName name="OSRRefH22_8x_0" localSheetId="62">'320'!$H$55</definedName>
    <definedName name="OSRRefH22_8x_0" localSheetId="68">'321'!$H$52:$H$54</definedName>
    <definedName name="OSRRefH22_8x_0" localSheetId="69">'322'!$H$51</definedName>
    <definedName name="OSRRefH22_8x_0" localSheetId="72">'325'!$H$53</definedName>
    <definedName name="OSRRefH22_8x_0" localSheetId="59">'326'!$H$85</definedName>
    <definedName name="OSRRefH22_8x_0" localSheetId="52">'330'!$H$107</definedName>
    <definedName name="OSRRefH22_8x_0" localSheetId="57">'331'!$H$101:$H$102</definedName>
    <definedName name="OSRRefH22_8x_0" localSheetId="60">'332'!$H$68:$H$69</definedName>
    <definedName name="OSRRefH22_8x_0" localSheetId="77">'405'!$H$51</definedName>
    <definedName name="OSRRefH22_8x_0" localSheetId="78">'406'!$H$51:$H$53</definedName>
    <definedName name="OSRRefH22_8x_0" localSheetId="79">'411'!$H$51</definedName>
    <definedName name="OSRRefH22_8x_0" localSheetId="80">'412'!$H$52:$H$53</definedName>
    <definedName name="OSRRefH22_8x_0" localSheetId="81">'413'!$H$53:$H$54</definedName>
    <definedName name="OSRRefH22_8x_0" localSheetId="82">'414'!$H$52:$H$53</definedName>
    <definedName name="OSRRefH22_8x_0" localSheetId="83">'415'!$H$53</definedName>
    <definedName name="OSRRefH22_8x_0" localSheetId="84">'418'!$H$53:$H$54</definedName>
    <definedName name="OSRRefH22_8x_0" localSheetId="87">'424'!$H$46</definedName>
    <definedName name="OSRRefH22_8x_0" localSheetId="88">'425'!$H$54</definedName>
    <definedName name="OSRRefH22_8x_0" localSheetId="91">'430'!$H$44</definedName>
    <definedName name="OSRRefH22_8x_0" localSheetId="92">'433'!$H$55</definedName>
    <definedName name="OSRRefH22_8x_0" localSheetId="94">'444'!$H$54</definedName>
    <definedName name="OSRRefH22_8x_0" localSheetId="95">'450'!$H$54</definedName>
    <definedName name="OSRRefH22_8x_0" localSheetId="76">'491'!$H$65</definedName>
    <definedName name="OSRRefH22_8x_0" localSheetId="90">'492'!$H$58</definedName>
    <definedName name="OSRRefH22_8x_0" localSheetId="97">'501'!$H$49</definedName>
    <definedName name="OSRRefH22_8x_0" localSheetId="9">'Div 2'!$H$53</definedName>
    <definedName name="OSRRefH22_8x_0" localSheetId="47">'Div 3'!$H$198</definedName>
    <definedName name="OSRRefH22_8x_0" localSheetId="74">'Div 4'!$H$66</definedName>
    <definedName name="OSRRefH22_8x_0" localSheetId="96">'Div 5'!$H$49</definedName>
    <definedName name="OSRRefH22_8x_0" localSheetId="63">'Div 6'!$H$84</definedName>
    <definedName name="OSRRefH22_8x_0" localSheetId="2">Summary!$H$233</definedName>
    <definedName name="OSRRefH22_9x_0" localSheetId="41">'201'!$H$48:$H$50</definedName>
    <definedName name="OSRRefH22_9x_0" localSheetId="42">'202'!$H$50</definedName>
    <definedName name="OSRRefH22_9x_0" localSheetId="43">'203'!$H$50:$H$52</definedName>
    <definedName name="OSRRefH22_9x_0" localSheetId="44">'204'!$H$55</definedName>
    <definedName name="OSRRefH22_9x_0" localSheetId="48">'300'!$H$195</definedName>
    <definedName name="OSRRefH22_9x_0" localSheetId="49">'300 &amp; 317'!$H$220</definedName>
    <definedName name="OSRRefH22_9x_0" localSheetId="50">'301'!$H$54</definedName>
    <definedName name="OSRRefH22_9x_0" localSheetId="51">'306'!$H$54</definedName>
    <definedName name="OSRRefH22_9x_0" localSheetId="53">'307'!$H$102:$H$103</definedName>
    <definedName name="OSRRefH22_9x_0" localSheetId="54">'308'!$H$94:$H$95</definedName>
    <definedName name="OSRRefH22_9x_0" localSheetId="66">'309'!$H$55</definedName>
    <definedName name="OSRRefH22_9x_0" localSheetId="65">'310'!$H$63</definedName>
    <definedName name="OSRRefH22_9x_0" localSheetId="75">'310 &amp; 491'!$H$74</definedName>
    <definedName name="OSRRefH22_9x_0" localSheetId="55">'311'!$H$93:$H$94</definedName>
    <definedName name="OSRRefH22_9x_0" localSheetId="67">'313'!$H$58:$H$60</definedName>
    <definedName name="OSRRefH22_9x_0" localSheetId="58">'315'!$H$87:$H$88</definedName>
    <definedName name="OSRRefH22_9x_0" localSheetId="61">'316'!$H$64</definedName>
    <definedName name="OSRRefH22_9x_0" localSheetId="64">'317'!$H$86:$H$87</definedName>
    <definedName name="OSRRefH22_9x_0" localSheetId="68">'321'!$H$56:$H$60</definedName>
    <definedName name="OSRRefH22_9x_0" localSheetId="69">'322'!$H$53:$H$54</definedName>
    <definedName name="OSRRefH22_9x_0" localSheetId="72">'325'!$H$55</definedName>
    <definedName name="OSRRefH22_9x_0" localSheetId="59">'326'!$H$87</definedName>
    <definedName name="OSRRefH22_9x_0" localSheetId="52">'330'!$H$109:$H$110</definedName>
    <definedName name="OSRRefH22_9x_0" localSheetId="57">'331'!$H$104</definedName>
    <definedName name="OSRRefH22_9x_0" localSheetId="60">'332'!$H$71</definedName>
    <definedName name="OSRRefH22_9x_0" localSheetId="77">'405'!$H$53</definedName>
    <definedName name="OSRRefH22_9x_0" localSheetId="78">'406'!$H$55:$H$56</definedName>
    <definedName name="OSRRefH22_9x_0" localSheetId="79">'411'!$H$53</definedName>
    <definedName name="OSRRefH22_9x_0" localSheetId="80">'412'!$H$55</definedName>
    <definedName name="OSRRefH22_9x_0" localSheetId="81">'413'!$H$56:$H$60</definedName>
    <definedName name="OSRRefH22_9x_0" localSheetId="82">'414'!$H$55</definedName>
    <definedName name="OSRRefH22_9x_0" localSheetId="83">'415'!$H$55</definedName>
    <definedName name="OSRRefH22_9x_0" localSheetId="84">'418'!$H$56:$H$58</definedName>
    <definedName name="OSRRefH22_9x_0" localSheetId="87">'424'!$H$48</definedName>
    <definedName name="OSRRefH22_9x_0" localSheetId="88">'425'!$H$56:$H$58</definedName>
    <definedName name="OSRRefH22_9x_0" localSheetId="91">'430'!$H$46</definedName>
    <definedName name="OSRRefH22_9x_0" localSheetId="92">'433'!$H$57</definedName>
    <definedName name="OSRRefH22_9x_0" localSheetId="94">'444'!$H$56</definedName>
    <definedName name="OSRRefH22_9x_0" localSheetId="95">'450'!$H$56</definedName>
    <definedName name="OSRRefH22_9x_0" localSheetId="76">'491'!$H$67:$H$68</definedName>
    <definedName name="OSRRefH22_9x_0" localSheetId="90">'492'!$H$60</definedName>
    <definedName name="OSRRefH22_9x_0" localSheetId="97">'501'!$H$51</definedName>
    <definedName name="OSRRefH22_9x_0" localSheetId="9">'Div 2'!$H$55</definedName>
    <definedName name="OSRRefH22_9x_0" localSheetId="47">'Div 3'!$H$200</definedName>
    <definedName name="OSRRefH22_9x_0" localSheetId="74">'Div 4'!$H$68</definedName>
    <definedName name="OSRRefH22_9x_0" localSheetId="96">'Div 5'!$H$51</definedName>
    <definedName name="OSRRefH22_9x_0" localSheetId="63">'Div 6'!$H$86:$H$87</definedName>
    <definedName name="OSRRefH22_9x_0" localSheetId="2">Summary!$H$235</definedName>
    <definedName name="OSRRefH22x_0" localSheetId="40">'200'!$H$20,'200'!$H$22,'200'!$H$24,'200'!$H$26:$H$27</definedName>
    <definedName name="OSRRefH22x_0" localSheetId="41">'201'!$H$20:$H$28,'201'!$H$30:$H$32,'201'!$H$34,'201'!$H$36,'201'!$H$38,'201'!$H$40,'201'!$H$42,'201'!$H$44,'201'!$H$46,'201'!$H$48:$H$50,'201'!$H$52:$H$54,'201'!$H$56,'201'!$H$58:$H$60,'201'!$H$62,'201'!$H$64,'201'!$H$66:$H$67</definedName>
    <definedName name="OSRRefH22x_0" localSheetId="42">'202'!$H$20:$H$27,'202'!$H$29:$H$32,'202'!$H$34,'202'!$H$36,'202'!$H$38,'202'!$H$40,'202'!$H$42,'202'!$H$44,'202'!$H$46:$H$48,'202'!$H$50,'202'!$H$52,'202'!$H$54:$H$56,'202'!$H$58,'202'!$H$60</definedName>
    <definedName name="OSRRefH22x_0" localSheetId="43">'203'!$H$20:$H$29,'203'!$H$31:$H$34,'203'!$H$36,'203'!$H$38,'203'!$H$40,'203'!$H$42,'203'!$H$44,'203'!$H$46,'203'!$H$48,'203'!$H$50:$H$52,'203'!$H$54:$H$55,'203'!$H$57,'203'!$H$59:$H$61,'203'!$H$63,'203'!$H$65,'203'!$H$67</definedName>
    <definedName name="OSRRefH22x_0" localSheetId="44">'204'!$H$20:$H$28,'204'!$H$30:$H$34,'204'!$H$36,'204'!$H$38:$H$39,'204'!$H$41,'204'!$H$43,'204'!$H$45:$H$47,'204'!$H$49:$H$50,'204'!$H$52:$H$53,'204'!$H$55,'204'!$H$57:$H$58</definedName>
    <definedName name="OSRRefH22x_0" localSheetId="45">'205'!$H$20:$H$27,'205'!$H$29,'205'!$H$31,'205'!$H$33,'205'!$H$35:$H$36,'205'!$H$38,'205'!$H$40:$H$41,'205'!$H$43,'205'!$H$45</definedName>
    <definedName name="OSRRefH22x_0" localSheetId="46">'206'!$H$20:$H$27,'206'!$H$29:$H$34,'206'!$H$36,'206'!$H$38,'206'!$H$40,'206'!$H$42:$H$43,'206'!$H$45,'206'!$H$47</definedName>
    <definedName name="OSRRefH22x_0" localSheetId="48">'300'!$H$160:$H$168,'300'!$H$170:$H$176,'300'!$H$178,'300'!$H$180:$H$181,'300'!$H$183,'300'!$H$185:$H$186,'300'!$H$188:$H$189,'300'!$H$191,'300'!$H$193,'300'!$H$195,'300'!$H$197:$H$198,'300'!$H$200,'300'!$H$202,'300'!$H$204,'300'!$H$206,'300'!$H$208,'300'!$H$210:$H$212,'300'!$H$214:$H$216,'300'!$H$218:$H$221,'300'!$H$223:$H$224,'300'!$H$226:$H$231,'300'!$H$233:$H$234,'300'!$H$236,'300'!$H$238:$H$240,'300'!$H$242</definedName>
    <definedName name="OSRRefH22x_0" localSheetId="49">'300 &amp; 317'!$H$185:$H$193,'300 &amp; 317'!$H$195:$H$201,'300 &amp; 317'!$H$203,'300 &amp; 317'!$H$205:$H$206,'300 &amp; 317'!$H$208,'300 &amp; 317'!$H$210:$H$211,'300 &amp; 317'!$H$213:$H$214,'300 &amp; 317'!$H$216,'300 &amp; 317'!$H$218,'300 &amp; 317'!$H$220,'300 &amp; 317'!$H$222:$H$223,'300 &amp; 317'!$H$225,'300 &amp; 317'!$H$227,'300 &amp; 317'!$H$229,'300 &amp; 317'!$H$231,'300 &amp; 317'!$H$233,'300 &amp; 317'!$H$235:$H$237,'300 &amp; 317'!$H$239:$H$241,'300 &amp; 317'!$H$243:$H$246,'300 &amp; 317'!$H$248:$H$249,'300 &amp; 317'!$H$251:$H$256,'300 &amp; 317'!$H$258:$H$259,'300 &amp; 317'!$H$261,'300 &amp; 317'!$H$263:$H$265,'300 &amp; 317'!$H$267</definedName>
    <definedName name="OSRRefH22x_0" localSheetId="50">'301'!$H$20:$H$27,'301'!$H$29:$H$35,'301'!$H$37,'301'!$H$39:$H$40,'301'!$H$42,'301'!$H$44:$H$45,'301'!$H$47:$H$48,'301'!$H$50,'301'!$H$52,'301'!$H$54,'301'!$H$56,'301'!$H$58,'301'!$H$60,'301'!$H$62,'301'!$H$64:$H$66,'301'!$H$68:$H$70,'301'!$H$72,'301'!$H$74:$H$78,'301'!$H$80,'301'!$H$82,'301'!$H$84:$H$85,'301'!$H$87</definedName>
    <definedName name="OSRRefH22x_0" localSheetId="51">'306'!$H$20:$H$28,'306'!$H$30:$H$34,'306'!$H$36,'306'!$H$38,'306'!$H$40,'306'!$H$42,'306'!$H$44:$H$45,'306'!$H$47:$H$50,'306'!$H$52,'306'!$H$54</definedName>
    <definedName name="OSRRefH22x_0" localSheetId="53">'307'!$H$72:$H$79,'307'!$H$81:$H$84,'307'!$H$86,'307'!$H$88,'307'!$H$90:$H$91,'307'!$H$93,'307'!$H$95,'307'!$H$97,'307'!$H$99:$H$100,'307'!$H$102:$H$103,'307'!$H$105:$H$106,'307'!$H$108,'307'!$H$110</definedName>
    <definedName name="OSRRefH22x_0" localSheetId="54">'308'!$H$62:$H$70,'308'!$H$72:$H$76,'308'!$H$78,'308'!$H$80:$H$81,'308'!$H$83,'308'!$H$85,'308'!$H$87:$H$88,'308'!$H$90,'308'!$H$92,'308'!$H$94:$H$95,'308'!$H$97,'308'!$H$99:$H$102,'308'!$H$104:$H$105,'308'!$H$107,'308'!$H$109</definedName>
    <definedName name="OSRRefH22x_0" localSheetId="66">'309'!$H$24:$H$31,'309'!$H$33:$H$37,'309'!$H$39,'309'!$H$41,'309'!$H$43,'309'!$H$45,'309'!$H$47,'309'!$H$49:$H$50,'309'!$H$52:$H$53,'309'!$H$55,'309'!$H$57:$H$62,'309'!$H$64</definedName>
    <definedName name="OSRRefH22x_0" localSheetId="65">'310'!$H$32:$H$39,'310'!$H$41:$H$46,'310'!$H$48,'310'!$H$50,'310'!$H$52,'310'!$H$54:$H$55,'310'!$H$57,'310'!$H$59,'310'!$H$61,'310'!$H$63,'310'!$H$65,'310'!$H$67,'310'!$H$69,'310'!$H$71,'310'!$H$73:$H$75,'310'!$H$77,'310'!$H$79:$H$82,'310'!$H$84:$H$85,'310'!$H$87:$H$93,'310'!$H$95,'310'!$H$97,'310'!$H$99</definedName>
    <definedName name="OSRRefH22x_0" localSheetId="75">'310 &amp; 491'!$H$40:$H$48,'310 &amp; 491'!$H$50:$H$56,'310 &amp; 491'!$H$58,'310 &amp; 491'!$H$60,'310 &amp; 491'!$H$62,'310 &amp; 491'!$H$64:$H$66,'310 &amp; 491'!$H$68,'310 &amp; 491'!$H$70,'310 &amp; 491'!$H$72,'310 &amp; 491'!$H$74,'310 &amp; 491'!$H$76,'310 &amp; 491'!$H$78:$H$79,'310 &amp; 491'!$H$81,'310 &amp; 491'!$H$83,'310 &amp; 491'!$H$85,'310 &amp; 491'!$H$87,'310 &amp; 491'!$H$89:$H$91,'310 &amp; 491'!$H$93:$H$94,'310 &amp; 491'!$H$96:$H$100,'310 &amp; 491'!$H$102:$H$103,'310 &amp; 491'!$H$105:$H$112,'310 &amp; 491'!$H$114,'310 &amp; 491'!$H$116,'310 &amp; 491'!$H$118:$H$120,'310 &amp; 491'!$H$122</definedName>
    <definedName name="OSRRefH22x_0" localSheetId="55">'311'!$H$61:$H$69,'311'!$H$71:$H$75,'311'!$H$77,'311'!$H$79:$H$80,'311'!$H$82,'311'!$H$84,'311'!$H$86:$H$87,'311'!$H$89,'311'!$H$91,'311'!$H$93:$H$94,'311'!$H$96,'311'!$H$98:$H$101,'311'!$H$103:$H$104,'311'!$H$106,'311'!$H$108</definedName>
    <definedName name="OSRRefH22x_0" localSheetId="67">'313'!$H$29:$H$36,'313'!$H$38:$H$42,'313'!$H$44,'313'!$H$46,'313'!$H$48,'313'!$H$50,'313'!$H$52,'313'!$H$54,'313'!$H$56,'313'!$H$58:$H$60,'313'!$H$62,'313'!$H$64,'313'!$H$66:$H$71,'313'!$H$73,'313'!$H$75</definedName>
    <definedName name="OSRRefH22x_0" localSheetId="56">'314'!$H$56:$H$62,'314'!$H$64:$H$66,'314'!$H$68,'314'!$H$70:$H$71,'314'!$H$73,'314'!$H$75,'314'!$H$77:$H$78,'314'!$H$80</definedName>
    <definedName name="OSRRefH22x_0" localSheetId="58">'315'!$H$55:$H$62,'315'!$H$64:$H$68,'315'!$H$70,'315'!$H$72:$H$73,'315'!$H$75,'315'!$H$77:$H$78,'315'!$H$80,'315'!$H$82,'315'!$H$84:$H$85,'315'!$H$87:$H$88,'315'!$H$90,'315'!$H$92:$H$95,'315'!$H$97,'315'!$H$99,'315'!$H$101:$H$102</definedName>
    <definedName name="OSRRefH22x_0" localSheetId="61">'316'!$H$32:$H$39,'316'!$H$41:$H$44,'316'!$H$46,'316'!$H$48,'316'!$H$50,'316'!$H$52:$H$53,'316'!$H$55,'316'!$H$57:$H$60,'316'!$H$62,'316'!$H$64</definedName>
    <definedName name="OSRRefH22x_0" localSheetId="64">'317'!$H$57:$H$65,'317'!$H$67:$H$70,'317'!$H$72,'317'!$H$74,'317'!$H$76,'317'!$H$78,'317'!$H$80,'317'!$H$82,'317'!$H$84,'317'!$H$86:$H$87,'317'!$H$89,'317'!$H$91,'317'!$H$93</definedName>
    <definedName name="OSRRefH22x_0" localSheetId="62">'320'!$H$29:$H$35,'320'!$H$37:$H$39,'320'!$H$41,'320'!$H$43,'320'!$H$45:$H$46,'320'!$H$48,'320'!$H$50,'320'!$H$52:$H$53,'320'!$H$55</definedName>
    <definedName name="OSRRefH22x_0" localSheetId="68">'321'!$H$24:$H$30,'321'!$H$32:$H$36,'321'!$H$38,'321'!$H$40,'321'!$H$42,'321'!$H$44,'321'!$H$46:$H$48,'321'!$H$50,'321'!$H$52:$H$54,'321'!$H$56:$H$60,'321'!$H$62,'321'!$H$64</definedName>
    <definedName name="OSRRefH22x_0" localSheetId="69">'322'!$H$24:$H$31,'322'!$H$33:$H$37,'322'!$H$39,'322'!$H$41,'322'!$H$43,'322'!$H$45,'322'!$H$47,'322'!$H$49,'322'!$H$51,'322'!$H$53:$H$54,'322'!$H$56:$H$58,'322'!$H$60:$H$65,'322'!$H$67,'322'!$H$69</definedName>
    <definedName name="OSRRefH22x_0" localSheetId="71">'324'!$H$25</definedName>
    <definedName name="OSRRefH22x_0" localSheetId="72">'325'!$H$24:$H$31,'325'!$H$33:$H$38,'325'!$H$40,'325'!$H$42,'325'!$H$44,'325'!$H$46:$H$47,'325'!$H$49,'325'!$H$51,'325'!$H$53,'325'!$H$55,'325'!$H$57,'325'!$H$59:$H$61,'325'!$H$63:$H$65,'325'!$H$67,'325'!$H$69:$H$74,'325'!$H$76,'325'!$H$78</definedName>
    <definedName name="OSRRefH22x_0" localSheetId="59">'326'!$H$59:$H$66,'326'!$H$68:$H$71,'326'!$H$73,'326'!$H$75,'326'!$H$77,'326'!$H$79,'326'!$H$81,'326'!$H$83,'326'!$H$85,'326'!$H$87,'326'!$H$89,'326'!$H$91,'326'!$H$93,'326'!$H$95:$H$96,'326'!$H$98:$H$100,'326'!$H$102,'326'!$H$104:$H$108,'326'!$H$110,'326'!$H$112,'326'!$H$114</definedName>
    <definedName name="OSRRefH22x_0" localSheetId="73">'327'!$H$22,'327'!$H$24,'327'!$H$26</definedName>
    <definedName name="OSRRefH22x_0" localSheetId="52">'330'!$H$80:$H$87,'330'!$H$89:$H$92,'330'!$H$94,'330'!$H$96,'330'!$H$98:$H$99,'330'!$H$101,'330'!$H$103,'330'!$H$105,'330'!$H$107,'330'!$H$109:$H$110,'330'!$H$112:$H$113,'330'!$H$115,'330'!$H$117:$H$119,'330'!$H$121,'330'!$H$123</definedName>
    <definedName name="OSRRefH22x_0" localSheetId="57">'331'!$H$73:$H$80,'331'!$H$82:$H$86,'331'!$H$88,'331'!$H$90,'331'!$H$92,'331'!$H$94:$H$95,'331'!$H$97,'331'!$H$99,'331'!$H$101:$H$102,'331'!$H$104,'331'!$H$106,'331'!$H$108,'331'!$H$110,'331'!$H$112,'331'!$H$114:$H$116,'331'!$H$118:$H$119,'331'!$H$121:$H$123,'331'!$H$125,'331'!$H$127:$H$131,'331'!$H$133,'331'!$H$135,'331'!$H$137:$H$138,'331'!$H$140</definedName>
    <definedName name="OSRRefH22x_0" localSheetId="60">'332'!$H$41:$H$48,'332'!$H$50:$H$53,'332'!$H$55,'332'!$H$57,'332'!$H$59,'332'!$H$61:$H$62,'332'!$H$64,'332'!$H$66,'332'!$H$68:$H$69,'332'!$H$71,'332'!$H$73:$H$77,'332'!$H$79,'332'!$H$81</definedName>
    <definedName name="OSRRefH22x_0" localSheetId="77">'405'!$H$24:$H$31,'405'!$H$33:$H$36,'405'!$H$38,'405'!$H$40,'405'!$H$42,'405'!$H$44:$H$45,'405'!$H$47,'405'!$H$49,'405'!$H$51,'405'!$H$53,'405'!$H$55:$H$56,'405'!$H$58,'405'!$H$60:$H$62,'405'!$H$64,'405'!$H$66:$H$72,'405'!$H$74,'405'!$H$76,'405'!$H$78</definedName>
    <definedName name="OSRRefH22x_0" localSheetId="78">'406'!$H$24:$H$31,'406'!$H$33:$H$37,'406'!$H$39,'406'!$H$41,'406'!$H$43,'406'!$H$45,'406'!$H$47,'406'!$H$49,'406'!$H$51:$H$53,'406'!$H$55:$H$56,'406'!$H$58:$H$63,'406'!$H$65,'406'!$H$67</definedName>
    <definedName name="OSRRefH22x_0" localSheetId="79">'411'!$H$20:$H$28,'411'!$H$30:$H$35,'411'!$H$37,'411'!$H$39:$H$41,'411'!$H$43,'411'!$H$45,'411'!$H$47,'411'!$H$49,'411'!$H$51,'411'!$H$53,'411'!$H$55:$H$57,'411'!$H$59:$H$63,'411'!$H$65:$H$71,'411'!$H$73,'411'!$H$75,'411'!$H$77:$H$79,'411'!$H$81</definedName>
    <definedName name="OSRRefH22x_0" localSheetId="80">'412'!$H$24:$H$31,'412'!$H$33:$H$38,'412'!$H$40,'412'!$H$42,'412'!$H$44,'412'!$H$46,'412'!$H$48,'412'!$H$50,'412'!$H$52:$H$53,'412'!$H$55,'412'!$H$57:$H$59,'412'!$H$61:$H$67,'412'!$H$69,'412'!$H$71</definedName>
    <definedName name="OSRRefH22x_0" localSheetId="81">'413'!$H$24:$H$31,'413'!$H$33:$H$37,'413'!$H$39,'413'!$H$41,'413'!$H$43,'413'!$H$45,'413'!$H$47,'413'!$H$49:$H$51,'413'!$H$53:$H$54,'413'!$H$56:$H$60,'413'!$H$62</definedName>
    <definedName name="OSRRefH22x_0" localSheetId="82">'414'!$H$24:$H$31,'414'!$H$33:$H$38,'414'!$H$40,'414'!$H$42,'414'!$H$44,'414'!$H$46,'414'!$H$48,'414'!$H$50,'414'!$H$52:$H$53,'414'!$H$55,'414'!$H$57,'414'!$H$59,'414'!$H$61:$H$67,'414'!$H$69,'414'!$H$71</definedName>
    <definedName name="OSRRefH22x_0" localSheetId="83">'415'!$H$24:$H$31,'415'!$H$33:$H$38,'415'!$H$40,'415'!$H$42,'415'!$H$44,'415'!$H$46:$H$47,'415'!$H$49,'415'!$H$51,'415'!$H$53,'415'!$H$55,'415'!$H$57,'415'!$H$59:$H$61,'415'!$H$63:$H$67,'415'!$H$69,'415'!$H$71:$H$77,'415'!$H$79,'415'!$H$81,'415'!$H$83</definedName>
    <definedName name="OSRRefH22x_0" localSheetId="84">'418'!$H$24:$H$31,'418'!$H$33:$H$38,'418'!$H$40,'418'!$H$42,'418'!$H$44,'418'!$H$46:$H$47,'418'!$H$49,'418'!$H$51,'418'!$H$53:$H$54,'418'!$H$56:$H$58,'418'!$H$60:$H$62,'418'!$H$64,'418'!$H$66:$H$72,'418'!$H$74,'418'!$H$76</definedName>
    <definedName name="OSRRefH22x_0" localSheetId="85">'420'!$H$22:$H$28,'420'!$H$30:$H$33,'420'!$H$35,'420'!$H$37</definedName>
    <definedName name="OSRRefH22x_0" localSheetId="86">'423'!$H$21:$H$28,'423'!$H$30,'423'!$H$32,'423'!$H$34,'423'!$H$36,'423'!$H$38</definedName>
    <definedName name="OSRRefH22x_0" localSheetId="87">'424'!$H$24:$H$26,'424'!$H$28:$H$31,'424'!$H$33,'424'!$H$35,'424'!$H$37,'424'!$H$39,'424'!$H$41,'424'!$H$43:$H$44,'424'!$H$46,'424'!$H$48,'424'!$H$50:$H$54,'424'!$H$56</definedName>
    <definedName name="OSRRefH22x_0" localSheetId="88">'425'!$H$27:$H$34,'425'!$H$36:$H$40,'425'!$H$42,'425'!$H$44,'425'!$H$46,'425'!$H$48,'425'!$H$50,'425'!$H$52,'425'!$H$54,'425'!$H$56:$H$58,'425'!$H$60,'425'!$H$62:$H$63,'425'!$H$65:$H$71,'425'!$H$73,'425'!$H$75,'425'!$H$77</definedName>
    <definedName name="OSRRefH22x_0" localSheetId="91">'430'!$H$20:$H$27,'430'!$H$29,'430'!$H$31,'430'!$H$33,'430'!$H$35,'430'!$H$37,'430'!$H$39:$H$40,'430'!$H$42,'430'!$H$44,'430'!$H$46</definedName>
    <definedName name="OSRRefH22x_0" localSheetId="92">'433'!$H$26:$H$34,'433'!$H$36:$H$41,'433'!$H$43,'433'!$H$45,'433'!$H$47,'433'!$H$49,'433'!$H$51,'433'!$H$53,'433'!$H$55,'433'!$H$57,'433'!$H$59:$H$61,'433'!$H$63:$H$65,'433'!$H$67:$H$72,'433'!$H$74,'433'!$H$76,'433'!$H$78:$H$79</definedName>
    <definedName name="OSRRefH22x_0" localSheetId="93">'435'!$H$25:$H$27,'435'!$H$29:$H$30,'435'!$H$32,'435'!$H$34,'435'!$H$36,'435'!$H$38,'435'!$H$40:$H$43,'435'!$H$45</definedName>
    <definedName name="OSRRefH22x_0" localSheetId="94">'444'!$H$25:$H$33,'444'!$H$35:$H$40,'444'!$H$42,'444'!$H$44,'444'!$H$46,'444'!$H$48,'444'!$H$50,'444'!$H$52,'444'!$H$54,'444'!$H$56,'444'!$H$58,'444'!$H$60:$H$62,'444'!$H$64:$H$66,'444'!$H$68:$H$75,'444'!$H$77,'444'!$H$79,'444'!$H$81</definedName>
    <definedName name="OSRRefH22x_0" localSheetId="95">'450'!$H$25:$H$33,'450'!$H$35:$H$40,'450'!$H$42,'450'!$H$44,'450'!$H$46,'450'!$H$48,'450'!$H$50,'450'!$H$52,'450'!$H$54,'450'!$H$56,'450'!$H$58,'450'!$H$60:$H$61,'450'!$H$63:$H$65,'450'!$H$67:$H$73,'450'!$H$75,'450'!$H$77,'450'!$H$79:$H$80</definedName>
    <definedName name="OSRRefH22x_0" localSheetId="89">'455'!$H$20:$H$26,'455'!$H$28:$H$29,'455'!$H$31</definedName>
    <definedName name="OSRRefH22x_0" localSheetId="76">'491'!$H$33:$H$41,'491'!$H$43:$H$49,'491'!$H$51,'491'!$H$53,'491'!$H$55,'491'!$H$57:$H$59,'491'!$H$61,'491'!$H$63,'491'!$H$65,'491'!$H$67:$H$68,'491'!$H$70,'491'!$H$72,'491'!$H$74,'491'!$H$76,'491'!$H$78:$H$80,'491'!$H$82:$H$83,'491'!$H$85:$H$89,'491'!$H$91,'491'!$H$93:$H$100,'491'!$H$102,'491'!$H$104,'491'!$H$106:$H$108,'491'!$H$110</definedName>
    <definedName name="OSRRefH22x_0" localSheetId="90">'492'!$H$28:$H$36,'492'!$H$38:$H$44,'492'!$H$46,'492'!$H$48,'492'!$H$50,'492'!$H$52,'492'!$H$54,'492'!$H$56,'492'!$H$58,'492'!$H$60,'492'!$H$62,'492'!$H$64,'492'!$H$66:$H$68,'492'!$H$70:$H$72,'492'!$H$74:$H$81,'492'!$H$83,'492'!$H$85,'492'!$H$87:$H$88</definedName>
    <definedName name="OSRRefH22x_0" localSheetId="97">'501'!$H$21:$H$28,'501'!$H$30:$H$35,'501'!$H$37,'501'!$H$39,'501'!$H$41,'501'!$H$43,'501'!$H$45,'501'!$H$47,'501'!$H$49,'501'!$H$51,'501'!$H$53:$H$54,'501'!$H$56:$H$59,'501'!$H$61</definedName>
    <definedName name="OSRRefH22x_0" localSheetId="9">'Div 2'!$H$20:$H$30,'Div 2'!$H$32:$H$38,'Div 2'!$H$40,'Div 2'!$H$42,'Div 2'!$H$44,'Div 2'!$H$46:$H$47,'Div 2'!$H$49,'Div 2'!$H$51,'Div 2'!$H$53,'Div 2'!$H$55,'Div 2'!$H$57,'Div 2'!$H$59,'Div 2'!$H$61:$H$64,'Div 2'!$H$66:$H$68,'Div 2'!$H$70:$H$71,'Div 2'!$H$73,'Div 2'!$H$75:$H$78,'Div 2'!$H$80:$H$81,'Div 2'!$H$83,'Div 2'!$H$85:$H$86</definedName>
    <definedName name="OSRRefH22x_0" localSheetId="47">'Div 3'!$H$165:$H$173,'Div 3'!$H$175:$H$181,'Div 3'!$H$183,'Div 3'!$H$185:$H$186,'Div 3'!$H$188,'Div 3'!$H$190:$H$191,'Div 3'!$H$193:$H$194,'Div 3'!$H$196,'Div 3'!$H$198,'Div 3'!$H$200,'Div 3'!$H$202:$H$203,'Div 3'!$H$205,'Div 3'!$H$207,'Div 3'!$H$209,'Div 3'!$H$211,'Div 3'!$H$213,'Div 3'!$H$215,'Div 3'!$H$217:$H$219,'Div 3'!$H$221:$H$223,'Div 3'!$H$225:$H$229,'Div 3'!$H$231:$H$232,'Div 3'!$H$234:$H$240,'Div 3'!$H$242:$H$243,'Div 3'!$H$245,'Div 3'!$H$247:$H$249,'Div 3'!$H$251</definedName>
    <definedName name="OSRRefH22x_0" localSheetId="74">'Div 4'!$H$34:$H$42,'Div 4'!$H$44:$H$50,'Div 4'!$H$52,'Div 4'!$H$54,'Div 4'!$H$56,'Div 4'!$H$58:$H$60,'Div 4'!$H$62,'Div 4'!$H$64,'Div 4'!$H$66,'Div 4'!$H$68,'Div 4'!$H$70:$H$71,'Div 4'!$H$73,'Div 4'!$H$75,'Div 4'!$H$77,'Div 4'!$H$79,'Div 4'!$H$81,'Div 4'!$H$83:$H$85,'Div 4'!$H$87:$H$88,'Div 4'!$H$90:$H$94,'Div 4'!$H$96,'Div 4'!$H$98:$H$105,'Div 4'!$H$107,'Div 4'!$H$109,'Div 4'!$H$111:$H$113,'Div 4'!$H$115</definedName>
    <definedName name="OSRRefH22x_0" localSheetId="96">'Div 5'!$H$21:$H$28,'Div 5'!$H$30:$H$35,'Div 5'!$H$37,'Div 5'!$H$39,'Div 5'!$H$41,'Div 5'!$H$43,'Div 5'!$H$45,'Div 5'!$H$47,'Div 5'!$H$49,'Div 5'!$H$51,'Div 5'!$H$53:$H$54,'Div 5'!$H$56:$H$59,'Div 5'!$H$61</definedName>
    <definedName name="OSRRefH22x_0" localSheetId="63">'Div 6'!$H$57:$H$65,'Div 6'!$H$67:$H$70,'Div 6'!$H$72,'Div 6'!$H$74,'Div 6'!$H$76,'Div 6'!$H$78,'Div 6'!$H$80,'Div 6'!$H$82,'Div 6'!$H$84,'Div 6'!$H$86:$H$87,'Div 6'!$H$89,'Div 6'!$H$91,'Div 6'!$H$93</definedName>
    <definedName name="OSRRefH22x_0" localSheetId="2">Summary!$H$199:$H$207,Summary!$H$209:$H$215,Summary!$H$217,Summary!$H$219:$H$220,Summary!$H$222,Summary!$H$224:$H$226,Summary!$H$228:$H$229,Summary!$H$231,Summary!$H$233,Summary!$H$235,Summary!$H$237:$H$238,Summary!$H$240:$H$241,Summary!$H$243,Summary!$H$245,Summary!$H$247,Summary!$H$249,Summary!$H$251,Summary!$H$253,Summary!$H$255:$H$257,Summary!$H$259:$H$261,Summary!$H$263:$H$267,Summary!$H$269:$H$270,Summary!$H$272:$H$279,Summary!$H$281:$H$282,Summary!$H$284,Summary!$H$286:$H$288,Summary!$H$290</definedName>
    <definedName name="OSRRefH25x_0" localSheetId="48">'300'!$H$245:$H$252</definedName>
    <definedName name="OSRRefH25x_0" localSheetId="49">'300 &amp; 317'!$H$270:$H$279</definedName>
    <definedName name="OSRRefH25x_0" localSheetId="50">'301'!$H$90:$H$91</definedName>
    <definedName name="OSRRefH25x_0" localSheetId="54">'308'!$H$112:$H$114</definedName>
    <definedName name="OSRRefH25x_0" localSheetId="75">'310 &amp; 491'!$H$125:$H$127</definedName>
    <definedName name="OSRRefH25x_0" localSheetId="55">'311'!$H$111:$H$113</definedName>
    <definedName name="OSRRefH25x_0" localSheetId="58">'315'!$H$105</definedName>
    <definedName name="OSRRefH25x_0" localSheetId="61">'316'!$H$67</definedName>
    <definedName name="OSRRefH25x_0" localSheetId="64">'317'!$H$96:$H$98</definedName>
    <definedName name="OSRRefH25x_0" localSheetId="62">'320'!$H$58:$H$62</definedName>
    <definedName name="OSRRefH25x_0" localSheetId="57">'331'!$H$143</definedName>
    <definedName name="OSRRefH25x_0" localSheetId="60">'332'!$H$84:$H$89</definedName>
    <definedName name="OSRRefH25x_0" localSheetId="79">'411'!$H$84:$H$85</definedName>
    <definedName name="OSRRefH25x_0" localSheetId="81">'413'!$H$65</definedName>
    <definedName name="OSRRefH25x_0" localSheetId="84">'418'!$H$79</definedName>
    <definedName name="OSRRefH25x_0" localSheetId="86">'423'!$H$41</definedName>
    <definedName name="OSRRefH25x_0" localSheetId="87">'424'!$H$59</definedName>
    <definedName name="OSRRefH25x_0" localSheetId="88">'425'!$H$80</definedName>
    <definedName name="OSRRefH25x_0" localSheetId="89">'455'!$H$34:$H$35</definedName>
    <definedName name="OSRRefH25x_0" localSheetId="76">'491'!$H$113:$H$115</definedName>
    <definedName name="OSRRefH25x_0" localSheetId="97">'501'!$H$64:$H$65</definedName>
    <definedName name="OSRRefH25x_0" localSheetId="47">'Div 3'!$H$254:$H$261</definedName>
    <definedName name="OSRRefH25x_0" localSheetId="74">'Div 4'!$H$118:$H$120</definedName>
    <definedName name="OSRRefH25x_0" localSheetId="96">'Div 5'!$H$64:$H$65</definedName>
    <definedName name="OSRRefH25x_0" localSheetId="63">'Div 6'!$H$96:$H$98</definedName>
    <definedName name="OSRRefH25x_0" localSheetId="2">Summary!$H$293:$H$303</definedName>
    <definedName name="OSRRefP13x_0" localSheetId="48">'300'!$P$13:$P$103</definedName>
    <definedName name="OSRRefP13x_0" localSheetId="49">'300 &amp; 317'!$P$13:$P$121</definedName>
    <definedName name="OSRRefP13x_0" localSheetId="53">'307'!$P$13:$P$45</definedName>
    <definedName name="OSRRefP13x_0" localSheetId="54">'308'!$P$13:$P$39</definedName>
    <definedName name="OSRRefP13x_0" localSheetId="66">'309'!$P$13:$P$14</definedName>
    <definedName name="OSRRefP13x_0" localSheetId="65">'310'!$P$13:$P$22</definedName>
    <definedName name="OSRRefP13x_0" localSheetId="75">'310 &amp; 491'!$P$13:$P$30</definedName>
    <definedName name="OSRRefP13x_0" localSheetId="55">'311'!$P$13:$P$38</definedName>
    <definedName name="OSRRefP13x_0" localSheetId="67">'313'!$P$13:$P$19</definedName>
    <definedName name="OSRRefP13x_0" localSheetId="56">'314'!$P$13:$P$33</definedName>
    <definedName name="OSRRefP13x_0" localSheetId="58">'315'!$P$13:$P$32</definedName>
    <definedName name="OSRRefP13x_0" localSheetId="61">'316'!$P$13:$P$24</definedName>
    <definedName name="OSRRefP13x_0" localSheetId="64">'317'!$P$13:$P$36</definedName>
    <definedName name="OSRRefP13x_0" localSheetId="62">'320'!$P$13:$P$16</definedName>
    <definedName name="OSRRefP13x_0" localSheetId="68">'321'!$P$13:$P$14</definedName>
    <definedName name="OSRRefP13x_0" localSheetId="69">'322'!$P$13:$P$14</definedName>
    <definedName name="OSRRefP13x_0" localSheetId="71">'324'!$P$13:$P$15</definedName>
    <definedName name="OSRRefP13x_0" localSheetId="72">'325'!$P$13:$P$14</definedName>
    <definedName name="OSRRefP13x_0" localSheetId="59">'326'!$P$13:$P$34</definedName>
    <definedName name="OSRRefP13x_0" localSheetId="73">'327'!$P$13</definedName>
    <definedName name="OSRRefP13x_0" localSheetId="52">'330'!$P$13:$P$49</definedName>
    <definedName name="OSRRefP13x_0" localSheetId="57">'331'!$P$13:$P$42</definedName>
    <definedName name="OSRRefP13x_0" localSheetId="60">'332'!$P$13:$P$28</definedName>
    <definedName name="OSRRefP13x_0" localSheetId="77">'405'!$P$13:$P$14</definedName>
    <definedName name="OSRRefP13x_0" localSheetId="78">'406'!$P$13:$P$14</definedName>
    <definedName name="OSRRefP13x_0" localSheetId="80">'412'!$P$13:$P$15</definedName>
    <definedName name="OSRRefP13x_0" localSheetId="81">'413'!$P$13:$P$14</definedName>
    <definedName name="OSRRefP13x_0" localSheetId="82">'414'!$P$13:$P$14</definedName>
    <definedName name="OSRRefP13x_0" localSheetId="83">'415'!$P$13:$P$14</definedName>
    <definedName name="OSRRefP13x_0" localSheetId="84">'418'!$P$13:$P$14</definedName>
    <definedName name="OSRRefP13x_0" localSheetId="85">'420'!$P$13:$P$14</definedName>
    <definedName name="OSRRefP13x_0" localSheetId="87">'424'!$P$13:$P$14</definedName>
    <definedName name="OSRRefP13x_0" localSheetId="88">'425'!$P$13:$P$17</definedName>
    <definedName name="OSRRefP13x_0" localSheetId="92">'433'!$P$13:$P$16</definedName>
    <definedName name="OSRRefP13x_0" localSheetId="93">'435'!$P$13:$P$15</definedName>
    <definedName name="OSRRefP13x_0" localSheetId="94">'444'!$P$13:$P$15</definedName>
    <definedName name="OSRRefP13x_0" localSheetId="95">'450'!$P$13:$P$15</definedName>
    <definedName name="OSRRefP13x_0" localSheetId="76">'491'!$P$13:$P$23</definedName>
    <definedName name="OSRRefP13x_0" localSheetId="90">'492'!$P$13:$P$18</definedName>
    <definedName name="OSRRefP13x_0" localSheetId="97">'501'!$P$13</definedName>
    <definedName name="OSRRefP13x_0" localSheetId="47">'Div 3'!$P$13:$P$106</definedName>
    <definedName name="OSRRefP13x_0" localSheetId="74">'Div 4'!$P$13:$P$24</definedName>
    <definedName name="OSRRefP13x_0" localSheetId="96">'Div 5'!$P$13</definedName>
    <definedName name="OSRRefP13x_0" localSheetId="63">'Div 6'!$P$13:$P$36</definedName>
    <definedName name="OSRRefP13x_0" localSheetId="2">Summary!$P$13:$P$133</definedName>
    <definedName name="OSRRefP16x_0" localSheetId="48">'300'!$P$106:$P$154</definedName>
    <definedName name="OSRRefP16x_0" localSheetId="49">'300 &amp; 317'!$P$124:$P$179</definedName>
    <definedName name="OSRRefP16x_0" localSheetId="53">'307'!$P$48:$P$66</definedName>
    <definedName name="OSRRefP16x_0" localSheetId="54">'308'!$P$42:$P$56</definedName>
    <definedName name="OSRRefP16x_0" localSheetId="66">'309'!$P$17:$P$18</definedName>
    <definedName name="OSRRefP16x_0" localSheetId="65">'310'!$P$25:$P$26</definedName>
    <definedName name="OSRRefP16x_0" localSheetId="75">'310 &amp; 491'!$P$33:$P$34</definedName>
    <definedName name="OSRRefP16x_0" localSheetId="55">'311'!$P$41:$P$55</definedName>
    <definedName name="OSRRefP16x_0" localSheetId="67">'313'!$P$22:$P$23</definedName>
    <definedName name="OSRRefP16x_0" localSheetId="56">'314'!$P$36:$P$50</definedName>
    <definedName name="OSRRefP16x_0" localSheetId="58">'315'!$P$35:$P$49</definedName>
    <definedName name="OSRRefP16x_0" localSheetId="64">'317'!$P$39:$P$51</definedName>
    <definedName name="OSRRefP16x_0" localSheetId="62">'320'!$P$19:$P$23</definedName>
    <definedName name="OSRRefP16x_0" localSheetId="68">'321'!$P$17:$P$18</definedName>
    <definedName name="OSRRefP16x_0" localSheetId="69">'322'!$P$17:$P$18</definedName>
    <definedName name="OSRRefP16x_0" localSheetId="71">'324'!$P$18:$P$19</definedName>
    <definedName name="OSRRefP16x_0" localSheetId="72">'325'!$P$17:$P$18</definedName>
    <definedName name="OSRRefP16x_0" localSheetId="59">'326'!$P$37:$P$53</definedName>
    <definedName name="OSRRefP16x_0" localSheetId="73">'327'!$P$16</definedName>
    <definedName name="OSRRefP16x_0" localSheetId="52">'330'!$P$52:$P$74</definedName>
    <definedName name="OSRRefP16x_0" localSheetId="57">'331'!$P$45:$P$67</definedName>
    <definedName name="OSRRefP16x_0" localSheetId="60">'332'!$P$31:$P$35</definedName>
    <definedName name="OSRRefP16x_0" localSheetId="77">'405'!$P$17:$P$18</definedName>
    <definedName name="OSRRefP16x_0" localSheetId="78">'406'!$P$17:$P$18</definedName>
    <definedName name="OSRRefP16x_0" localSheetId="80">'412'!$P$18</definedName>
    <definedName name="OSRRefP16x_0" localSheetId="81">'413'!$P$17:$P$18</definedName>
    <definedName name="OSRRefP16x_0" localSheetId="82">'414'!$P$17:$P$18</definedName>
    <definedName name="OSRRefP16x_0" localSheetId="83">'415'!$P$17:$P$18</definedName>
    <definedName name="OSRRefP16x_0" localSheetId="84">'418'!$P$17:$P$18</definedName>
    <definedName name="OSRRefP16x_0" localSheetId="86">'423'!$P$15</definedName>
    <definedName name="OSRRefP16x_0" localSheetId="87">'424'!$P$17:$P$18</definedName>
    <definedName name="OSRRefP16x_0" localSheetId="88">'425'!$P$20:$P$21</definedName>
    <definedName name="OSRRefP16x_0" localSheetId="92">'433'!$P$19:$P$20</definedName>
    <definedName name="OSRRefP16x_0" localSheetId="93">'435'!$P$18:$P$19</definedName>
    <definedName name="OSRRefP16x_0" localSheetId="94">'444'!$P$18:$P$19</definedName>
    <definedName name="OSRRefP16x_0" localSheetId="95">'450'!$P$18:$P$19</definedName>
    <definedName name="OSRRefP16x_0" localSheetId="76">'491'!$P$26:$P$27</definedName>
    <definedName name="OSRRefP16x_0" localSheetId="90">'492'!$P$21:$P$22</definedName>
    <definedName name="OSRRefP16x_0" localSheetId="47">'Div 3'!$P$109:$P$159</definedName>
    <definedName name="OSRRefP16x_0" localSheetId="74">'Div 4'!$P$27:$P$28</definedName>
    <definedName name="OSRRefP16x_0" localSheetId="63">'Div 6'!$P$39:$P$51</definedName>
    <definedName name="OSRRefP16x_0" localSheetId="2">Summary!$P$136:$P$193</definedName>
    <definedName name="OSRRefP22_0x_0" localSheetId="40">'200'!$P$20</definedName>
    <definedName name="OSRRefP22_0x_0" localSheetId="41">'201'!$P$20:$P$28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'206'!$P$20:$P$27</definedName>
    <definedName name="OSRRefP22_0x_0" localSheetId="48">'300'!$P$160:$P$168</definedName>
    <definedName name="OSRRefP22_0x_0" localSheetId="49">'300 &amp; 317'!$P$185:$P$193</definedName>
    <definedName name="OSRRefP22_0x_0" localSheetId="50">'301'!$P$20:$P$27</definedName>
    <definedName name="OSRRefP22_0x_0" localSheetId="51">'306'!$P$20:$P$28</definedName>
    <definedName name="OSRRefP22_0x_0" localSheetId="53">'307'!$P$72:$P$79</definedName>
    <definedName name="OSRRefP22_0x_0" localSheetId="54">'308'!$P$62:$P$70</definedName>
    <definedName name="OSRRefP22_0x_0" localSheetId="66">'309'!$P$24:$P$31</definedName>
    <definedName name="OSRRefP22_0x_0" localSheetId="65">'310'!$P$32:$P$39</definedName>
    <definedName name="OSRRefP22_0x_0" localSheetId="75">'310 &amp; 491'!$P$40:$P$48</definedName>
    <definedName name="OSRRefP22_0x_0" localSheetId="55">'311'!$P$61:$P$69</definedName>
    <definedName name="OSRRefP22_0x_0" localSheetId="67">'313'!$P$29:$P$36</definedName>
    <definedName name="OSRRefP22_0x_0" localSheetId="56">'314'!$P$56:$P$62</definedName>
    <definedName name="OSRRefP22_0x_0" localSheetId="58">'315'!$P$55:$P$62</definedName>
    <definedName name="OSRRefP22_0x_0" localSheetId="61">'316'!$P$32:$P$39</definedName>
    <definedName name="OSRRefP22_0x_0" localSheetId="64">'317'!$P$57:$P$65</definedName>
    <definedName name="OSRRefP22_0x_0" localSheetId="62">'320'!$P$29:$P$35</definedName>
    <definedName name="OSRRefP22_0x_0" localSheetId="68">'321'!$P$24:$P$30</definedName>
    <definedName name="OSRRefP22_0x_0" localSheetId="69">'322'!$P$24:$P$31</definedName>
    <definedName name="OSRRefP22_0x_0" localSheetId="71">'324'!$P$25</definedName>
    <definedName name="OSRRefP22_0x_0" localSheetId="72">'325'!$P$24:$P$31</definedName>
    <definedName name="OSRRefP22_0x_0" localSheetId="59">'326'!$P$59:$P$66</definedName>
    <definedName name="OSRRefP22_0x_0" localSheetId="73">'327'!$P$22</definedName>
    <definedName name="OSRRefP22_0x_0" localSheetId="52">'330'!$P$80:$P$87</definedName>
    <definedName name="OSRRefP22_0x_0" localSheetId="57">'331'!$P$73:$P$80</definedName>
    <definedName name="OSRRefP22_0x_0" localSheetId="60">'332'!$P$41:$P$48</definedName>
    <definedName name="OSRRefP22_0x_0" localSheetId="77">'405'!$P$24:$P$31</definedName>
    <definedName name="OSRRefP22_0x_0" localSheetId="78">'406'!$P$24:$P$31</definedName>
    <definedName name="OSRRefP22_0x_0" localSheetId="79">'411'!$P$20:$P$28</definedName>
    <definedName name="OSRRefP22_0x_0" localSheetId="80">'412'!$P$24:$P$31</definedName>
    <definedName name="OSRRefP22_0x_0" localSheetId="81">'413'!$P$24:$P$31</definedName>
    <definedName name="OSRRefP22_0x_0" localSheetId="82">'414'!$P$24:$P$31</definedName>
    <definedName name="OSRRefP22_0x_0" localSheetId="83">'415'!$P$24:$P$31</definedName>
    <definedName name="OSRRefP22_0x_0" localSheetId="84">'418'!$P$24:$P$31</definedName>
    <definedName name="OSRRefP22_0x_0" localSheetId="85">'420'!$P$22:$P$28</definedName>
    <definedName name="OSRRefP22_0x_0" localSheetId="86">'423'!$P$21:$P$28</definedName>
    <definedName name="OSRRefP22_0x_0" localSheetId="87">'424'!$P$24:$P$26</definedName>
    <definedName name="OSRRefP22_0x_0" localSheetId="88">'425'!$P$27:$P$34</definedName>
    <definedName name="OSRRefP22_0x_0" localSheetId="91">'430'!$P$20:$P$27</definedName>
    <definedName name="OSRRefP22_0x_0" localSheetId="92">'433'!$P$26:$P$34</definedName>
    <definedName name="OSRRefP22_0x_0" localSheetId="93">'435'!$P$25:$P$27</definedName>
    <definedName name="OSRRefP22_0x_0" localSheetId="94">'444'!$P$25:$P$33</definedName>
    <definedName name="OSRRefP22_0x_0" localSheetId="95">'450'!$P$25:$P$33</definedName>
    <definedName name="OSRRefP22_0x_0" localSheetId="89">'455'!$P$20:$P$26</definedName>
    <definedName name="OSRRefP22_0x_0" localSheetId="76">'491'!$P$33:$P$41</definedName>
    <definedName name="OSRRefP22_0x_0" localSheetId="90">'492'!$P$28:$P$36</definedName>
    <definedName name="OSRRefP22_0x_0" localSheetId="97">'501'!$P$21:$P$28</definedName>
    <definedName name="OSRRefP22_0x_0" localSheetId="9">'Div 2'!$P$20:$P$30</definedName>
    <definedName name="OSRRefP22_0x_0" localSheetId="47">'Div 3'!$P$165:$P$173</definedName>
    <definedName name="OSRRefP22_0x_0" localSheetId="74">'Div 4'!$P$34:$P$42</definedName>
    <definedName name="OSRRefP22_0x_0" localSheetId="96">'Div 5'!$P$21:$P$28</definedName>
    <definedName name="OSRRefP22_0x_0" localSheetId="63">'Div 6'!$P$57:$P$65</definedName>
    <definedName name="OSRRefP22_0x_0" localSheetId="2">Summary!$P$199:$P$207</definedName>
    <definedName name="OSRRefP22_10x_0" localSheetId="41">'201'!$P$52:$P$54</definedName>
    <definedName name="OSRRefP22_10x_0" localSheetId="42">'202'!$P$52</definedName>
    <definedName name="OSRRefP22_10x_0" localSheetId="43">'203'!$P$54:$P$55</definedName>
    <definedName name="OSRRefP22_10x_0" localSheetId="44">'204'!$P$57:$P$58</definedName>
    <definedName name="OSRRefP22_10x_0" localSheetId="48">'300'!$P$197:$P$198</definedName>
    <definedName name="OSRRefP22_10x_0" localSheetId="49">'300 &amp; 317'!$P$222:$P$223</definedName>
    <definedName name="OSRRefP22_10x_0" localSheetId="50">'301'!$P$56</definedName>
    <definedName name="OSRRefP22_10x_0" localSheetId="53">'307'!$P$105:$P$106</definedName>
    <definedName name="OSRRefP22_10x_0" localSheetId="54">'308'!$P$97</definedName>
    <definedName name="OSRRefP22_10x_0" localSheetId="66">'309'!$P$57:$P$62</definedName>
    <definedName name="OSRRefP22_10x_0" localSheetId="65">'310'!$P$65</definedName>
    <definedName name="OSRRefP22_10x_0" localSheetId="75">'310 &amp; 491'!$P$76</definedName>
    <definedName name="OSRRefP22_10x_0" localSheetId="55">'311'!$P$96</definedName>
    <definedName name="OSRRefP22_10x_0" localSheetId="67">'313'!$P$62</definedName>
    <definedName name="OSRRefP22_10x_0" localSheetId="58">'315'!$P$90</definedName>
    <definedName name="OSRRefP22_10x_0" localSheetId="64">'317'!$P$89</definedName>
    <definedName name="OSRRefP22_10x_0" localSheetId="68">'321'!$P$62</definedName>
    <definedName name="OSRRefP22_10x_0" localSheetId="69">'322'!$P$56:$P$58</definedName>
    <definedName name="OSRRefP22_10x_0" localSheetId="72">'325'!$P$57</definedName>
    <definedName name="OSRRefP22_10x_0" localSheetId="59">'326'!$P$89</definedName>
    <definedName name="OSRRefP22_10x_0" localSheetId="52">'330'!$P$112:$P$113</definedName>
    <definedName name="OSRRefP22_10x_0" localSheetId="57">'331'!$P$106</definedName>
    <definedName name="OSRRefP22_10x_0" localSheetId="60">'332'!$P$73:$P$77</definedName>
    <definedName name="OSRRefP22_10x_0" localSheetId="77">'405'!$P$55:$P$56</definedName>
    <definedName name="OSRRefP22_10x_0" localSheetId="78">'406'!$P$58:$P$63</definedName>
    <definedName name="OSRRefP22_10x_0" localSheetId="79">'411'!$P$55:$P$57</definedName>
    <definedName name="OSRRefP22_10x_0" localSheetId="80">'412'!$P$57:$P$59</definedName>
    <definedName name="OSRRefP22_10x_0" localSheetId="81">'413'!$P$62</definedName>
    <definedName name="OSRRefP22_10x_0" localSheetId="82">'414'!$P$57</definedName>
    <definedName name="OSRRefP22_10x_0" localSheetId="83">'415'!$P$57</definedName>
    <definedName name="OSRRefP22_10x_0" localSheetId="84">'418'!$P$60:$P$62</definedName>
    <definedName name="OSRRefP22_10x_0" localSheetId="87">'424'!$P$50:$P$54</definedName>
    <definedName name="OSRRefP22_10x_0" localSheetId="88">'425'!$P$60</definedName>
    <definedName name="OSRRefP22_10x_0" localSheetId="92">'433'!$P$59:$P$61</definedName>
    <definedName name="OSRRefP22_10x_0" localSheetId="94">'444'!$P$58</definedName>
    <definedName name="OSRRefP22_10x_0" localSheetId="95">'450'!$P$58</definedName>
    <definedName name="OSRRefP22_10x_0" localSheetId="76">'491'!$P$70</definedName>
    <definedName name="OSRRefP22_10x_0" localSheetId="90">'492'!$P$62</definedName>
    <definedName name="OSRRefP22_10x_0" localSheetId="97">'501'!$P$53:$P$54</definedName>
    <definedName name="OSRRefP22_10x_0" localSheetId="9">'Div 2'!$P$57</definedName>
    <definedName name="OSRRefP22_10x_0" localSheetId="47">'Div 3'!$P$202:$P$203</definedName>
    <definedName name="OSRRefP22_10x_0" localSheetId="74">'Div 4'!$P$70:$P$71</definedName>
    <definedName name="OSRRefP22_10x_0" localSheetId="96">'Div 5'!$P$53:$P$54</definedName>
    <definedName name="OSRRefP22_10x_0" localSheetId="63">'Div 6'!$P$89</definedName>
    <definedName name="OSRRefP22_10x_0" localSheetId="2">Summary!$P$237:$P$238</definedName>
    <definedName name="OSRRefP22_11x_0" localSheetId="41">'201'!$P$56</definedName>
    <definedName name="OSRRefP22_11x_0" localSheetId="42">'202'!$P$54:$P$56</definedName>
    <definedName name="OSRRefP22_11x_0" localSheetId="43">'203'!$P$57</definedName>
    <definedName name="OSRRefP22_11x_0" localSheetId="48">'300'!$P$200</definedName>
    <definedName name="OSRRefP22_11x_0" localSheetId="49">'300 &amp; 317'!$P$225</definedName>
    <definedName name="OSRRefP22_11x_0" localSheetId="50">'301'!$P$58</definedName>
    <definedName name="OSRRefP22_11x_0" localSheetId="53">'307'!$P$108</definedName>
    <definedName name="OSRRefP22_11x_0" localSheetId="54">'308'!$P$99:$P$102</definedName>
    <definedName name="OSRRefP22_11x_0" localSheetId="66">'309'!$P$64</definedName>
    <definedName name="OSRRefP22_11x_0" localSheetId="65">'310'!$P$67</definedName>
    <definedName name="OSRRefP22_11x_0" localSheetId="75">'310 &amp; 491'!$P$78:$P$79</definedName>
    <definedName name="OSRRefP22_11x_0" localSheetId="55">'311'!$P$98:$P$101</definedName>
    <definedName name="OSRRefP22_11x_0" localSheetId="67">'313'!$P$64</definedName>
    <definedName name="OSRRefP22_11x_0" localSheetId="58">'315'!$P$92:$P$95</definedName>
    <definedName name="OSRRefP22_11x_0" localSheetId="64">'317'!$P$91</definedName>
    <definedName name="OSRRefP22_11x_0" localSheetId="68">'321'!$P$64</definedName>
    <definedName name="OSRRefP22_11x_0" localSheetId="69">'322'!$P$60:$P$65</definedName>
    <definedName name="OSRRefP22_11x_0" localSheetId="72">'325'!$P$59:$P$61</definedName>
    <definedName name="OSRRefP22_11x_0" localSheetId="59">'326'!$P$91</definedName>
    <definedName name="OSRRefP22_11x_0" localSheetId="52">'330'!$P$115</definedName>
    <definedName name="OSRRefP22_11x_0" localSheetId="57">'331'!$P$108</definedName>
    <definedName name="OSRRefP22_11x_0" localSheetId="60">'332'!$P$79</definedName>
    <definedName name="OSRRefP22_11x_0" localSheetId="77">'405'!$P$58</definedName>
    <definedName name="OSRRefP22_11x_0" localSheetId="78">'406'!$P$65</definedName>
    <definedName name="OSRRefP22_11x_0" localSheetId="79">'411'!$P$59:$P$63</definedName>
    <definedName name="OSRRefP22_11x_0" localSheetId="80">'412'!$P$61:$P$67</definedName>
    <definedName name="OSRRefP22_11x_0" localSheetId="82">'414'!$P$59</definedName>
    <definedName name="OSRRefP22_11x_0" localSheetId="83">'415'!$P$59:$P$61</definedName>
    <definedName name="OSRRefP22_11x_0" localSheetId="84">'418'!$P$64</definedName>
    <definedName name="OSRRefP22_11x_0" localSheetId="87">'424'!$P$56</definedName>
    <definedName name="OSRRefP22_11x_0" localSheetId="88">'425'!$P$62:$P$63</definedName>
    <definedName name="OSRRefP22_11x_0" localSheetId="92">'433'!$P$63:$P$65</definedName>
    <definedName name="OSRRefP22_11x_0" localSheetId="94">'444'!$P$60:$P$62</definedName>
    <definedName name="OSRRefP22_11x_0" localSheetId="95">'450'!$P$60:$P$61</definedName>
    <definedName name="OSRRefP22_11x_0" localSheetId="76">'491'!$P$72</definedName>
    <definedName name="OSRRefP22_11x_0" localSheetId="90">'492'!$P$64</definedName>
    <definedName name="OSRRefP22_11x_0" localSheetId="97">'501'!$P$56:$P$59</definedName>
    <definedName name="OSRRefP22_11x_0" localSheetId="9">'Div 2'!$P$59</definedName>
    <definedName name="OSRRefP22_11x_0" localSheetId="47">'Div 3'!$P$205</definedName>
    <definedName name="OSRRefP22_11x_0" localSheetId="74">'Div 4'!$P$73</definedName>
    <definedName name="OSRRefP22_11x_0" localSheetId="96">'Div 5'!$P$56:$P$59</definedName>
    <definedName name="OSRRefP22_11x_0" localSheetId="63">'Div 6'!$P$91</definedName>
    <definedName name="OSRRefP22_11x_0" localSheetId="2">Summary!$P$240:$P$241</definedName>
    <definedName name="OSRRefP22_12x_0" localSheetId="41">'201'!$P$58:$P$60</definedName>
    <definedName name="OSRRefP22_12x_0" localSheetId="42">'202'!$P$58</definedName>
    <definedName name="OSRRefP22_12x_0" localSheetId="43">'203'!$P$59:$P$61</definedName>
    <definedName name="OSRRefP22_12x_0" localSheetId="48">'300'!$P$202</definedName>
    <definedName name="OSRRefP22_12x_0" localSheetId="49">'300 &amp; 317'!$P$227</definedName>
    <definedName name="OSRRefP22_12x_0" localSheetId="50">'301'!$P$60</definedName>
    <definedName name="OSRRefP22_12x_0" localSheetId="53">'307'!$P$110</definedName>
    <definedName name="OSRRefP22_12x_0" localSheetId="54">'308'!$P$104:$P$105</definedName>
    <definedName name="OSRRefP22_12x_0" localSheetId="65">'310'!$P$69</definedName>
    <definedName name="OSRRefP22_12x_0" localSheetId="75">'310 &amp; 491'!$P$81</definedName>
    <definedName name="OSRRefP22_12x_0" localSheetId="55">'311'!$P$103:$P$104</definedName>
    <definedName name="OSRRefP22_12x_0" localSheetId="67">'313'!$P$66:$P$71</definedName>
    <definedName name="OSRRefP22_12x_0" localSheetId="58">'315'!$P$97</definedName>
    <definedName name="OSRRefP22_12x_0" localSheetId="64">'317'!$P$93</definedName>
    <definedName name="OSRRefP22_12x_0" localSheetId="69">'322'!$P$67</definedName>
    <definedName name="OSRRefP22_12x_0" localSheetId="72">'325'!$P$63:$P$65</definedName>
    <definedName name="OSRRefP22_12x_0" localSheetId="59">'326'!$P$93</definedName>
    <definedName name="OSRRefP22_12x_0" localSheetId="52">'330'!$P$117:$P$119</definedName>
    <definedName name="OSRRefP22_12x_0" localSheetId="57">'331'!$P$110</definedName>
    <definedName name="OSRRefP22_12x_0" localSheetId="60">'332'!$P$81</definedName>
    <definedName name="OSRRefP22_12x_0" localSheetId="77">'405'!$P$60:$P$62</definedName>
    <definedName name="OSRRefP22_12x_0" localSheetId="78">'406'!$P$67</definedName>
    <definedName name="OSRRefP22_12x_0" localSheetId="79">'411'!$P$65:$P$71</definedName>
    <definedName name="OSRRefP22_12x_0" localSheetId="80">'412'!$P$69</definedName>
    <definedName name="OSRRefP22_12x_0" localSheetId="82">'414'!$P$61:$P$67</definedName>
    <definedName name="OSRRefP22_12x_0" localSheetId="83">'415'!$P$63:$P$67</definedName>
    <definedName name="OSRRefP22_12x_0" localSheetId="84">'418'!$P$66:$P$72</definedName>
    <definedName name="OSRRefP22_12x_0" localSheetId="88">'425'!$P$65:$P$71</definedName>
    <definedName name="OSRRefP22_12x_0" localSheetId="92">'433'!$P$67:$P$72</definedName>
    <definedName name="OSRRefP22_12x_0" localSheetId="94">'444'!$P$64:$P$66</definedName>
    <definedName name="OSRRefP22_12x_0" localSheetId="95">'450'!$P$63:$P$65</definedName>
    <definedName name="OSRRefP22_12x_0" localSheetId="76">'491'!$P$74</definedName>
    <definedName name="OSRRefP22_12x_0" localSheetId="90">'492'!$P$66:$P$68</definedName>
    <definedName name="OSRRefP22_12x_0" localSheetId="97">'501'!$P$61</definedName>
    <definedName name="OSRRefP22_12x_0" localSheetId="9">'Div 2'!$P$61:$P$64</definedName>
    <definedName name="OSRRefP22_12x_0" localSheetId="47">'Div 3'!$P$207</definedName>
    <definedName name="OSRRefP22_12x_0" localSheetId="74">'Div 4'!$P$75</definedName>
    <definedName name="OSRRefP22_12x_0" localSheetId="96">'Div 5'!$P$61</definedName>
    <definedName name="OSRRefP22_12x_0" localSheetId="63">'Div 6'!$P$93</definedName>
    <definedName name="OSRRefP22_12x_0" localSheetId="2">Summary!$P$243</definedName>
    <definedName name="OSRRefP22_13x_0" localSheetId="41">'201'!$P$62</definedName>
    <definedName name="OSRRefP22_13x_0" localSheetId="42">'202'!$P$60</definedName>
    <definedName name="OSRRefP22_13x_0" localSheetId="43">'203'!$P$63</definedName>
    <definedName name="OSRRefP22_13x_0" localSheetId="48">'300'!$P$204</definedName>
    <definedName name="OSRRefP22_13x_0" localSheetId="49">'300 &amp; 317'!$P$229</definedName>
    <definedName name="OSRRefP22_13x_0" localSheetId="50">'301'!$P$62</definedName>
    <definedName name="OSRRefP22_13x_0" localSheetId="54">'308'!$P$107</definedName>
    <definedName name="OSRRefP22_13x_0" localSheetId="65">'310'!$P$71</definedName>
    <definedName name="OSRRefP22_13x_0" localSheetId="75">'310 &amp; 491'!$P$83</definedName>
    <definedName name="OSRRefP22_13x_0" localSheetId="55">'311'!$P$106</definedName>
    <definedName name="OSRRefP22_13x_0" localSheetId="67">'313'!$P$73</definedName>
    <definedName name="OSRRefP22_13x_0" localSheetId="58">'315'!$P$99</definedName>
    <definedName name="OSRRefP22_13x_0" localSheetId="69">'322'!$P$69</definedName>
    <definedName name="OSRRefP22_13x_0" localSheetId="72">'325'!$P$67</definedName>
    <definedName name="OSRRefP22_13x_0" localSheetId="59">'326'!$P$95:$P$96</definedName>
    <definedName name="OSRRefP22_13x_0" localSheetId="52">'330'!$P$121</definedName>
    <definedName name="OSRRefP22_13x_0" localSheetId="57">'331'!$P$112</definedName>
    <definedName name="OSRRefP22_13x_0" localSheetId="77">'405'!$P$64</definedName>
    <definedName name="OSRRefP22_13x_0" localSheetId="79">'411'!$P$73</definedName>
    <definedName name="OSRRefP22_13x_0" localSheetId="80">'412'!$P$71</definedName>
    <definedName name="OSRRefP22_13x_0" localSheetId="82">'414'!$P$69</definedName>
    <definedName name="OSRRefP22_13x_0" localSheetId="83">'415'!$P$69</definedName>
    <definedName name="OSRRefP22_13x_0" localSheetId="84">'418'!$P$74</definedName>
    <definedName name="OSRRefP22_13x_0" localSheetId="88">'425'!$P$73</definedName>
    <definedName name="OSRRefP22_13x_0" localSheetId="92">'433'!$P$74</definedName>
    <definedName name="OSRRefP22_13x_0" localSheetId="94">'444'!$P$68:$P$75</definedName>
    <definedName name="OSRRefP22_13x_0" localSheetId="95">'450'!$P$67:$P$73</definedName>
    <definedName name="OSRRefP22_13x_0" localSheetId="76">'491'!$P$76</definedName>
    <definedName name="OSRRefP22_13x_0" localSheetId="90">'492'!$P$70:$P$72</definedName>
    <definedName name="OSRRefP22_13x_0" localSheetId="9">'Div 2'!$P$66:$P$68</definedName>
    <definedName name="OSRRefP22_13x_0" localSheetId="47">'Div 3'!$P$209</definedName>
    <definedName name="OSRRefP22_13x_0" localSheetId="74">'Div 4'!$P$77</definedName>
    <definedName name="OSRRefP22_13x_0" localSheetId="2">Summary!$P$245</definedName>
    <definedName name="OSRRefP22_14x_0" localSheetId="41">'201'!$P$64</definedName>
    <definedName name="OSRRefP22_14x_0" localSheetId="43">'203'!$P$65</definedName>
    <definedName name="OSRRefP22_14x_0" localSheetId="48">'300'!$P$206</definedName>
    <definedName name="OSRRefP22_14x_0" localSheetId="49">'300 &amp; 317'!$P$231</definedName>
    <definedName name="OSRRefP22_14x_0" localSheetId="50">'301'!$P$64:$P$66</definedName>
    <definedName name="OSRRefP22_14x_0" localSheetId="54">'308'!$P$109</definedName>
    <definedName name="OSRRefP22_14x_0" localSheetId="65">'310'!$P$73:$P$75</definedName>
    <definedName name="OSRRefP22_14x_0" localSheetId="75">'310 &amp; 491'!$P$85</definedName>
    <definedName name="OSRRefP22_14x_0" localSheetId="55">'311'!$P$108</definedName>
    <definedName name="OSRRefP22_14x_0" localSheetId="67">'313'!$P$75</definedName>
    <definedName name="OSRRefP22_14x_0" localSheetId="58">'315'!$P$101:$P$102</definedName>
    <definedName name="OSRRefP22_14x_0" localSheetId="72">'325'!$P$69:$P$74</definedName>
    <definedName name="OSRRefP22_14x_0" localSheetId="59">'326'!$P$98:$P$100</definedName>
    <definedName name="OSRRefP22_14x_0" localSheetId="52">'330'!$P$123</definedName>
    <definedName name="OSRRefP22_14x_0" localSheetId="57">'331'!$P$114:$P$116</definedName>
    <definedName name="OSRRefP22_14x_0" localSheetId="77">'405'!$P$66:$P$72</definedName>
    <definedName name="OSRRefP22_14x_0" localSheetId="79">'411'!$P$75</definedName>
    <definedName name="OSRRefP22_14x_0" localSheetId="82">'414'!$P$71</definedName>
    <definedName name="OSRRefP22_14x_0" localSheetId="83">'415'!$P$71:$P$77</definedName>
    <definedName name="OSRRefP22_14x_0" localSheetId="84">'418'!$P$76</definedName>
    <definedName name="OSRRefP22_14x_0" localSheetId="88">'425'!$P$75</definedName>
    <definedName name="OSRRefP22_14x_0" localSheetId="92">'433'!$P$76</definedName>
    <definedName name="OSRRefP22_14x_0" localSheetId="94">'444'!$P$77</definedName>
    <definedName name="OSRRefP22_14x_0" localSheetId="95">'450'!$P$75</definedName>
    <definedName name="OSRRefP22_14x_0" localSheetId="76">'491'!$P$78:$P$80</definedName>
    <definedName name="OSRRefP22_14x_0" localSheetId="90">'492'!$P$74:$P$81</definedName>
    <definedName name="OSRRefP22_14x_0" localSheetId="9">'Div 2'!$P$70:$P$71</definedName>
    <definedName name="OSRRefP22_14x_0" localSheetId="47">'Div 3'!$P$211</definedName>
    <definedName name="OSRRefP22_14x_0" localSheetId="74">'Div 4'!$P$79</definedName>
    <definedName name="OSRRefP22_14x_0" localSheetId="2">Summary!$P$247</definedName>
    <definedName name="OSRRefP22_15x_0" localSheetId="41">'201'!$P$66:$P$67</definedName>
    <definedName name="OSRRefP22_15x_0" localSheetId="43">'203'!$P$67</definedName>
    <definedName name="OSRRefP22_15x_0" localSheetId="48">'300'!$P$208</definedName>
    <definedName name="OSRRefP22_15x_0" localSheetId="49">'300 &amp; 317'!$P$233</definedName>
    <definedName name="OSRRefP22_15x_0" localSheetId="50">'301'!$P$68:$P$70</definedName>
    <definedName name="OSRRefP22_15x_0" localSheetId="65">'310'!$P$77</definedName>
    <definedName name="OSRRefP22_15x_0" localSheetId="75">'310 &amp; 491'!$P$87</definedName>
    <definedName name="OSRRefP22_15x_0" localSheetId="72">'325'!$P$76</definedName>
    <definedName name="OSRRefP22_15x_0" localSheetId="59">'326'!$P$102</definedName>
    <definedName name="OSRRefP22_15x_0" localSheetId="57">'331'!$P$118:$P$119</definedName>
    <definedName name="OSRRefP22_15x_0" localSheetId="77">'405'!$P$74</definedName>
    <definedName name="OSRRefP22_15x_0" localSheetId="79">'411'!$P$77:$P$79</definedName>
    <definedName name="OSRRefP22_15x_0" localSheetId="83">'415'!$P$79</definedName>
    <definedName name="OSRRefP22_15x_0" localSheetId="88">'425'!$P$77</definedName>
    <definedName name="OSRRefP22_15x_0" localSheetId="92">'433'!$P$78:$P$79</definedName>
    <definedName name="OSRRefP22_15x_0" localSheetId="94">'444'!$P$79</definedName>
    <definedName name="OSRRefP22_15x_0" localSheetId="95">'450'!$P$77</definedName>
    <definedName name="OSRRefP22_15x_0" localSheetId="76">'491'!$P$82:$P$83</definedName>
    <definedName name="OSRRefP22_15x_0" localSheetId="90">'492'!$P$83</definedName>
    <definedName name="OSRRefP22_15x_0" localSheetId="9">'Div 2'!$P$73</definedName>
    <definedName name="OSRRefP22_15x_0" localSheetId="47">'Div 3'!$P$213</definedName>
    <definedName name="OSRRefP22_15x_0" localSheetId="74">'Div 4'!$P$81</definedName>
    <definedName name="OSRRefP22_15x_0" localSheetId="2">Summary!$P$249</definedName>
    <definedName name="OSRRefP22_16x_0" localSheetId="48">'300'!$P$210:$P$212</definedName>
    <definedName name="OSRRefP22_16x_0" localSheetId="49">'300 &amp; 317'!$P$235:$P$237</definedName>
    <definedName name="OSRRefP22_16x_0" localSheetId="50">'301'!$P$72</definedName>
    <definedName name="OSRRefP22_16x_0" localSheetId="65">'310'!$P$79:$P$82</definedName>
    <definedName name="OSRRefP22_16x_0" localSheetId="75">'310 &amp; 491'!$P$89:$P$91</definedName>
    <definedName name="OSRRefP22_16x_0" localSheetId="72">'325'!$P$78</definedName>
    <definedName name="OSRRefP22_16x_0" localSheetId="59">'326'!$P$104:$P$108</definedName>
    <definedName name="OSRRefP22_16x_0" localSheetId="57">'331'!$P$121:$P$123</definedName>
    <definedName name="OSRRefP22_16x_0" localSheetId="77">'405'!$P$76</definedName>
    <definedName name="OSRRefP22_16x_0" localSheetId="79">'411'!$P$81</definedName>
    <definedName name="OSRRefP22_16x_0" localSheetId="83">'415'!$P$81</definedName>
    <definedName name="OSRRefP22_16x_0" localSheetId="94">'444'!$P$81</definedName>
    <definedName name="OSRRefP22_16x_0" localSheetId="95">'450'!$P$79:$P$80</definedName>
    <definedName name="OSRRefP22_16x_0" localSheetId="76">'491'!$P$85:$P$89</definedName>
    <definedName name="OSRRefP22_16x_0" localSheetId="90">'492'!$P$85</definedName>
    <definedName name="OSRRefP22_16x_0" localSheetId="9">'Div 2'!$P$75:$P$78</definedName>
    <definedName name="OSRRefP22_16x_0" localSheetId="47">'Div 3'!$P$215</definedName>
    <definedName name="OSRRefP22_16x_0" localSheetId="74">'Div 4'!$P$83:$P$85</definedName>
    <definedName name="OSRRefP22_16x_0" localSheetId="2">Summary!$P$251</definedName>
    <definedName name="OSRRefP22_17x_0" localSheetId="48">'300'!$P$214:$P$216</definedName>
    <definedName name="OSRRefP22_17x_0" localSheetId="49">'300 &amp; 317'!$P$239:$P$241</definedName>
    <definedName name="OSRRefP22_17x_0" localSheetId="50">'301'!$P$74:$P$78</definedName>
    <definedName name="OSRRefP22_17x_0" localSheetId="65">'310'!$P$84:$P$85</definedName>
    <definedName name="OSRRefP22_17x_0" localSheetId="75">'310 &amp; 491'!$P$93:$P$94</definedName>
    <definedName name="OSRRefP22_17x_0" localSheetId="59">'326'!$P$110</definedName>
    <definedName name="OSRRefP22_17x_0" localSheetId="57">'331'!$P$125</definedName>
    <definedName name="OSRRefP22_17x_0" localSheetId="77">'405'!$P$78</definedName>
    <definedName name="OSRRefP22_17x_0" localSheetId="83">'415'!$P$83</definedName>
    <definedName name="OSRRefP22_17x_0" localSheetId="76">'491'!$P$91</definedName>
    <definedName name="OSRRefP22_17x_0" localSheetId="90">'492'!$P$87:$P$88</definedName>
    <definedName name="OSRRefP22_17x_0" localSheetId="9">'Div 2'!$P$80:$P$81</definedName>
    <definedName name="OSRRefP22_17x_0" localSheetId="47">'Div 3'!$P$217:$P$219</definedName>
    <definedName name="OSRRefP22_17x_0" localSheetId="74">'Div 4'!$P$87:$P$88</definedName>
    <definedName name="OSRRefP22_17x_0" localSheetId="2">Summary!$P$253</definedName>
    <definedName name="OSRRefP22_18x_0" localSheetId="48">'300'!$P$218:$P$221</definedName>
    <definedName name="OSRRefP22_18x_0" localSheetId="49">'300 &amp; 317'!$P$243:$P$246</definedName>
    <definedName name="OSRRefP22_18x_0" localSheetId="50">'301'!$P$80</definedName>
    <definedName name="OSRRefP22_18x_0" localSheetId="65">'310'!$P$87:$P$93</definedName>
    <definedName name="OSRRefP22_18x_0" localSheetId="75">'310 &amp; 491'!$P$96:$P$100</definedName>
    <definedName name="OSRRefP22_18x_0" localSheetId="59">'326'!$P$112</definedName>
    <definedName name="OSRRefP22_18x_0" localSheetId="57">'331'!$P$127:$P$131</definedName>
    <definedName name="OSRRefP22_18x_0" localSheetId="76">'491'!$P$93:$P$100</definedName>
    <definedName name="OSRRefP22_18x_0" localSheetId="9">'Div 2'!$P$83</definedName>
    <definedName name="OSRRefP22_18x_0" localSheetId="47">'Div 3'!$P$221:$P$223</definedName>
    <definedName name="OSRRefP22_18x_0" localSheetId="74">'Div 4'!$P$90:$P$94</definedName>
    <definedName name="OSRRefP22_18x_0" localSheetId="2">Summary!$P$255:$P$257</definedName>
    <definedName name="OSRRefP22_19x_0" localSheetId="48">'300'!$P$223:$P$224</definedName>
    <definedName name="OSRRefP22_19x_0" localSheetId="49">'300 &amp; 317'!$P$248:$P$249</definedName>
    <definedName name="OSRRefP22_19x_0" localSheetId="50">'301'!$P$82</definedName>
    <definedName name="OSRRefP22_19x_0" localSheetId="65">'310'!$P$95</definedName>
    <definedName name="OSRRefP22_19x_0" localSheetId="75">'310 &amp; 491'!$P$102:$P$103</definedName>
    <definedName name="OSRRefP22_19x_0" localSheetId="59">'326'!$P$114</definedName>
    <definedName name="OSRRefP22_19x_0" localSheetId="57">'331'!$P$133</definedName>
    <definedName name="OSRRefP22_19x_0" localSheetId="76">'491'!$P$102</definedName>
    <definedName name="OSRRefP22_19x_0" localSheetId="9">'Div 2'!$P$85:$P$86</definedName>
    <definedName name="OSRRefP22_19x_0" localSheetId="47">'Div 3'!$P$225:$P$229</definedName>
    <definedName name="OSRRefP22_19x_0" localSheetId="74">'Div 4'!$P$96</definedName>
    <definedName name="OSRRefP22_19x_0" localSheetId="2">Summary!$P$259:$P$261</definedName>
    <definedName name="OSRRefP22_1x_0" localSheetId="40">'200'!$P$22</definedName>
    <definedName name="OSRRefP22_1x_0" localSheetId="41">'201'!$P$30:$P$32</definedName>
    <definedName name="OSRRefP22_1x_0" localSheetId="42">'202'!$P$29:$P$32</definedName>
    <definedName name="OSRRefP22_1x_0" localSheetId="43">'203'!$P$31:$P$34</definedName>
    <definedName name="OSRRefP22_1x_0" localSheetId="44">'204'!$P$30:$P$34</definedName>
    <definedName name="OSRRefP22_1x_0" localSheetId="45">'205'!$P$29</definedName>
    <definedName name="OSRRefP22_1x_0" localSheetId="46">'206'!$P$29:$P$34</definedName>
    <definedName name="OSRRefP22_1x_0" localSheetId="48">'300'!$P$170:$P$176</definedName>
    <definedName name="OSRRefP22_1x_0" localSheetId="49">'300 &amp; 317'!$P$195:$P$201</definedName>
    <definedName name="OSRRefP22_1x_0" localSheetId="50">'301'!$P$29:$P$35</definedName>
    <definedName name="OSRRefP22_1x_0" localSheetId="51">'306'!$P$30:$P$34</definedName>
    <definedName name="OSRRefP22_1x_0" localSheetId="53">'307'!$P$81:$P$84</definedName>
    <definedName name="OSRRefP22_1x_0" localSheetId="54">'308'!$P$72:$P$76</definedName>
    <definedName name="OSRRefP22_1x_0" localSheetId="66">'309'!$P$33:$P$37</definedName>
    <definedName name="OSRRefP22_1x_0" localSheetId="65">'310'!$P$41:$P$46</definedName>
    <definedName name="OSRRefP22_1x_0" localSheetId="75">'310 &amp; 491'!$P$50:$P$56</definedName>
    <definedName name="OSRRefP22_1x_0" localSheetId="55">'311'!$P$71:$P$75</definedName>
    <definedName name="OSRRefP22_1x_0" localSheetId="67">'313'!$P$38:$P$42</definedName>
    <definedName name="OSRRefP22_1x_0" localSheetId="56">'314'!$P$64:$P$66</definedName>
    <definedName name="OSRRefP22_1x_0" localSheetId="58">'315'!$P$64:$P$68</definedName>
    <definedName name="OSRRefP22_1x_0" localSheetId="61">'316'!$P$41:$P$44</definedName>
    <definedName name="OSRRefP22_1x_0" localSheetId="64">'317'!$P$67:$P$70</definedName>
    <definedName name="OSRRefP22_1x_0" localSheetId="62">'320'!$P$37:$P$39</definedName>
    <definedName name="OSRRefP22_1x_0" localSheetId="68">'321'!$P$32:$P$36</definedName>
    <definedName name="OSRRefP22_1x_0" localSheetId="69">'322'!$P$33:$P$37</definedName>
    <definedName name="OSRRefP22_1x_0" localSheetId="72">'325'!$P$33:$P$38</definedName>
    <definedName name="OSRRefP22_1x_0" localSheetId="59">'326'!$P$68:$P$71</definedName>
    <definedName name="OSRRefP22_1x_0" localSheetId="73">'327'!$P$24</definedName>
    <definedName name="OSRRefP22_1x_0" localSheetId="52">'330'!$P$89:$P$92</definedName>
    <definedName name="OSRRefP22_1x_0" localSheetId="57">'331'!$P$82:$P$86</definedName>
    <definedName name="OSRRefP22_1x_0" localSheetId="60">'332'!$P$50:$P$53</definedName>
    <definedName name="OSRRefP22_1x_0" localSheetId="77">'405'!$P$33:$P$36</definedName>
    <definedName name="OSRRefP22_1x_0" localSheetId="78">'406'!$P$33:$P$37</definedName>
    <definedName name="OSRRefP22_1x_0" localSheetId="79">'411'!$P$30:$P$35</definedName>
    <definedName name="OSRRefP22_1x_0" localSheetId="80">'412'!$P$33:$P$38</definedName>
    <definedName name="OSRRefP22_1x_0" localSheetId="81">'413'!$P$33:$P$37</definedName>
    <definedName name="OSRRefP22_1x_0" localSheetId="82">'414'!$P$33:$P$38</definedName>
    <definedName name="OSRRefP22_1x_0" localSheetId="83">'415'!$P$33:$P$38</definedName>
    <definedName name="OSRRefP22_1x_0" localSheetId="84">'418'!$P$33:$P$38</definedName>
    <definedName name="OSRRefP22_1x_0" localSheetId="85">'420'!$P$30:$P$33</definedName>
    <definedName name="OSRRefP22_1x_0" localSheetId="86">'423'!$P$30</definedName>
    <definedName name="OSRRefP22_1x_0" localSheetId="87">'424'!$P$28:$P$31</definedName>
    <definedName name="OSRRefP22_1x_0" localSheetId="88">'425'!$P$36:$P$40</definedName>
    <definedName name="OSRRefP22_1x_0" localSheetId="91">'430'!$P$29</definedName>
    <definedName name="OSRRefP22_1x_0" localSheetId="92">'433'!$P$36:$P$41</definedName>
    <definedName name="OSRRefP22_1x_0" localSheetId="93">'435'!$P$29:$P$30</definedName>
    <definedName name="OSRRefP22_1x_0" localSheetId="94">'444'!$P$35:$P$40</definedName>
    <definedName name="OSRRefP22_1x_0" localSheetId="95">'450'!$P$35:$P$40</definedName>
    <definedName name="OSRRefP22_1x_0" localSheetId="89">'455'!$P$28:$P$29</definedName>
    <definedName name="OSRRefP22_1x_0" localSheetId="76">'491'!$P$43:$P$49</definedName>
    <definedName name="OSRRefP22_1x_0" localSheetId="90">'492'!$P$38:$P$44</definedName>
    <definedName name="OSRRefP22_1x_0" localSheetId="97">'501'!$P$30:$P$35</definedName>
    <definedName name="OSRRefP22_1x_0" localSheetId="9">'Div 2'!$P$32:$P$38</definedName>
    <definedName name="OSRRefP22_1x_0" localSheetId="47">'Div 3'!$P$175:$P$181</definedName>
    <definedName name="OSRRefP22_1x_0" localSheetId="74">'Div 4'!$P$44:$P$50</definedName>
    <definedName name="OSRRefP22_1x_0" localSheetId="96">'Div 5'!$P$30:$P$35</definedName>
    <definedName name="OSRRefP22_1x_0" localSheetId="63">'Div 6'!$P$67:$P$70</definedName>
    <definedName name="OSRRefP22_1x_0" localSheetId="2">Summary!$P$209:$P$215</definedName>
    <definedName name="OSRRefP22_20x_0" localSheetId="48">'300'!$P$226:$P$231</definedName>
    <definedName name="OSRRefP22_20x_0" localSheetId="49">'300 &amp; 317'!$P$251:$P$256</definedName>
    <definedName name="OSRRefP22_20x_0" localSheetId="50">'301'!$P$84:$P$85</definedName>
    <definedName name="OSRRefP22_20x_0" localSheetId="65">'310'!$P$97</definedName>
    <definedName name="OSRRefP22_20x_0" localSheetId="75">'310 &amp; 491'!$P$105:$P$112</definedName>
    <definedName name="OSRRefP22_20x_0" localSheetId="57">'331'!$P$135</definedName>
    <definedName name="OSRRefP22_20x_0" localSheetId="76">'491'!$P$104</definedName>
    <definedName name="OSRRefP22_20x_0" localSheetId="47">'Div 3'!$P$231:$P$232</definedName>
    <definedName name="OSRRefP22_20x_0" localSheetId="74">'Div 4'!$P$98:$P$105</definedName>
    <definedName name="OSRRefP22_20x_0" localSheetId="2">Summary!$P$263:$P$267</definedName>
    <definedName name="OSRRefP22_21x_0" localSheetId="48">'300'!$P$233:$P$234</definedName>
    <definedName name="OSRRefP22_21x_0" localSheetId="49">'300 &amp; 317'!$P$258:$P$259</definedName>
    <definedName name="OSRRefP22_21x_0" localSheetId="50">'301'!$P$87</definedName>
    <definedName name="OSRRefP22_21x_0" localSheetId="65">'310'!$P$99</definedName>
    <definedName name="OSRRefP22_21x_0" localSheetId="75">'310 &amp; 491'!$P$114</definedName>
    <definedName name="OSRRefP22_21x_0" localSheetId="57">'331'!$P$137:$P$138</definedName>
    <definedName name="OSRRefP22_21x_0" localSheetId="76">'491'!$P$106:$P$108</definedName>
    <definedName name="OSRRefP22_21x_0" localSheetId="47">'Div 3'!$P$234:$P$240</definedName>
    <definedName name="OSRRefP22_21x_0" localSheetId="74">'Div 4'!$P$107</definedName>
    <definedName name="OSRRefP22_21x_0" localSheetId="2">Summary!$P$269:$P$270</definedName>
    <definedName name="OSRRefP22_22x_0" localSheetId="48">'300'!$P$236</definedName>
    <definedName name="OSRRefP22_22x_0" localSheetId="49">'300 &amp; 317'!$P$261</definedName>
    <definedName name="OSRRefP22_22x_0" localSheetId="75">'310 &amp; 491'!$P$116</definedName>
    <definedName name="OSRRefP22_22x_0" localSheetId="57">'331'!$P$140</definedName>
    <definedName name="OSRRefP22_22x_0" localSheetId="76">'491'!$P$110</definedName>
    <definedName name="OSRRefP22_22x_0" localSheetId="47">'Div 3'!$P$242:$P$243</definedName>
    <definedName name="OSRRefP22_22x_0" localSheetId="74">'Div 4'!$P$109</definedName>
    <definedName name="OSRRefP22_22x_0" localSheetId="2">Summary!$P$272:$P$279</definedName>
    <definedName name="OSRRefP22_23x_0" localSheetId="48">'300'!$P$238:$P$240</definedName>
    <definedName name="OSRRefP22_23x_0" localSheetId="49">'300 &amp; 317'!$P$263:$P$265</definedName>
    <definedName name="OSRRefP22_23x_0" localSheetId="75">'310 &amp; 491'!$P$118:$P$120</definedName>
    <definedName name="OSRRefP22_23x_0" localSheetId="47">'Div 3'!$P$245</definedName>
    <definedName name="OSRRefP22_23x_0" localSheetId="74">'Div 4'!$P$111:$P$113</definedName>
    <definedName name="OSRRefP22_23x_0" localSheetId="2">Summary!$P$281:$P$282</definedName>
    <definedName name="OSRRefP22_24x_0" localSheetId="48">'300'!$P$242</definedName>
    <definedName name="OSRRefP22_24x_0" localSheetId="49">'300 &amp; 317'!$P$267</definedName>
    <definedName name="OSRRefP22_24x_0" localSheetId="75">'310 &amp; 491'!$P$122</definedName>
    <definedName name="OSRRefP22_24x_0" localSheetId="47">'Div 3'!$P$247:$P$249</definedName>
    <definedName name="OSRRefP22_24x_0" localSheetId="74">'Div 4'!$P$115</definedName>
    <definedName name="OSRRefP22_24x_0" localSheetId="2">Summary!$P$284</definedName>
    <definedName name="OSRRefP22_25x_0" localSheetId="47">'Div 3'!$P$251</definedName>
    <definedName name="OSRRefP22_25x_0" localSheetId="2">Summary!$P$286:$P$288</definedName>
    <definedName name="OSRRefP22_26x_0" localSheetId="2">Summary!$P$290</definedName>
    <definedName name="OSRRefP22_2x_0" localSheetId="40">'200'!$P$24</definedName>
    <definedName name="OSRRefP22_2x_0" localSheetId="41">'201'!$P$34</definedName>
    <definedName name="OSRRefP22_2x_0" localSheetId="42">'202'!$P$34</definedName>
    <definedName name="OSRRefP22_2x_0" localSheetId="43">'203'!$P$36</definedName>
    <definedName name="OSRRefP22_2x_0" localSheetId="44">'204'!$P$36</definedName>
    <definedName name="OSRRefP22_2x_0" localSheetId="45">'205'!$P$31</definedName>
    <definedName name="OSRRefP22_2x_0" localSheetId="46">'206'!$P$36</definedName>
    <definedName name="OSRRefP22_2x_0" localSheetId="48">'300'!$P$178</definedName>
    <definedName name="OSRRefP22_2x_0" localSheetId="49">'300 &amp; 317'!$P$203</definedName>
    <definedName name="OSRRefP22_2x_0" localSheetId="50">'301'!$P$37</definedName>
    <definedName name="OSRRefP22_2x_0" localSheetId="51">'306'!$P$36</definedName>
    <definedName name="OSRRefP22_2x_0" localSheetId="53">'307'!$P$86</definedName>
    <definedName name="OSRRefP22_2x_0" localSheetId="54">'308'!$P$78</definedName>
    <definedName name="OSRRefP22_2x_0" localSheetId="66">'309'!$P$39</definedName>
    <definedName name="OSRRefP22_2x_0" localSheetId="65">'310'!$P$48</definedName>
    <definedName name="OSRRefP22_2x_0" localSheetId="75">'310 &amp; 491'!$P$58</definedName>
    <definedName name="OSRRefP22_2x_0" localSheetId="55">'311'!$P$77</definedName>
    <definedName name="OSRRefP22_2x_0" localSheetId="67">'313'!$P$44</definedName>
    <definedName name="OSRRefP22_2x_0" localSheetId="56">'314'!$P$68</definedName>
    <definedName name="OSRRefP22_2x_0" localSheetId="58">'315'!$P$70</definedName>
    <definedName name="OSRRefP22_2x_0" localSheetId="61">'316'!$P$46</definedName>
    <definedName name="OSRRefP22_2x_0" localSheetId="64">'317'!$P$72</definedName>
    <definedName name="OSRRefP22_2x_0" localSheetId="62">'320'!$P$41</definedName>
    <definedName name="OSRRefP22_2x_0" localSheetId="68">'321'!$P$38</definedName>
    <definedName name="OSRRefP22_2x_0" localSheetId="69">'322'!$P$39</definedName>
    <definedName name="OSRRefP22_2x_0" localSheetId="72">'325'!$P$40</definedName>
    <definedName name="OSRRefP22_2x_0" localSheetId="59">'326'!$P$73</definedName>
    <definedName name="OSRRefP22_2x_0" localSheetId="73">'327'!$P$26</definedName>
    <definedName name="OSRRefP22_2x_0" localSheetId="52">'330'!$P$94</definedName>
    <definedName name="OSRRefP22_2x_0" localSheetId="57">'331'!$P$88</definedName>
    <definedName name="OSRRefP22_2x_0" localSheetId="60">'332'!$P$55</definedName>
    <definedName name="OSRRefP22_2x_0" localSheetId="77">'405'!$P$38</definedName>
    <definedName name="OSRRefP22_2x_0" localSheetId="78">'406'!$P$39</definedName>
    <definedName name="OSRRefP22_2x_0" localSheetId="79">'411'!$P$37</definedName>
    <definedName name="OSRRefP22_2x_0" localSheetId="80">'412'!$P$40</definedName>
    <definedName name="OSRRefP22_2x_0" localSheetId="81">'413'!$P$39</definedName>
    <definedName name="OSRRefP22_2x_0" localSheetId="82">'414'!$P$40</definedName>
    <definedName name="OSRRefP22_2x_0" localSheetId="83">'415'!$P$40</definedName>
    <definedName name="OSRRefP22_2x_0" localSheetId="84">'418'!$P$40</definedName>
    <definedName name="OSRRefP22_2x_0" localSheetId="85">'420'!$P$35</definedName>
    <definedName name="OSRRefP22_2x_0" localSheetId="86">'423'!$P$32</definedName>
    <definedName name="OSRRefP22_2x_0" localSheetId="87">'424'!$P$33</definedName>
    <definedName name="OSRRefP22_2x_0" localSheetId="88">'425'!$P$42</definedName>
    <definedName name="OSRRefP22_2x_0" localSheetId="91">'430'!$P$31</definedName>
    <definedName name="OSRRefP22_2x_0" localSheetId="92">'433'!$P$43</definedName>
    <definedName name="OSRRefP22_2x_0" localSheetId="93">'435'!$P$32</definedName>
    <definedName name="OSRRefP22_2x_0" localSheetId="94">'444'!$P$42</definedName>
    <definedName name="OSRRefP22_2x_0" localSheetId="95">'450'!$P$42</definedName>
    <definedName name="OSRRefP22_2x_0" localSheetId="89">'455'!$P$31</definedName>
    <definedName name="OSRRefP22_2x_0" localSheetId="76">'491'!$P$51</definedName>
    <definedName name="OSRRefP22_2x_0" localSheetId="90">'492'!$P$46</definedName>
    <definedName name="OSRRefP22_2x_0" localSheetId="97">'501'!$P$37</definedName>
    <definedName name="OSRRefP22_2x_0" localSheetId="9">'Div 2'!$P$40</definedName>
    <definedName name="OSRRefP22_2x_0" localSheetId="47">'Div 3'!$P$183</definedName>
    <definedName name="OSRRefP22_2x_0" localSheetId="74">'Div 4'!$P$52</definedName>
    <definedName name="OSRRefP22_2x_0" localSheetId="96">'Div 5'!$P$37</definedName>
    <definedName name="OSRRefP22_2x_0" localSheetId="63">'Div 6'!$P$72</definedName>
    <definedName name="OSRRefP22_2x_0" localSheetId="2">Summary!$P$217</definedName>
    <definedName name="OSRRefP22_3x_0" localSheetId="40">'200'!$P$26:$P$27</definedName>
    <definedName name="OSRRefP22_3x_0" localSheetId="41">'201'!$P$36</definedName>
    <definedName name="OSRRefP22_3x_0" localSheetId="42">'202'!$P$36</definedName>
    <definedName name="OSRRefP22_3x_0" localSheetId="43">'203'!$P$38</definedName>
    <definedName name="OSRRefP22_3x_0" localSheetId="44">'204'!$P$38:$P$39</definedName>
    <definedName name="OSRRefP22_3x_0" localSheetId="45">'205'!$P$33</definedName>
    <definedName name="OSRRefP22_3x_0" localSheetId="46">'206'!$P$38</definedName>
    <definedName name="OSRRefP22_3x_0" localSheetId="48">'300'!$P$180:$P$181</definedName>
    <definedName name="OSRRefP22_3x_0" localSheetId="49">'300 &amp; 317'!$P$205:$P$206</definedName>
    <definedName name="OSRRefP22_3x_0" localSheetId="50">'301'!$P$39:$P$40</definedName>
    <definedName name="OSRRefP22_3x_0" localSheetId="51">'306'!$P$38</definedName>
    <definedName name="OSRRefP22_3x_0" localSheetId="53">'307'!$P$88</definedName>
    <definedName name="OSRRefP22_3x_0" localSheetId="54">'308'!$P$80:$P$81</definedName>
    <definedName name="OSRRefP22_3x_0" localSheetId="66">'309'!$P$41</definedName>
    <definedName name="OSRRefP22_3x_0" localSheetId="65">'310'!$P$50</definedName>
    <definedName name="OSRRefP22_3x_0" localSheetId="75">'310 &amp; 491'!$P$60</definedName>
    <definedName name="OSRRefP22_3x_0" localSheetId="55">'311'!$P$79:$P$80</definedName>
    <definedName name="OSRRefP22_3x_0" localSheetId="67">'313'!$P$46</definedName>
    <definedName name="OSRRefP22_3x_0" localSheetId="56">'314'!$P$70:$P$71</definedName>
    <definedName name="OSRRefP22_3x_0" localSheetId="58">'315'!$P$72:$P$73</definedName>
    <definedName name="OSRRefP22_3x_0" localSheetId="61">'316'!$P$48</definedName>
    <definedName name="OSRRefP22_3x_0" localSheetId="64">'317'!$P$74</definedName>
    <definedName name="OSRRefP22_3x_0" localSheetId="62">'320'!$P$43</definedName>
    <definedName name="OSRRefP22_3x_0" localSheetId="68">'321'!$P$40</definedName>
    <definedName name="OSRRefP22_3x_0" localSheetId="69">'322'!$P$41</definedName>
    <definedName name="OSRRefP22_3x_0" localSheetId="72">'325'!$P$42</definedName>
    <definedName name="OSRRefP22_3x_0" localSheetId="59">'326'!$P$75</definedName>
    <definedName name="OSRRefP22_3x_0" localSheetId="52">'330'!$P$96</definedName>
    <definedName name="OSRRefP22_3x_0" localSheetId="57">'331'!$P$90</definedName>
    <definedName name="OSRRefP22_3x_0" localSheetId="60">'332'!$P$57</definedName>
    <definedName name="OSRRefP22_3x_0" localSheetId="77">'405'!$P$40</definedName>
    <definedName name="OSRRefP22_3x_0" localSheetId="78">'406'!$P$41</definedName>
    <definedName name="OSRRefP22_3x_0" localSheetId="79">'411'!$P$39:$P$41</definedName>
    <definedName name="OSRRefP22_3x_0" localSheetId="80">'412'!$P$42</definedName>
    <definedName name="OSRRefP22_3x_0" localSheetId="81">'413'!$P$41</definedName>
    <definedName name="OSRRefP22_3x_0" localSheetId="82">'414'!$P$42</definedName>
    <definedName name="OSRRefP22_3x_0" localSheetId="83">'415'!$P$42</definedName>
    <definedName name="OSRRefP22_3x_0" localSheetId="84">'418'!$P$42</definedName>
    <definedName name="OSRRefP22_3x_0" localSheetId="85">'420'!$P$37</definedName>
    <definedName name="OSRRefP22_3x_0" localSheetId="86">'423'!$P$34</definedName>
    <definedName name="OSRRefP22_3x_0" localSheetId="87">'424'!$P$35</definedName>
    <definedName name="OSRRefP22_3x_0" localSheetId="88">'425'!$P$44</definedName>
    <definedName name="OSRRefP22_3x_0" localSheetId="91">'430'!$P$33</definedName>
    <definedName name="OSRRefP22_3x_0" localSheetId="92">'433'!$P$45</definedName>
    <definedName name="OSRRefP22_3x_0" localSheetId="93">'435'!$P$34</definedName>
    <definedName name="OSRRefP22_3x_0" localSheetId="94">'444'!$P$44</definedName>
    <definedName name="OSRRefP22_3x_0" localSheetId="95">'450'!$P$44</definedName>
    <definedName name="OSRRefP22_3x_0" localSheetId="76">'491'!$P$53</definedName>
    <definedName name="OSRRefP22_3x_0" localSheetId="90">'492'!$P$48</definedName>
    <definedName name="OSRRefP22_3x_0" localSheetId="97">'501'!$P$39</definedName>
    <definedName name="OSRRefP22_3x_0" localSheetId="9">'Div 2'!$P$42</definedName>
    <definedName name="OSRRefP22_3x_0" localSheetId="47">'Div 3'!$P$185:$P$186</definedName>
    <definedName name="OSRRefP22_3x_0" localSheetId="74">'Div 4'!$P$54</definedName>
    <definedName name="OSRRefP22_3x_0" localSheetId="96">'Div 5'!$P$39</definedName>
    <definedName name="OSRRefP22_3x_0" localSheetId="63">'Div 6'!$P$74</definedName>
    <definedName name="OSRRefP22_3x_0" localSheetId="2">Summary!$P$219:$P$220</definedName>
    <definedName name="OSRRefP22_4x_0" localSheetId="41">'201'!$P$38</definedName>
    <definedName name="OSRRefP22_4x_0" localSheetId="42">'202'!$P$38</definedName>
    <definedName name="OSRRefP22_4x_0" localSheetId="43">'203'!$P$40</definedName>
    <definedName name="OSRRefP22_4x_0" localSheetId="44">'204'!$P$41</definedName>
    <definedName name="OSRRefP22_4x_0" localSheetId="45">'205'!$P$35:$P$36</definedName>
    <definedName name="OSRRefP22_4x_0" localSheetId="46">'206'!$P$40</definedName>
    <definedName name="OSRRefP22_4x_0" localSheetId="48">'300'!$P$183</definedName>
    <definedName name="OSRRefP22_4x_0" localSheetId="49">'300 &amp; 317'!$P$208</definedName>
    <definedName name="OSRRefP22_4x_0" localSheetId="50">'301'!$P$42</definedName>
    <definedName name="OSRRefP22_4x_0" localSheetId="51">'306'!$P$40</definedName>
    <definedName name="OSRRefP22_4x_0" localSheetId="53">'307'!$P$90:$P$91</definedName>
    <definedName name="OSRRefP22_4x_0" localSheetId="54">'308'!$P$83</definedName>
    <definedName name="OSRRefP22_4x_0" localSheetId="66">'309'!$P$43</definedName>
    <definedName name="OSRRefP22_4x_0" localSheetId="65">'310'!$P$52</definedName>
    <definedName name="OSRRefP22_4x_0" localSheetId="75">'310 &amp; 491'!$P$62</definedName>
    <definedName name="OSRRefP22_4x_0" localSheetId="55">'311'!$P$82</definedName>
    <definedName name="OSRRefP22_4x_0" localSheetId="67">'313'!$P$48</definedName>
    <definedName name="OSRRefP22_4x_0" localSheetId="56">'314'!$P$73</definedName>
    <definedName name="OSRRefP22_4x_0" localSheetId="58">'315'!$P$75</definedName>
    <definedName name="OSRRefP22_4x_0" localSheetId="61">'316'!$P$50</definedName>
    <definedName name="OSRRefP22_4x_0" localSheetId="64">'317'!$P$76</definedName>
    <definedName name="OSRRefP22_4x_0" localSheetId="62">'320'!$P$45:$P$46</definedName>
    <definedName name="OSRRefP22_4x_0" localSheetId="68">'321'!$P$42</definedName>
    <definedName name="OSRRefP22_4x_0" localSheetId="69">'322'!$P$43</definedName>
    <definedName name="OSRRefP22_4x_0" localSheetId="72">'325'!$P$44</definedName>
    <definedName name="OSRRefP22_4x_0" localSheetId="59">'326'!$P$77</definedName>
    <definedName name="OSRRefP22_4x_0" localSheetId="52">'330'!$P$98:$P$99</definedName>
    <definedName name="OSRRefP22_4x_0" localSheetId="57">'331'!$P$92</definedName>
    <definedName name="OSRRefP22_4x_0" localSheetId="60">'332'!$P$59</definedName>
    <definedName name="OSRRefP22_4x_0" localSheetId="77">'405'!$P$42</definedName>
    <definedName name="OSRRefP22_4x_0" localSheetId="78">'406'!$P$43</definedName>
    <definedName name="OSRRefP22_4x_0" localSheetId="79">'411'!$P$43</definedName>
    <definedName name="OSRRefP22_4x_0" localSheetId="80">'412'!$P$44</definedName>
    <definedName name="OSRRefP22_4x_0" localSheetId="81">'413'!$P$43</definedName>
    <definedName name="OSRRefP22_4x_0" localSheetId="82">'414'!$P$44</definedName>
    <definedName name="OSRRefP22_4x_0" localSheetId="83">'415'!$P$44</definedName>
    <definedName name="OSRRefP22_4x_0" localSheetId="84">'418'!$P$44</definedName>
    <definedName name="OSRRefP22_4x_0" localSheetId="86">'423'!$P$36</definedName>
    <definedName name="OSRRefP22_4x_0" localSheetId="87">'424'!$P$37</definedName>
    <definedName name="OSRRefP22_4x_0" localSheetId="88">'425'!$P$46</definedName>
    <definedName name="OSRRefP22_4x_0" localSheetId="91">'430'!$P$35</definedName>
    <definedName name="OSRRefP22_4x_0" localSheetId="92">'433'!$P$47</definedName>
    <definedName name="OSRRefP22_4x_0" localSheetId="93">'435'!$P$36</definedName>
    <definedName name="OSRRefP22_4x_0" localSheetId="94">'444'!$P$46</definedName>
    <definedName name="OSRRefP22_4x_0" localSheetId="95">'450'!$P$46</definedName>
    <definedName name="OSRRefP22_4x_0" localSheetId="76">'491'!$P$55</definedName>
    <definedName name="OSRRefP22_4x_0" localSheetId="90">'492'!$P$50</definedName>
    <definedName name="OSRRefP22_4x_0" localSheetId="97">'501'!$P$41</definedName>
    <definedName name="OSRRefP22_4x_0" localSheetId="9">'Div 2'!$P$44</definedName>
    <definedName name="OSRRefP22_4x_0" localSheetId="47">'Div 3'!$P$188</definedName>
    <definedName name="OSRRefP22_4x_0" localSheetId="74">'Div 4'!$P$56</definedName>
    <definedName name="OSRRefP22_4x_0" localSheetId="96">'Div 5'!$P$41</definedName>
    <definedName name="OSRRefP22_4x_0" localSheetId="63">'Div 6'!$P$76</definedName>
    <definedName name="OSRRefP22_4x_0" localSheetId="2">Summary!$P$222</definedName>
    <definedName name="OSRRefP22_5x_0" localSheetId="41">'201'!$P$40</definedName>
    <definedName name="OSRRefP22_5x_0" localSheetId="42">'202'!$P$40</definedName>
    <definedName name="OSRRefP22_5x_0" localSheetId="43">'203'!$P$42</definedName>
    <definedName name="OSRRefP22_5x_0" localSheetId="44">'204'!$P$43</definedName>
    <definedName name="OSRRefP22_5x_0" localSheetId="45">'205'!$P$38</definedName>
    <definedName name="OSRRefP22_5x_0" localSheetId="46">'206'!$P$42:$P$43</definedName>
    <definedName name="OSRRefP22_5x_0" localSheetId="48">'300'!$P$185:$P$186</definedName>
    <definedName name="OSRRefP22_5x_0" localSheetId="49">'300 &amp; 317'!$P$210:$P$211</definedName>
    <definedName name="OSRRefP22_5x_0" localSheetId="50">'301'!$P$44:$P$45</definedName>
    <definedName name="OSRRefP22_5x_0" localSheetId="51">'306'!$P$42</definedName>
    <definedName name="OSRRefP22_5x_0" localSheetId="53">'307'!$P$93</definedName>
    <definedName name="OSRRefP22_5x_0" localSheetId="54">'308'!$P$85</definedName>
    <definedName name="OSRRefP22_5x_0" localSheetId="66">'309'!$P$45</definedName>
    <definedName name="OSRRefP22_5x_0" localSheetId="65">'310'!$P$54:$P$55</definedName>
    <definedName name="OSRRefP22_5x_0" localSheetId="75">'310 &amp; 491'!$P$64:$P$66</definedName>
    <definedName name="OSRRefP22_5x_0" localSheetId="55">'311'!$P$84</definedName>
    <definedName name="OSRRefP22_5x_0" localSheetId="67">'313'!$P$50</definedName>
    <definedName name="OSRRefP22_5x_0" localSheetId="56">'314'!$P$75</definedName>
    <definedName name="OSRRefP22_5x_0" localSheetId="58">'315'!$P$77:$P$78</definedName>
    <definedName name="OSRRefP22_5x_0" localSheetId="61">'316'!$P$52:$P$53</definedName>
    <definedName name="OSRRefP22_5x_0" localSheetId="64">'317'!$P$78</definedName>
    <definedName name="OSRRefP22_5x_0" localSheetId="62">'320'!$P$48</definedName>
    <definedName name="OSRRefP22_5x_0" localSheetId="68">'321'!$P$44</definedName>
    <definedName name="OSRRefP22_5x_0" localSheetId="69">'322'!$P$45</definedName>
    <definedName name="OSRRefP22_5x_0" localSheetId="72">'325'!$P$46:$P$47</definedName>
    <definedName name="OSRRefP22_5x_0" localSheetId="59">'326'!$P$79</definedName>
    <definedName name="OSRRefP22_5x_0" localSheetId="52">'330'!$P$101</definedName>
    <definedName name="OSRRefP22_5x_0" localSheetId="57">'331'!$P$94:$P$95</definedName>
    <definedName name="OSRRefP22_5x_0" localSheetId="60">'332'!$P$61:$P$62</definedName>
    <definedName name="OSRRefP22_5x_0" localSheetId="77">'405'!$P$44:$P$45</definedName>
    <definedName name="OSRRefP22_5x_0" localSheetId="78">'406'!$P$45</definedName>
    <definedName name="OSRRefP22_5x_0" localSheetId="79">'411'!$P$45</definedName>
    <definedName name="OSRRefP22_5x_0" localSheetId="80">'412'!$P$46</definedName>
    <definedName name="OSRRefP22_5x_0" localSheetId="81">'413'!$P$45</definedName>
    <definedName name="OSRRefP22_5x_0" localSheetId="82">'414'!$P$46</definedName>
    <definedName name="OSRRefP22_5x_0" localSheetId="83">'415'!$P$46:$P$47</definedName>
    <definedName name="OSRRefP22_5x_0" localSheetId="84">'418'!$P$46:$P$47</definedName>
    <definedName name="OSRRefP22_5x_0" localSheetId="86">'423'!$P$38</definedName>
    <definedName name="OSRRefP22_5x_0" localSheetId="87">'424'!$P$39</definedName>
    <definedName name="OSRRefP22_5x_0" localSheetId="88">'425'!$P$48</definedName>
    <definedName name="OSRRefP22_5x_0" localSheetId="91">'430'!$P$37</definedName>
    <definedName name="OSRRefP22_5x_0" localSheetId="92">'433'!$P$49</definedName>
    <definedName name="OSRRefP22_5x_0" localSheetId="93">'435'!$P$38</definedName>
    <definedName name="OSRRefP22_5x_0" localSheetId="94">'444'!$P$48</definedName>
    <definedName name="OSRRefP22_5x_0" localSheetId="95">'450'!$P$48</definedName>
    <definedName name="OSRRefP22_5x_0" localSheetId="76">'491'!$P$57:$P$59</definedName>
    <definedName name="OSRRefP22_5x_0" localSheetId="90">'492'!$P$52</definedName>
    <definedName name="OSRRefP22_5x_0" localSheetId="97">'501'!$P$43</definedName>
    <definedName name="OSRRefP22_5x_0" localSheetId="9">'Div 2'!$P$46:$P$47</definedName>
    <definedName name="OSRRefP22_5x_0" localSheetId="47">'Div 3'!$P$190:$P$191</definedName>
    <definedName name="OSRRefP22_5x_0" localSheetId="74">'Div 4'!$P$58:$P$60</definedName>
    <definedName name="OSRRefP22_5x_0" localSheetId="96">'Div 5'!$P$43</definedName>
    <definedName name="OSRRefP22_5x_0" localSheetId="63">'Div 6'!$P$78</definedName>
    <definedName name="OSRRefP22_5x_0" localSheetId="2">Summary!$P$224:$P$226</definedName>
    <definedName name="OSRRefP22_6x_0" localSheetId="41">'201'!$P$42</definedName>
    <definedName name="OSRRefP22_6x_0" localSheetId="42">'202'!$P$42</definedName>
    <definedName name="OSRRefP22_6x_0" localSheetId="43">'203'!$P$44</definedName>
    <definedName name="OSRRefP22_6x_0" localSheetId="44">'204'!$P$45:$P$47</definedName>
    <definedName name="OSRRefP22_6x_0" localSheetId="45">'205'!$P$40:$P$41</definedName>
    <definedName name="OSRRefP22_6x_0" localSheetId="46">'206'!$P$45</definedName>
    <definedName name="OSRRefP22_6x_0" localSheetId="48">'300'!$P$188:$P$189</definedName>
    <definedName name="OSRRefP22_6x_0" localSheetId="49">'300 &amp; 317'!$P$213:$P$214</definedName>
    <definedName name="OSRRefP22_6x_0" localSheetId="50">'301'!$P$47:$P$48</definedName>
    <definedName name="OSRRefP22_6x_0" localSheetId="51">'306'!$P$44:$P$45</definedName>
    <definedName name="OSRRefP22_6x_0" localSheetId="53">'307'!$P$95</definedName>
    <definedName name="OSRRefP22_6x_0" localSheetId="54">'308'!$P$87:$P$88</definedName>
    <definedName name="OSRRefP22_6x_0" localSheetId="66">'309'!$P$47</definedName>
    <definedName name="OSRRefP22_6x_0" localSheetId="65">'310'!$P$57</definedName>
    <definedName name="OSRRefP22_6x_0" localSheetId="75">'310 &amp; 491'!$P$68</definedName>
    <definedName name="OSRRefP22_6x_0" localSheetId="55">'311'!$P$86:$P$87</definedName>
    <definedName name="OSRRefP22_6x_0" localSheetId="67">'313'!$P$52</definedName>
    <definedName name="OSRRefP22_6x_0" localSheetId="56">'314'!$P$77:$P$78</definedName>
    <definedName name="OSRRefP22_6x_0" localSheetId="58">'315'!$P$80</definedName>
    <definedName name="OSRRefP22_6x_0" localSheetId="61">'316'!$P$55</definedName>
    <definedName name="OSRRefP22_6x_0" localSheetId="64">'317'!$P$80</definedName>
    <definedName name="OSRRefP22_6x_0" localSheetId="62">'320'!$P$50</definedName>
    <definedName name="OSRRefP22_6x_0" localSheetId="68">'321'!$P$46:$P$48</definedName>
    <definedName name="OSRRefP22_6x_0" localSheetId="69">'322'!$P$47</definedName>
    <definedName name="OSRRefP22_6x_0" localSheetId="72">'325'!$P$49</definedName>
    <definedName name="OSRRefP22_6x_0" localSheetId="59">'326'!$P$81</definedName>
    <definedName name="OSRRefP22_6x_0" localSheetId="52">'330'!$P$103</definedName>
    <definedName name="OSRRefP22_6x_0" localSheetId="57">'331'!$P$97</definedName>
    <definedName name="OSRRefP22_6x_0" localSheetId="60">'332'!$P$64</definedName>
    <definedName name="OSRRefP22_6x_0" localSheetId="77">'405'!$P$47</definedName>
    <definedName name="OSRRefP22_6x_0" localSheetId="78">'406'!$P$47</definedName>
    <definedName name="OSRRefP22_6x_0" localSheetId="79">'411'!$P$47</definedName>
    <definedName name="OSRRefP22_6x_0" localSheetId="80">'412'!$P$48</definedName>
    <definedName name="OSRRefP22_6x_0" localSheetId="81">'413'!$P$47</definedName>
    <definedName name="OSRRefP22_6x_0" localSheetId="82">'414'!$P$48</definedName>
    <definedName name="OSRRefP22_6x_0" localSheetId="83">'415'!$P$49</definedName>
    <definedName name="OSRRefP22_6x_0" localSheetId="84">'418'!$P$49</definedName>
    <definedName name="OSRRefP22_6x_0" localSheetId="87">'424'!$P$41</definedName>
    <definedName name="OSRRefP22_6x_0" localSheetId="88">'425'!$P$50</definedName>
    <definedName name="OSRRefP22_6x_0" localSheetId="91">'430'!$P$39:$P$40</definedName>
    <definedName name="OSRRefP22_6x_0" localSheetId="92">'433'!$P$51</definedName>
    <definedName name="OSRRefP22_6x_0" localSheetId="93">'435'!$P$40:$P$43</definedName>
    <definedName name="OSRRefP22_6x_0" localSheetId="94">'444'!$P$50</definedName>
    <definedName name="OSRRefP22_6x_0" localSheetId="95">'450'!$P$50</definedName>
    <definedName name="OSRRefP22_6x_0" localSheetId="76">'491'!$P$61</definedName>
    <definedName name="OSRRefP22_6x_0" localSheetId="90">'492'!$P$54</definedName>
    <definedName name="OSRRefP22_6x_0" localSheetId="97">'501'!$P$45</definedName>
    <definedName name="OSRRefP22_6x_0" localSheetId="9">'Div 2'!$P$49</definedName>
    <definedName name="OSRRefP22_6x_0" localSheetId="47">'Div 3'!$P$193:$P$194</definedName>
    <definedName name="OSRRefP22_6x_0" localSheetId="74">'Div 4'!$P$62</definedName>
    <definedName name="OSRRefP22_6x_0" localSheetId="96">'Div 5'!$P$45</definedName>
    <definedName name="OSRRefP22_6x_0" localSheetId="63">'Div 6'!$P$80</definedName>
    <definedName name="OSRRefP22_6x_0" localSheetId="2">Summary!$P$228:$P$229</definedName>
    <definedName name="OSRRefP22_7x_0" localSheetId="41">'201'!$P$44</definedName>
    <definedName name="OSRRefP22_7x_0" localSheetId="42">'202'!$P$44</definedName>
    <definedName name="OSRRefP22_7x_0" localSheetId="43">'203'!$P$46</definedName>
    <definedName name="OSRRefP22_7x_0" localSheetId="44">'204'!$P$49:$P$50</definedName>
    <definedName name="OSRRefP22_7x_0" localSheetId="45">'205'!$P$43</definedName>
    <definedName name="OSRRefP22_7x_0" localSheetId="46">'206'!$P$47</definedName>
    <definedName name="OSRRefP22_7x_0" localSheetId="48">'300'!$P$191</definedName>
    <definedName name="OSRRefP22_7x_0" localSheetId="49">'300 &amp; 317'!$P$216</definedName>
    <definedName name="OSRRefP22_7x_0" localSheetId="50">'301'!$P$50</definedName>
    <definedName name="OSRRefP22_7x_0" localSheetId="51">'306'!$P$47:$P$50</definedName>
    <definedName name="OSRRefP22_7x_0" localSheetId="53">'307'!$P$97</definedName>
    <definedName name="OSRRefP22_7x_0" localSheetId="54">'308'!$P$90</definedName>
    <definedName name="OSRRefP22_7x_0" localSheetId="66">'309'!$P$49:$P$50</definedName>
    <definedName name="OSRRefP22_7x_0" localSheetId="65">'310'!$P$59</definedName>
    <definedName name="OSRRefP22_7x_0" localSheetId="75">'310 &amp; 491'!$P$70</definedName>
    <definedName name="OSRRefP22_7x_0" localSheetId="55">'311'!$P$89</definedName>
    <definedName name="OSRRefP22_7x_0" localSheetId="67">'313'!$P$54</definedName>
    <definedName name="OSRRefP22_7x_0" localSheetId="56">'314'!$P$80</definedName>
    <definedName name="OSRRefP22_7x_0" localSheetId="58">'315'!$P$82</definedName>
    <definedName name="OSRRefP22_7x_0" localSheetId="61">'316'!$P$57:$P$60</definedName>
    <definedName name="OSRRefP22_7x_0" localSheetId="64">'317'!$P$82</definedName>
    <definedName name="OSRRefP22_7x_0" localSheetId="62">'320'!$P$52:$P$53</definedName>
    <definedName name="OSRRefP22_7x_0" localSheetId="68">'321'!$P$50</definedName>
    <definedName name="OSRRefP22_7x_0" localSheetId="69">'322'!$P$49</definedName>
    <definedName name="OSRRefP22_7x_0" localSheetId="72">'325'!$P$51</definedName>
    <definedName name="OSRRefP22_7x_0" localSheetId="59">'326'!$P$83</definedName>
    <definedName name="OSRRefP22_7x_0" localSheetId="52">'330'!$P$105</definedName>
    <definedName name="OSRRefP22_7x_0" localSheetId="57">'331'!$P$99</definedName>
    <definedName name="OSRRefP22_7x_0" localSheetId="60">'332'!$P$66</definedName>
    <definedName name="OSRRefP22_7x_0" localSheetId="77">'405'!$P$49</definedName>
    <definedName name="OSRRefP22_7x_0" localSheetId="78">'406'!$P$49</definedName>
    <definedName name="OSRRefP22_7x_0" localSheetId="79">'411'!$P$49</definedName>
    <definedName name="OSRRefP22_7x_0" localSheetId="80">'412'!$P$50</definedName>
    <definedName name="OSRRefP22_7x_0" localSheetId="81">'413'!$P$49:$P$51</definedName>
    <definedName name="OSRRefP22_7x_0" localSheetId="82">'414'!$P$50</definedName>
    <definedName name="OSRRefP22_7x_0" localSheetId="83">'415'!$P$51</definedName>
    <definedName name="OSRRefP22_7x_0" localSheetId="84">'418'!$P$51</definedName>
    <definedName name="OSRRefP22_7x_0" localSheetId="87">'424'!$P$43:$P$44</definedName>
    <definedName name="OSRRefP22_7x_0" localSheetId="88">'425'!$P$52</definedName>
    <definedName name="OSRRefP22_7x_0" localSheetId="91">'430'!$P$42</definedName>
    <definedName name="OSRRefP22_7x_0" localSheetId="92">'433'!$P$53</definedName>
    <definedName name="OSRRefP22_7x_0" localSheetId="93">'435'!$P$45</definedName>
    <definedName name="OSRRefP22_7x_0" localSheetId="94">'444'!$P$52</definedName>
    <definedName name="OSRRefP22_7x_0" localSheetId="95">'450'!$P$52</definedName>
    <definedName name="OSRRefP22_7x_0" localSheetId="76">'491'!$P$63</definedName>
    <definedName name="OSRRefP22_7x_0" localSheetId="90">'492'!$P$56</definedName>
    <definedName name="OSRRefP22_7x_0" localSheetId="97">'501'!$P$47</definedName>
    <definedName name="OSRRefP22_7x_0" localSheetId="9">'Div 2'!$P$51</definedName>
    <definedName name="OSRRefP22_7x_0" localSheetId="47">'Div 3'!$P$196</definedName>
    <definedName name="OSRRefP22_7x_0" localSheetId="74">'Div 4'!$P$64</definedName>
    <definedName name="OSRRefP22_7x_0" localSheetId="96">'Div 5'!$P$47</definedName>
    <definedName name="OSRRefP22_7x_0" localSheetId="63">'Div 6'!$P$82</definedName>
    <definedName name="OSRRefP22_7x_0" localSheetId="2">Summary!$P$231</definedName>
    <definedName name="OSRRefP22_8x_0" localSheetId="41">'201'!$P$46</definedName>
    <definedName name="OSRRefP22_8x_0" localSheetId="42">'202'!$P$46:$P$48</definedName>
    <definedName name="OSRRefP22_8x_0" localSheetId="43">'203'!$P$48</definedName>
    <definedName name="OSRRefP22_8x_0" localSheetId="44">'204'!$P$52:$P$53</definedName>
    <definedName name="OSRRefP22_8x_0" localSheetId="45">'205'!$P$45</definedName>
    <definedName name="OSRRefP22_8x_0" localSheetId="48">'300'!$P$193</definedName>
    <definedName name="OSRRefP22_8x_0" localSheetId="49">'300 &amp; 317'!$P$218</definedName>
    <definedName name="OSRRefP22_8x_0" localSheetId="50">'301'!$P$52</definedName>
    <definedName name="OSRRefP22_8x_0" localSheetId="51">'306'!$P$52</definedName>
    <definedName name="OSRRefP22_8x_0" localSheetId="53">'307'!$P$99:$P$100</definedName>
    <definedName name="OSRRefP22_8x_0" localSheetId="54">'308'!$P$92</definedName>
    <definedName name="OSRRefP22_8x_0" localSheetId="66">'309'!$P$52:$P$53</definedName>
    <definedName name="OSRRefP22_8x_0" localSheetId="65">'310'!$P$61</definedName>
    <definedName name="OSRRefP22_8x_0" localSheetId="75">'310 &amp; 491'!$P$72</definedName>
    <definedName name="OSRRefP22_8x_0" localSheetId="55">'311'!$P$91</definedName>
    <definedName name="OSRRefP22_8x_0" localSheetId="67">'313'!$P$56</definedName>
    <definedName name="OSRRefP22_8x_0" localSheetId="58">'315'!$P$84:$P$85</definedName>
    <definedName name="OSRRefP22_8x_0" localSheetId="61">'316'!$P$62</definedName>
    <definedName name="OSRRefP22_8x_0" localSheetId="64">'317'!$P$84</definedName>
    <definedName name="OSRRefP22_8x_0" localSheetId="62">'320'!$P$55</definedName>
    <definedName name="OSRRefP22_8x_0" localSheetId="68">'321'!$P$52:$P$54</definedName>
    <definedName name="OSRRefP22_8x_0" localSheetId="69">'322'!$P$51</definedName>
    <definedName name="OSRRefP22_8x_0" localSheetId="72">'325'!$P$53</definedName>
    <definedName name="OSRRefP22_8x_0" localSheetId="59">'326'!$P$85</definedName>
    <definedName name="OSRRefP22_8x_0" localSheetId="52">'330'!$P$107</definedName>
    <definedName name="OSRRefP22_8x_0" localSheetId="57">'331'!$P$101:$P$102</definedName>
    <definedName name="OSRRefP22_8x_0" localSheetId="60">'332'!$P$68:$P$69</definedName>
    <definedName name="OSRRefP22_8x_0" localSheetId="77">'405'!$P$51</definedName>
    <definedName name="OSRRefP22_8x_0" localSheetId="78">'406'!$P$51:$P$53</definedName>
    <definedName name="OSRRefP22_8x_0" localSheetId="79">'411'!$P$51</definedName>
    <definedName name="OSRRefP22_8x_0" localSheetId="80">'412'!$P$52:$P$53</definedName>
    <definedName name="OSRRefP22_8x_0" localSheetId="81">'413'!$P$53:$P$54</definedName>
    <definedName name="OSRRefP22_8x_0" localSheetId="82">'414'!$P$52:$P$53</definedName>
    <definedName name="OSRRefP22_8x_0" localSheetId="83">'415'!$P$53</definedName>
    <definedName name="OSRRefP22_8x_0" localSheetId="84">'418'!$P$53:$P$54</definedName>
    <definedName name="OSRRefP22_8x_0" localSheetId="87">'424'!$P$46</definedName>
    <definedName name="OSRRefP22_8x_0" localSheetId="88">'425'!$P$54</definedName>
    <definedName name="OSRRefP22_8x_0" localSheetId="91">'430'!$P$44</definedName>
    <definedName name="OSRRefP22_8x_0" localSheetId="92">'433'!$P$55</definedName>
    <definedName name="OSRRefP22_8x_0" localSheetId="94">'444'!$P$54</definedName>
    <definedName name="OSRRefP22_8x_0" localSheetId="95">'450'!$P$54</definedName>
    <definedName name="OSRRefP22_8x_0" localSheetId="76">'491'!$P$65</definedName>
    <definedName name="OSRRefP22_8x_0" localSheetId="90">'492'!$P$58</definedName>
    <definedName name="OSRRefP22_8x_0" localSheetId="97">'501'!$P$49</definedName>
    <definedName name="OSRRefP22_8x_0" localSheetId="9">'Div 2'!$P$53</definedName>
    <definedName name="OSRRefP22_8x_0" localSheetId="47">'Div 3'!$P$198</definedName>
    <definedName name="OSRRefP22_8x_0" localSheetId="74">'Div 4'!$P$66</definedName>
    <definedName name="OSRRefP22_8x_0" localSheetId="96">'Div 5'!$P$49</definedName>
    <definedName name="OSRRefP22_8x_0" localSheetId="63">'Div 6'!$P$84</definedName>
    <definedName name="OSRRefP22_8x_0" localSheetId="2">Summary!$P$233</definedName>
    <definedName name="OSRRefP22_9x_0" localSheetId="41">'201'!$P$48:$P$50</definedName>
    <definedName name="OSRRefP22_9x_0" localSheetId="42">'202'!$P$50</definedName>
    <definedName name="OSRRefP22_9x_0" localSheetId="43">'203'!$P$50:$P$52</definedName>
    <definedName name="OSRRefP22_9x_0" localSheetId="44">'204'!$P$55</definedName>
    <definedName name="OSRRefP22_9x_0" localSheetId="48">'300'!$P$195</definedName>
    <definedName name="OSRRefP22_9x_0" localSheetId="49">'300 &amp; 317'!$P$220</definedName>
    <definedName name="OSRRefP22_9x_0" localSheetId="50">'301'!$P$54</definedName>
    <definedName name="OSRRefP22_9x_0" localSheetId="51">'306'!$P$54</definedName>
    <definedName name="OSRRefP22_9x_0" localSheetId="53">'307'!$P$102:$P$103</definedName>
    <definedName name="OSRRefP22_9x_0" localSheetId="54">'308'!$P$94:$P$95</definedName>
    <definedName name="OSRRefP22_9x_0" localSheetId="66">'309'!$P$55</definedName>
    <definedName name="OSRRefP22_9x_0" localSheetId="65">'310'!$P$63</definedName>
    <definedName name="OSRRefP22_9x_0" localSheetId="75">'310 &amp; 491'!$P$74</definedName>
    <definedName name="OSRRefP22_9x_0" localSheetId="55">'311'!$P$93:$P$94</definedName>
    <definedName name="OSRRefP22_9x_0" localSheetId="67">'313'!$P$58:$P$60</definedName>
    <definedName name="OSRRefP22_9x_0" localSheetId="58">'315'!$P$87:$P$88</definedName>
    <definedName name="OSRRefP22_9x_0" localSheetId="61">'316'!$P$64</definedName>
    <definedName name="OSRRefP22_9x_0" localSheetId="64">'317'!$P$86:$P$87</definedName>
    <definedName name="OSRRefP22_9x_0" localSheetId="68">'321'!$P$56:$P$60</definedName>
    <definedName name="OSRRefP22_9x_0" localSheetId="69">'322'!$P$53:$P$54</definedName>
    <definedName name="OSRRefP22_9x_0" localSheetId="72">'325'!$P$55</definedName>
    <definedName name="OSRRefP22_9x_0" localSheetId="59">'326'!$P$87</definedName>
    <definedName name="OSRRefP22_9x_0" localSheetId="52">'330'!$P$109:$P$110</definedName>
    <definedName name="OSRRefP22_9x_0" localSheetId="57">'331'!$P$104</definedName>
    <definedName name="OSRRefP22_9x_0" localSheetId="60">'332'!$P$71</definedName>
    <definedName name="OSRRefP22_9x_0" localSheetId="77">'405'!$P$53</definedName>
    <definedName name="OSRRefP22_9x_0" localSheetId="78">'406'!$P$55:$P$56</definedName>
    <definedName name="OSRRefP22_9x_0" localSheetId="79">'411'!$P$53</definedName>
    <definedName name="OSRRefP22_9x_0" localSheetId="80">'412'!$P$55</definedName>
    <definedName name="OSRRefP22_9x_0" localSheetId="81">'413'!$P$56:$P$60</definedName>
    <definedName name="OSRRefP22_9x_0" localSheetId="82">'414'!$P$55</definedName>
    <definedName name="OSRRefP22_9x_0" localSheetId="83">'415'!$P$55</definedName>
    <definedName name="OSRRefP22_9x_0" localSheetId="84">'418'!$P$56:$P$58</definedName>
    <definedName name="OSRRefP22_9x_0" localSheetId="87">'424'!$P$48</definedName>
    <definedName name="OSRRefP22_9x_0" localSheetId="88">'425'!$P$56:$P$58</definedName>
    <definedName name="OSRRefP22_9x_0" localSheetId="91">'430'!$P$46</definedName>
    <definedName name="OSRRefP22_9x_0" localSheetId="92">'433'!$P$57</definedName>
    <definedName name="OSRRefP22_9x_0" localSheetId="94">'444'!$P$56</definedName>
    <definedName name="OSRRefP22_9x_0" localSheetId="95">'450'!$P$56</definedName>
    <definedName name="OSRRefP22_9x_0" localSheetId="76">'491'!$P$67:$P$68</definedName>
    <definedName name="OSRRefP22_9x_0" localSheetId="90">'492'!$P$60</definedName>
    <definedName name="OSRRefP22_9x_0" localSheetId="97">'501'!$P$51</definedName>
    <definedName name="OSRRefP22_9x_0" localSheetId="9">'Div 2'!$P$55</definedName>
    <definedName name="OSRRefP22_9x_0" localSheetId="47">'Div 3'!$P$200</definedName>
    <definedName name="OSRRefP22_9x_0" localSheetId="74">'Div 4'!$P$68</definedName>
    <definedName name="OSRRefP22_9x_0" localSheetId="96">'Div 5'!$P$51</definedName>
    <definedName name="OSRRefP22_9x_0" localSheetId="63">'Div 6'!$P$86:$P$87</definedName>
    <definedName name="OSRRefP22_9x_0" localSheetId="2">Summary!$P$235</definedName>
    <definedName name="OSRRefP22x_0" localSheetId="40">'200'!$P$20,'200'!$P$22,'200'!$P$24,'200'!$P$26:$P$27</definedName>
    <definedName name="OSRRefP22x_0" localSheetId="41">'201'!$P$20:$P$28,'201'!$P$30:$P$32,'201'!$P$34,'201'!$P$36,'201'!$P$38,'201'!$P$40,'201'!$P$42,'201'!$P$44,'201'!$P$46,'201'!$P$48:$P$50,'201'!$P$52:$P$54,'201'!$P$56,'201'!$P$58:$P$60,'201'!$P$62,'201'!$P$64,'201'!$P$66:$P$67</definedName>
    <definedName name="OSRRefP22x_0" localSheetId="42">'202'!$P$20:$P$27,'202'!$P$29:$P$32,'202'!$P$34,'202'!$P$36,'202'!$P$38,'202'!$P$40,'202'!$P$42,'202'!$P$44,'202'!$P$46:$P$48,'202'!$P$50,'202'!$P$52,'202'!$P$54:$P$56,'202'!$P$58,'202'!$P$60</definedName>
    <definedName name="OSRRefP22x_0" localSheetId="43">'203'!$P$20:$P$29,'203'!$P$31:$P$34,'203'!$P$36,'203'!$P$38,'203'!$P$40,'203'!$P$42,'203'!$P$44,'203'!$P$46,'203'!$P$48,'203'!$P$50:$P$52,'203'!$P$54:$P$55,'203'!$P$57,'203'!$P$59:$P$61,'203'!$P$63,'203'!$P$65,'203'!$P$67</definedName>
    <definedName name="OSRRefP22x_0" localSheetId="44">'204'!$P$20:$P$28,'204'!$P$30:$P$34,'204'!$P$36,'204'!$P$38:$P$39,'204'!$P$41,'204'!$P$43,'204'!$P$45:$P$47,'204'!$P$49:$P$50,'204'!$P$52:$P$53,'204'!$P$55,'204'!$P$57:$P$58</definedName>
    <definedName name="OSRRefP22x_0" localSheetId="45">'205'!$P$20:$P$27,'205'!$P$29,'205'!$P$31,'205'!$P$33,'205'!$P$35:$P$36,'205'!$P$38,'205'!$P$40:$P$41,'205'!$P$43,'205'!$P$45</definedName>
    <definedName name="OSRRefP22x_0" localSheetId="46">'206'!$P$20:$P$27,'206'!$P$29:$P$34,'206'!$P$36,'206'!$P$38,'206'!$P$40,'206'!$P$42:$P$43,'206'!$P$45,'206'!$P$47</definedName>
    <definedName name="OSRRefP22x_0" localSheetId="48">'300'!$P$160:$P$168,'300'!$P$170:$P$176,'300'!$P$178,'300'!$P$180:$P$181,'300'!$P$183,'300'!$P$185:$P$186,'300'!$P$188:$P$189,'300'!$P$191,'300'!$P$193,'300'!$P$195,'300'!$P$197:$P$198,'300'!$P$200,'300'!$P$202,'300'!$P$204,'300'!$P$206,'300'!$P$208,'300'!$P$210:$P$212,'300'!$P$214:$P$216,'300'!$P$218:$P$221,'300'!$P$223:$P$224,'300'!$P$226:$P$231,'300'!$P$233:$P$234,'300'!$P$236,'300'!$P$238:$P$240,'300'!$P$242</definedName>
    <definedName name="OSRRefP22x_0" localSheetId="49">'300 &amp; 317'!$P$185:$P$193,'300 &amp; 317'!$P$195:$P$201,'300 &amp; 317'!$P$203,'300 &amp; 317'!$P$205:$P$206,'300 &amp; 317'!$P$208,'300 &amp; 317'!$P$210:$P$211,'300 &amp; 317'!$P$213:$P$214,'300 &amp; 317'!$P$216,'300 &amp; 317'!$P$218,'300 &amp; 317'!$P$220,'300 &amp; 317'!$P$222:$P$223,'300 &amp; 317'!$P$225,'300 &amp; 317'!$P$227,'300 &amp; 317'!$P$229,'300 &amp; 317'!$P$231,'300 &amp; 317'!$P$233,'300 &amp; 317'!$P$235:$P$237,'300 &amp; 317'!$P$239:$P$241,'300 &amp; 317'!$P$243:$P$246,'300 &amp; 317'!$P$248:$P$249,'300 &amp; 317'!$P$251:$P$256,'300 &amp; 317'!$P$258:$P$259,'300 &amp; 317'!$P$261,'300 &amp; 317'!$P$263:$P$265,'300 &amp; 317'!$P$267</definedName>
    <definedName name="OSRRefP22x_0" localSheetId="50">'301'!$P$20:$P$27,'301'!$P$29:$P$35,'301'!$P$37,'301'!$P$39:$P$40,'301'!$P$42,'301'!$P$44:$P$45,'301'!$P$47:$P$48,'301'!$P$50,'301'!$P$52,'301'!$P$54,'301'!$P$56,'301'!$P$58,'301'!$P$60,'301'!$P$62,'301'!$P$64:$P$66,'301'!$P$68:$P$70,'301'!$P$72,'301'!$P$74:$P$78,'301'!$P$80,'301'!$P$82,'301'!$P$84:$P$85,'301'!$P$87</definedName>
    <definedName name="OSRRefP22x_0" localSheetId="51">'306'!$P$20:$P$28,'306'!$P$30:$P$34,'306'!$P$36,'306'!$P$38,'306'!$P$40,'306'!$P$42,'306'!$P$44:$P$45,'306'!$P$47:$P$50,'306'!$P$52,'306'!$P$54</definedName>
    <definedName name="OSRRefP22x_0" localSheetId="53">'307'!$P$72:$P$79,'307'!$P$81:$P$84,'307'!$P$86,'307'!$P$88,'307'!$P$90:$P$91,'307'!$P$93,'307'!$P$95,'307'!$P$97,'307'!$P$99:$P$100,'307'!$P$102:$P$103,'307'!$P$105:$P$106,'307'!$P$108,'307'!$P$110</definedName>
    <definedName name="OSRRefP22x_0" localSheetId="54">'308'!$P$62:$P$70,'308'!$P$72:$P$76,'308'!$P$78,'308'!$P$80:$P$81,'308'!$P$83,'308'!$P$85,'308'!$P$87:$P$88,'308'!$P$90,'308'!$P$92,'308'!$P$94:$P$95,'308'!$P$97,'308'!$P$99:$P$102,'308'!$P$104:$P$105,'308'!$P$107,'308'!$P$109</definedName>
    <definedName name="OSRRefP22x_0" localSheetId="66">'309'!$P$24:$P$31,'309'!$P$33:$P$37,'309'!$P$39,'309'!$P$41,'309'!$P$43,'309'!$P$45,'309'!$P$47,'309'!$P$49:$P$50,'309'!$P$52:$P$53,'309'!$P$55,'309'!$P$57:$P$62,'309'!$P$64</definedName>
    <definedName name="OSRRefP22x_0" localSheetId="65">'310'!$P$32:$P$39,'310'!$P$41:$P$46,'310'!$P$48,'310'!$P$50,'310'!$P$52,'310'!$P$54:$P$55,'310'!$P$57,'310'!$P$59,'310'!$P$61,'310'!$P$63,'310'!$P$65,'310'!$P$67,'310'!$P$69,'310'!$P$71,'310'!$P$73:$P$75,'310'!$P$77,'310'!$P$79:$P$82,'310'!$P$84:$P$85,'310'!$P$87:$P$93,'310'!$P$95,'310'!$P$97,'310'!$P$99</definedName>
    <definedName name="OSRRefP22x_0" localSheetId="75">'310 &amp; 491'!$P$40:$P$48,'310 &amp; 491'!$P$50:$P$56,'310 &amp; 491'!$P$58,'310 &amp; 491'!$P$60,'310 &amp; 491'!$P$62,'310 &amp; 491'!$P$64:$P$66,'310 &amp; 491'!$P$68,'310 &amp; 491'!$P$70,'310 &amp; 491'!$P$72,'310 &amp; 491'!$P$74,'310 &amp; 491'!$P$76,'310 &amp; 491'!$P$78:$P$79,'310 &amp; 491'!$P$81,'310 &amp; 491'!$P$83,'310 &amp; 491'!$P$85,'310 &amp; 491'!$P$87,'310 &amp; 491'!$P$89:$P$91,'310 &amp; 491'!$P$93:$P$94,'310 &amp; 491'!$P$96:$P$100,'310 &amp; 491'!$P$102:$P$103,'310 &amp; 491'!$P$105:$P$112,'310 &amp; 491'!$P$114,'310 &amp; 491'!$P$116,'310 &amp; 491'!$P$118:$P$120,'310 &amp; 491'!$P$122</definedName>
    <definedName name="OSRRefP22x_0" localSheetId="55">'311'!$P$61:$P$69,'311'!$P$71:$P$75,'311'!$P$77,'311'!$P$79:$P$80,'311'!$P$82,'311'!$P$84,'311'!$P$86:$P$87,'311'!$P$89,'311'!$P$91,'311'!$P$93:$P$94,'311'!$P$96,'311'!$P$98:$P$101,'311'!$P$103:$P$104,'311'!$P$106,'311'!$P$108</definedName>
    <definedName name="OSRRefP22x_0" localSheetId="67">'313'!$P$29:$P$36,'313'!$P$38:$P$42,'313'!$P$44,'313'!$P$46,'313'!$P$48,'313'!$P$50,'313'!$P$52,'313'!$P$54,'313'!$P$56,'313'!$P$58:$P$60,'313'!$P$62,'313'!$P$64,'313'!$P$66:$P$71,'313'!$P$73,'313'!$P$75</definedName>
    <definedName name="OSRRefP22x_0" localSheetId="56">'314'!$P$56:$P$62,'314'!$P$64:$P$66,'314'!$P$68,'314'!$P$70:$P$71,'314'!$P$73,'314'!$P$75,'314'!$P$77:$P$78,'314'!$P$80</definedName>
    <definedName name="OSRRefP22x_0" localSheetId="58">'315'!$P$55:$P$62,'315'!$P$64:$P$68,'315'!$P$70,'315'!$P$72:$P$73,'315'!$P$75,'315'!$P$77:$P$78,'315'!$P$80,'315'!$P$82,'315'!$P$84:$P$85,'315'!$P$87:$P$88,'315'!$P$90,'315'!$P$92:$P$95,'315'!$P$97,'315'!$P$99,'315'!$P$101:$P$102</definedName>
    <definedName name="OSRRefP22x_0" localSheetId="61">'316'!$P$32:$P$39,'316'!$P$41:$P$44,'316'!$P$46,'316'!$P$48,'316'!$P$50,'316'!$P$52:$P$53,'316'!$P$55,'316'!$P$57:$P$60,'316'!$P$62,'316'!$P$64</definedName>
    <definedName name="OSRRefP22x_0" localSheetId="64">'317'!$P$57:$P$65,'317'!$P$67:$P$70,'317'!$P$72,'317'!$P$74,'317'!$P$76,'317'!$P$78,'317'!$P$80,'317'!$P$82,'317'!$P$84,'317'!$P$86:$P$87,'317'!$P$89,'317'!$P$91,'317'!$P$93</definedName>
    <definedName name="OSRRefP22x_0" localSheetId="62">'320'!$P$29:$P$35,'320'!$P$37:$P$39,'320'!$P$41,'320'!$P$43,'320'!$P$45:$P$46,'320'!$P$48,'320'!$P$50,'320'!$P$52:$P$53,'320'!$P$55</definedName>
    <definedName name="OSRRefP22x_0" localSheetId="68">'321'!$P$24:$P$30,'321'!$P$32:$P$36,'321'!$P$38,'321'!$P$40,'321'!$P$42,'321'!$P$44,'321'!$P$46:$P$48,'321'!$P$50,'321'!$P$52:$P$54,'321'!$P$56:$P$60,'321'!$P$62,'321'!$P$64</definedName>
    <definedName name="OSRRefP22x_0" localSheetId="69">'322'!$P$24:$P$31,'322'!$P$33:$P$37,'322'!$P$39,'322'!$P$41,'322'!$P$43,'322'!$P$45,'322'!$P$47,'322'!$P$49,'322'!$P$51,'322'!$P$53:$P$54,'322'!$P$56:$P$58,'322'!$P$60:$P$65,'322'!$P$67,'322'!$P$69</definedName>
    <definedName name="OSRRefP22x_0" localSheetId="71">'324'!$P$25</definedName>
    <definedName name="OSRRefP22x_0" localSheetId="72">'325'!$P$24:$P$31,'325'!$P$33:$P$38,'325'!$P$40,'325'!$P$42,'325'!$P$44,'325'!$P$46:$P$47,'325'!$P$49,'325'!$P$51,'325'!$P$53,'325'!$P$55,'325'!$P$57,'325'!$P$59:$P$61,'325'!$P$63:$P$65,'325'!$P$67,'325'!$P$69:$P$74,'325'!$P$76,'325'!$P$78</definedName>
    <definedName name="OSRRefP22x_0" localSheetId="59">'326'!$P$59:$P$66,'326'!$P$68:$P$71,'326'!$P$73,'326'!$P$75,'326'!$P$77,'326'!$P$79,'326'!$P$81,'326'!$P$83,'326'!$P$85,'326'!$P$87,'326'!$P$89,'326'!$P$91,'326'!$P$93,'326'!$P$95:$P$96,'326'!$P$98:$P$100,'326'!$P$102,'326'!$P$104:$P$108,'326'!$P$110,'326'!$P$112,'326'!$P$114</definedName>
    <definedName name="OSRRefP22x_0" localSheetId="73">'327'!$P$22,'327'!$P$24,'327'!$P$26</definedName>
    <definedName name="OSRRefP22x_0" localSheetId="52">'330'!$P$80:$P$87,'330'!$P$89:$P$92,'330'!$P$94,'330'!$P$96,'330'!$P$98:$P$99,'330'!$P$101,'330'!$P$103,'330'!$P$105,'330'!$P$107,'330'!$P$109:$P$110,'330'!$P$112:$P$113,'330'!$P$115,'330'!$P$117:$P$119,'330'!$P$121,'330'!$P$123</definedName>
    <definedName name="OSRRefP22x_0" localSheetId="57">'331'!$P$73:$P$80,'331'!$P$82:$P$86,'331'!$P$88,'331'!$P$90,'331'!$P$92,'331'!$P$94:$P$95,'331'!$P$97,'331'!$P$99,'331'!$P$101:$P$102,'331'!$P$104,'331'!$P$106,'331'!$P$108,'331'!$P$110,'331'!$P$112,'331'!$P$114:$P$116,'331'!$P$118:$P$119,'331'!$P$121:$P$123,'331'!$P$125,'331'!$P$127:$P$131,'331'!$P$133,'331'!$P$135,'331'!$P$137:$P$138,'331'!$P$140</definedName>
    <definedName name="OSRRefP22x_0" localSheetId="60">'332'!$P$41:$P$48,'332'!$P$50:$P$53,'332'!$P$55,'332'!$P$57,'332'!$P$59,'332'!$P$61:$P$62,'332'!$P$64,'332'!$P$66,'332'!$P$68:$P$69,'332'!$P$71,'332'!$P$73:$P$77,'332'!$P$79,'332'!$P$81</definedName>
    <definedName name="OSRRefP22x_0" localSheetId="77">'405'!$P$24:$P$31,'405'!$P$33:$P$36,'405'!$P$38,'405'!$P$40,'405'!$P$42,'405'!$P$44:$P$45,'405'!$P$47,'405'!$P$49,'405'!$P$51,'405'!$P$53,'405'!$P$55:$P$56,'405'!$P$58,'405'!$P$60:$P$62,'405'!$P$64,'405'!$P$66:$P$72,'405'!$P$74,'405'!$P$76,'405'!$P$78</definedName>
    <definedName name="OSRRefP22x_0" localSheetId="78">'406'!$P$24:$P$31,'406'!$P$33:$P$37,'406'!$P$39,'406'!$P$41,'406'!$P$43,'406'!$P$45,'406'!$P$47,'406'!$P$49,'406'!$P$51:$P$53,'406'!$P$55:$P$56,'406'!$P$58:$P$63,'406'!$P$65,'406'!$P$67</definedName>
    <definedName name="OSRRefP22x_0" localSheetId="79">'411'!$P$20:$P$28,'411'!$P$30:$P$35,'411'!$P$37,'411'!$P$39:$P$41,'411'!$P$43,'411'!$P$45,'411'!$P$47,'411'!$P$49,'411'!$P$51,'411'!$P$53,'411'!$P$55:$P$57,'411'!$P$59:$P$63,'411'!$P$65:$P$71,'411'!$P$73,'411'!$P$75,'411'!$P$77:$P$79,'411'!$P$81</definedName>
    <definedName name="OSRRefP22x_0" localSheetId="80">'412'!$P$24:$P$31,'412'!$P$33:$P$38,'412'!$P$40,'412'!$P$42,'412'!$P$44,'412'!$P$46,'412'!$P$48,'412'!$P$50,'412'!$P$52:$P$53,'412'!$P$55,'412'!$P$57:$P$59,'412'!$P$61:$P$67,'412'!$P$69,'412'!$P$71</definedName>
    <definedName name="OSRRefP22x_0" localSheetId="81">'413'!$P$24:$P$31,'413'!$P$33:$P$37,'413'!$P$39,'413'!$P$41,'413'!$P$43,'413'!$P$45,'413'!$P$47,'413'!$P$49:$P$51,'413'!$P$53:$P$54,'413'!$P$56:$P$60,'413'!$P$62</definedName>
    <definedName name="OSRRefP22x_0" localSheetId="82">'414'!$P$24:$P$31,'414'!$P$33:$P$38,'414'!$P$40,'414'!$P$42,'414'!$P$44,'414'!$P$46,'414'!$P$48,'414'!$P$50,'414'!$P$52:$P$53,'414'!$P$55,'414'!$P$57,'414'!$P$59,'414'!$P$61:$P$67,'414'!$P$69,'414'!$P$71</definedName>
    <definedName name="OSRRefP22x_0" localSheetId="83">'415'!$P$24:$P$31,'415'!$P$33:$P$38,'415'!$P$40,'415'!$P$42,'415'!$P$44,'415'!$P$46:$P$47,'415'!$P$49,'415'!$P$51,'415'!$P$53,'415'!$P$55,'415'!$P$57,'415'!$P$59:$P$61,'415'!$P$63:$P$67,'415'!$P$69,'415'!$P$71:$P$77,'415'!$P$79,'415'!$P$81,'415'!$P$83</definedName>
    <definedName name="OSRRefP22x_0" localSheetId="84">'418'!$P$24:$P$31,'418'!$P$33:$P$38,'418'!$P$40,'418'!$P$42,'418'!$P$44,'418'!$P$46:$P$47,'418'!$P$49,'418'!$P$51,'418'!$P$53:$P$54,'418'!$P$56:$P$58,'418'!$P$60:$P$62,'418'!$P$64,'418'!$P$66:$P$72,'418'!$P$74,'418'!$P$76</definedName>
    <definedName name="OSRRefP22x_0" localSheetId="85">'420'!$P$22:$P$28,'420'!$P$30:$P$33,'420'!$P$35,'420'!$P$37</definedName>
    <definedName name="OSRRefP22x_0" localSheetId="86">'423'!$P$21:$P$28,'423'!$P$30,'423'!$P$32,'423'!$P$34,'423'!$P$36,'423'!$P$38</definedName>
    <definedName name="OSRRefP22x_0" localSheetId="87">'424'!$P$24:$P$26,'424'!$P$28:$P$31,'424'!$P$33,'424'!$P$35,'424'!$P$37,'424'!$P$39,'424'!$P$41,'424'!$P$43:$P$44,'424'!$P$46,'424'!$P$48,'424'!$P$50:$P$54,'424'!$P$56</definedName>
    <definedName name="OSRRefP22x_0" localSheetId="88">'425'!$P$27:$P$34,'425'!$P$36:$P$40,'425'!$P$42,'425'!$P$44,'425'!$P$46,'425'!$P$48,'425'!$P$50,'425'!$P$52,'425'!$P$54,'425'!$P$56:$P$58,'425'!$P$60,'425'!$P$62:$P$63,'425'!$P$65:$P$71,'425'!$P$73,'425'!$P$75,'425'!$P$77</definedName>
    <definedName name="OSRRefP22x_0" localSheetId="91">'430'!$P$20:$P$27,'430'!$P$29,'430'!$P$31,'430'!$P$33,'430'!$P$35,'430'!$P$37,'430'!$P$39:$P$40,'430'!$P$42,'430'!$P$44,'430'!$P$46</definedName>
    <definedName name="OSRRefP22x_0" localSheetId="92">'433'!$P$26:$P$34,'433'!$P$36:$P$41,'433'!$P$43,'433'!$P$45,'433'!$P$47,'433'!$P$49,'433'!$P$51,'433'!$P$53,'433'!$P$55,'433'!$P$57,'433'!$P$59:$P$61,'433'!$P$63:$P$65,'433'!$P$67:$P$72,'433'!$P$74,'433'!$P$76,'433'!$P$78:$P$79</definedName>
    <definedName name="OSRRefP22x_0" localSheetId="93">'435'!$P$25:$P$27,'435'!$P$29:$P$30,'435'!$P$32,'435'!$P$34,'435'!$P$36,'435'!$P$38,'435'!$P$40:$P$43,'435'!$P$45</definedName>
    <definedName name="OSRRefP22x_0" localSheetId="94">'444'!$P$25:$P$33,'444'!$P$35:$P$40,'444'!$P$42,'444'!$P$44,'444'!$P$46,'444'!$P$48,'444'!$P$50,'444'!$P$52,'444'!$P$54,'444'!$P$56,'444'!$P$58,'444'!$P$60:$P$62,'444'!$P$64:$P$66,'444'!$P$68:$P$75,'444'!$P$77,'444'!$P$79,'444'!$P$81</definedName>
    <definedName name="OSRRefP22x_0" localSheetId="95">'450'!$P$25:$P$33,'450'!$P$35:$P$40,'450'!$P$42,'450'!$P$44,'450'!$P$46,'450'!$P$48,'450'!$P$50,'450'!$P$52,'450'!$P$54,'450'!$P$56,'450'!$P$58,'450'!$P$60:$P$61,'450'!$P$63:$P$65,'450'!$P$67:$P$73,'450'!$P$75,'450'!$P$77,'450'!$P$79:$P$80</definedName>
    <definedName name="OSRRefP22x_0" localSheetId="89">'455'!$P$20:$P$26,'455'!$P$28:$P$29,'455'!$P$31</definedName>
    <definedName name="OSRRefP22x_0" localSheetId="76">'491'!$P$33:$P$41,'491'!$P$43:$P$49,'491'!$P$51,'491'!$P$53,'491'!$P$55,'491'!$P$57:$P$59,'491'!$P$61,'491'!$P$63,'491'!$P$65,'491'!$P$67:$P$68,'491'!$P$70,'491'!$P$72,'491'!$P$74,'491'!$P$76,'491'!$P$78:$P$80,'491'!$P$82:$P$83,'491'!$P$85:$P$89,'491'!$P$91,'491'!$P$93:$P$100,'491'!$P$102,'491'!$P$104,'491'!$P$106:$P$108,'491'!$P$110</definedName>
    <definedName name="OSRRefP22x_0" localSheetId="90">'492'!$P$28:$P$36,'492'!$P$38:$P$44,'492'!$P$46,'492'!$P$48,'492'!$P$50,'492'!$P$52,'492'!$P$54,'492'!$P$56,'492'!$P$58,'492'!$P$60,'492'!$P$62,'492'!$P$64,'492'!$P$66:$P$68,'492'!$P$70:$P$72,'492'!$P$74:$P$81,'492'!$P$83,'492'!$P$85,'492'!$P$87:$P$88</definedName>
    <definedName name="OSRRefP22x_0" localSheetId="97">'501'!$P$21:$P$28,'501'!$P$30:$P$35,'501'!$P$37,'501'!$P$39,'501'!$P$41,'501'!$P$43,'501'!$P$45,'501'!$P$47,'501'!$P$49,'501'!$P$51,'501'!$P$53:$P$54,'501'!$P$56:$P$59,'501'!$P$61</definedName>
    <definedName name="OSRRefP22x_0" localSheetId="9">'Div 2'!$P$20:$P$30,'Div 2'!$P$32:$P$38,'Div 2'!$P$40,'Div 2'!$P$42,'Div 2'!$P$44,'Div 2'!$P$46:$P$47,'Div 2'!$P$49,'Div 2'!$P$51,'Div 2'!$P$53,'Div 2'!$P$55,'Div 2'!$P$57,'Div 2'!$P$59,'Div 2'!$P$61:$P$64,'Div 2'!$P$66:$P$68,'Div 2'!$P$70:$P$71,'Div 2'!$P$73,'Div 2'!$P$75:$P$78,'Div 2'!$P$80:$P$81,'Div 2'!$P$83,'Div 2'!$P$85:$P$86</definedName>
    <definedName name="OSRRefP22x_0" localSheetId="47">'Div 3'!$P$165:$P$173,'Div 3'!$P$175:$P$181,'Div 3'!$P$183,'Div 3'!$P$185:$P$186,'Div 3'!$P$188,'Div 3'!$P$190:$P$191,'Div 3'!$P$193:$P$194,'Div 3'!$P$196,'Div 3'!$P$198,'Div 3'!$P$200,'Div 3'!$P$202:$P$203,'Div 3'!$P$205,'Div 3'!$P$207,'Div 3'!$P$209,'Div 3'!$P$211,'Div 3'!$P$213,'Div 3'!$P$215,'Div 3'!$P$217:$P$219,'Div 3'!$P$221:$P$223,'Div 3'!$P$225:$P$229,'Div 3'!$P$231:$P$232,'Div 3'!$P$234:$P$240,'Div 3'!$P$242:$P$243,'Div 3'!$P$245,'Div 3'!$P$247:$P$249,'Div 3'!$P$251</definedName>
    <definedName name="OSRRefP22x_0" localSheetId="74">'Div 4'!$P$34:$P$42,'Div 4'!$P$44:$P$50,'Div 4'!$P$52,'Div 4'!$P$54,'Div 4'!$P$56,'Div 4'!$P$58:$P$60,'Div 4'!$P$62,'Div 4'!$P$64,'Div 4'!$P$66,'Div 4'!$P$68,'Div 4'!$P$70:$P$71,'Div 4'!$P$73,'Div 4'!$P$75,'Div 4'!$P$77,'Div 4'!$P$79,'Div 4'!$P$81,'Div 4'!$P$83:$P$85,'Div 4'!$P$87:$P$88,'Div 4'!$P$90:$P$94,'Div 4'!$P$96,'Div 4'!$P$98:$P$105,'Div 4'!$P$107,'Div 4'!$P$109,'Div 4'!$P$111:$P$113,'Div 4'!$P$115</definedName>
    <definedName name="OSRRefP22x_0" localSheetId="96">'Div 5'!$P$21:$P$28,'Div 5'!$P$30:$P$35,'Div 5'!$P$37,'Div 5'!$P$39,'Div 5'!$P$41,'Div 5'!$P$43,'Div 5'!$P$45,'Div 5'!$P$47,'Div 5'!$P$49,'Div 5'!$P$51,'Div 5'!$P$53:$P$54,'Div 5'!$P$56:$P$59,'Div 5'!$P$61</definedName>
    <definedName name="OSRRefP22x_0" localSheetId="63">'Div 6'!$P$57:$P$65,'Div 6'!$P$67:$P$70,'Div 6'!$P$72,'Div 6'!$P$74,'Div 6'!$P$76,'Div 6'!$P$78,'Div 6'!$P$80,'Div 6'!$P$82,'Div 6'!$P$84,'Div 6'!$P$86:$P$87,'Div 6'!$P$89,'Div 6'!$P$91,'Div 6'!$P$93</definedName>
    <definedName name="OSRRefP22x_0" localSheetId="2">Summary!$P$199:$P$207,Summary!$P$209:$P$215,Summary!$P$217,Summary!$P$219:$P$220,Summary!$P$222,Summary!$P$224:$P$226,Summary!$P$228:$P$229,Summary!$P$231,Summary!$P$233,Summary!$P$235,Summary!$P$237:$P$238,Summary!$P$240:$P$241,Summary!$P$243,Summary!$P$245,Summary!$P$247,Summary!$P$249,Summary!$P$251,Summary!$P$253,Summary!$P$255:$P$257,Summary!$P$259:$P$261,Summary!$P$263:$P$267,Summary!$P$269:$P$270,Summary!$P$272:$P$279,Summary!$P$281:$P$282,Summary!$P$284,Summary!$P$286:$P$288,Summary!$P$290</definedName>
    <definedName name="OSRRefP25x_0" localSheetId="48">'300'!$P$245:$P$252</definedName>
    <definedName name="OSRRefP25x_0" localSheetId="49">'300 &amp; 317'!$P$270:$P$279</definedName>
    <definedName name="OSRRefP25x_0" localSheetId="50">'301'!$P$90:$P$91</definedName>
    <definedName name="OSRRefP25x_0" localSheetId="54">'308'!$P$112:$P$114</definedName>
    <definedName name="OSRRefP25x_0" localSheetId="75">'310 &amp; 491'!$P$125:$P$127</definedName>
    <definedName name="OSRRefP25x_0" localSheetId="55">'311'!$P$111:$P$113</definedName>
    <definedName name="OSRRefP25x_0" localSheetId="58">'315'!$P$105</definedName>
    <definedName name="OSRRefP25x_0" localSheetId="61">'316'!$P$67</definedName>
    <definedName name="OSRRefP25x_0" localSheetId="64">'317'!$P$96:$P$98</definedName>
    <definedName name="OSRRefP25x_0" localSheetId="62">'320'!$P$58:$P$62</definedName>
    <definedName name="OSRRefP25x_0" localSheetId="57">'331'!$P$143</definedName>
    <definedName name="OSRRefP25x_0" localSheetId="60">'332'!$P$84:$P$89</definedName>
    <definedName name="OSRRefP25x_0" localSheetId="79">'411'!$P$84:$P$85</definedName>
    <definedName name="OSRRefP25x_0" localSheetId="81">'413'!$P$65</definedName>
    <definedName name="OSRRefP25x_0" localSheetId="84">'418'!$P$79</definedName>
    <definedName name="OSRRefP25x_0" localSheetId="86">'423'!$P$41</definedName>
    <definedName name="OSRRefP25x_0" localSheetId="87">'424'!$P$59</definedName>
    <definedName name="OSRRefP25x_0" localSheetId="88">'425'!$P$80</definedName>
    <definedName name="OSRRefP25x_0" localSheetId="89">'455'!$P$34:$P$35</definedName>
    <definedName name="OSRRefP25x_0" localSheetId="76">'491'!$P$113:$P$115</definedName>
    <definedName name="OSRRefP25x_0" localSheetId="97">'501'!$P$64:$P$65</definedName>
    <definedName name="OSRRefP25x_0" localSheetId="47">'Div 3'!$P$254:$P$261</definedName>
    <definedName name="OSRRefP25x_0" localSheetId="74">'Div 4'!$P$118:$P$120</definedName>
    <definedName name="OSRRefP25x_0" localSheetId="96">'Div 5'!$P$64:$P$65</definedName>
    <definedName name="OSRRefP25x_0" localSheetId="63">'Div 6'!$P$96:$P$98</definedName>
    <definedName name="OSRRefP25x_0" localSheetId="2">Summary!$P$293:$P$303</definedName>
    <definedName name="OSRRefT13x_0" localSheetId="48">'300'!$T$13:$T$103</definedName>
    <definedName name="OSRRefT13x_0" localSheetId="49">'300 &amp; 317'!$T$13:$T$121</definedName>
    <definedName name="OSRRefT13x_0" localSheetId="53">'307'!$T$13:$T$45</definedName>
    <definedName name="OSRRefT13x_0" localSheetId="54">'308'!$T$13:$T$39</definedName>
    <definedName name="OSRRefT13x_0" localSheetId="66">'309'!$T$13:$T$14</definedName>
    <definedName name="OSRRefT13x_0" localSheetId="65">'310'!$T$13:$T$22</definedName>
    <definedName name="OSRRefT13x_0" localSheetId="75">'310 &amp; 491'!$T$13:$T$30</definedName>
    <definedName name="OSRRefT13x_0" localSheetId="55">'311'!$T$13:$T$38</definedName>
    <definedName name="OSRRefT13x_0" localSheetId="67">'313'!$T$13:$T$19</definedName>
    <definedName name="OSRRefT13x_0" localSheetId="56">'314'!$T$13:$T$33</definedName>
    <definedName name="OSRRefT13x_0" localSheetId="58">'315'!$T$13:$T$32</definedName>
    <definedName name="OSRRefT13x_0" localSheetId="61">'316'!$T$13:$T$24</definedName>
    <definedName name="OSRRefT13x_0" localSheetId="64">'317'!$T$13:$T$36</definedName>
    <definedName name="OSRRefT13x_0" localSheetId="62">'320'!$T$13:$T$16</definedName>
    <definedName name="OSRRefT13x_0" localSheetId="68">'321'!$T$13:$T$14</definedName>
    <definedName name="OSRRefT13x_0" localSheetId="69">'322'!$T$13:$T$14</definedName>
    <definedName name="OSRRefT13x_0" localSheetId="71">'324'!$T$13:$T$15</definedName>
    <definedName name="OSRRefT13x_0" localSheetId="72">'325'!$T$13:$T$14</definedName>
    <definedName name="OSRRefT13x_0" localSheetId="59">'326'!$T$13:$T$34</definedName>
    <definedName name="OSRRefT13x_0" localSheetId="73">'327'!$T$13</definedName>
    <definedName name="OSRRefT13x_0" localSheetId="52">'330'!$T$13:$T$49</definedName>
    <definedName name="OSRRefT13x_0" localSheetId="57">'331'!$T$13:$T$42</definedName>
    <definedName name="OSRRefT13x_0" localSheetId="60">'332'!$T$13:$T$28</definedName>
    <definedName name="OSRRefT13x_0" localSheetId="77">'405'!$T$13:$T$14</definedName>
    <definedName name="OSRRefT13x_0" localSheetId="78">'406'!$T$13:$T$14</definedName>
    <definedName name="OSRRefT13x_0" localSheetId="80">'412'!$T$13:$T$15</definedName>
    <definedName name="OSRRefT13x_0" localSheetId="81">'413'!$T$13:$T$14</definedName>
    <definedName name="OSRRefT13x_0" localSheetId="82">'414'!$T$13:$T$14</definedName>
    <definedName name="OSRRefT13x_0" localSheetId="83">'415'!$T$13:$T$14</definedName>
    <definedName name="OSRRefT13x_0" localSheetId="84">'418'!$T$13:$T$14</definedName>
    <definedName name="OSRRefT13x_0" localSheetId="85">'420'!$T$13:$T$14</definedName>
    <definedName name="OSRRefT13x_0" localSheetId="87">'424'!$T$13:$T$14</definedName>
    <definedName name="OSRRefT13x_0" localSheetId="88">'425'!$T$13:$T$17</definedName>
    <definedName name="OSRRefT13x_0" localSheetId="92">'433'!$T$13:$T$16</definedName>
    <definedName name="OSRRefT13x_0" localSheetId="93">'435'!$T$13:$T$15</definedName>
    <definedName name="OSRRefT13x_0" localSheetId="94">'444'!$T$13:$T$15</definedName>
    <definedName name="OSRRefT13x_0" localSheetId="95">'450'!$T$13:$T$15</definedName>
    <definedName name="OSRRefT13x_0" localSheetId="76">'491'!$T$13:$T$23</definedName>
    <definedName name="OSRRefT13x_0" localSheetId="90">'492'!$T$13:$T$18</definedName>
    <definedName name="OSRRefT13x_0" localSheetId="97">'501'!$T$13</definedName>
    <definedName name="OSRRefT13x_0" localSheetId="47">'Div 3'!$T$13:$T$106</definedName>
    <definedName name="OSRRefT13x_0" localSheetId="74">'Div 4'!$T$13:$T$24</definedName>
    <definedName name="OSRRefT13x_0" localSheetId="96">'Div 5'!$T$13</definedName>
    <definedName name="OSRRefT13x_0" localSheetId="63">'Div 6'!$T$13:$T$36</definedName>
    <definedName name="OSRRefT13x_0" localSheetId="2">Summary!$T$13:$T$133</definedName>
    <definedName name="OSRRefT16x_0" localSheetId="48">'300'!$T$106:$T$154</definedName>
    <definedName name="OSRRefT16x_0" localSheetId="49">'300 &amp; 317'!$T$124:$T$179</definedName>
    <definedName name="OSRRefT16x_0" localSheetId="53">'307'!$T$48:$T$66</definedName>
    <definedName name="OSRRefT16x_0" localSheetId="54">'308'!$T$42:$T$56</definedName>
    <definedName name="OSRRefT16x_0" localSheetId="66">'309'!$T$17:$T$18</definedName>
    <definedName name="OSRRefT16x_0" localSheetId="65">'310'!$T$25:$T$26</definedName>
    <definedName name="OSRRefT16x_0" localSheetId="75">'310 &amp; 491'!$T$33:$T$34</definedName>
    <definedName name="OSRRefT16x_0" localSheetId="55">'311'!$T$41:$T$55</definedName>
    <definedName name="OSRRefT16x_0" localSheetId="67">'313'!$T$22:$T$23</definedName>
    <definedName name="OSRRefT16x_0" localSheetId="56">'314'!$T$36:$T$50</definedName>
    <definedName name="OSRRefT16x_0" localSheetId="58">'315'!$T$35:$T$49</definedName>
    <definedName name="OSRRefT16x_0" localSheetId="64">'317'!$T$39:$T$51</definedName>
    <definedName name="OSRRefT16x_0" localSheetId="62">'320'!$T$19:$T$23</definedName>
    <definedName name="OSRRefT16x_0" localSheetId="68">'321'!$T$17:$T$18</definedName>
    <definedName name="OSRRefT16x_0" localSheetId="69">'322'!$T$17:$T$18</definedName>
    <definedName name="OSRRefT16x_0" localSheetId="71">'324'!$T$18:$T$19</definedName>
    <definedName name="OSRRefT16x_0" localSheetId="72">'325'!$T$17:$T$18</definedName>
    <definedName name="OSRRefT16x_0" localSheetId="59">'326'!$T$37:$T$53</definedName>
    <definedName name="OSRRefT16x_0" localSheetId="73">'327'!$T$16</definedName>
    <definedName name="OSRRefT16x_0" localSheetId="52">'330'!$T$52:$T$74</definedName>
    <definedName name="OSRRefT16x_0" localSheetId="57">'331'!$T$45:$T$67</definedName>
    <definedName name="OSRRefT16x_0" localSheetId="60">'332'!$T$31:$T$35</definedName>
    <definedName name="OSRRefT16x_0" localSheetId="77">'405'!$T$17:$T$18</definedName>
    <definedName name="OSRRefT16x_0" localSheetId="78">'406'!$T$17:$T$18</definedName>
    <definedName name="OSRRefT16x_0" localSheetId="80">'412'!$T$18</definedName>
    <definedName name="OSRRefT16x_0" localSheetId="81">'413'!$T$17:$T$18</definedName>
    <definedName name="OSRRefT16x_0" localSheetId="82">'414'!$T$17:$T$18</definedName>
    <definedName name="OSRRefT16x_0" localSheetId="83">'415'!$T$17:$T$18</definedName>
    <definedName name="OSRRefT16x_0" localSheetId="84">'418'!$T$17:$T$18</definedName>
    <definedName name="OSRRefT16x_0" localSheetId="86">'423'!$T$15</definedName>
    <definedName name="OSRRefT16x_0" localSheetId="87">'424'!$T$17:$T$18</definedName>
    <definedName name="OSRRefT16x_0" localSheetId="88">'425'!$T$20:$T$21</definedName>
    <definedName name="OSRRefT16x_0" localSheetId="92">'433'!$T$19:$T$20</definedName>
    <definedName name="OSRRefT16x_0" localSheetId="93">'435'!$T$18:$T$19</definedName>
    <definedName name="OSRRefT16x_0" localSheetId="94">'444'!$T$18:$T$19</definedName>
    <definedName name="OSRRefT16x_0" localSheetId="95">'450'!$T$18:$T$19</definedName>
    <definedName name="OSRRefT16x_0" localSheetId="76">'491'!$T$26:$T$27</definedName>
    <definedName name="OSRRefT16x_0" localSheetId="90">'492'!$T$21:$T$22</definedName>
    <definedName name="OSRRefT16x_0" localSheetId="47">'Div 3'!$T$109:$T$159</definedName>
    <definedName name="OSRRefT16x_0" localSheetId="74">'Div 4'!$T$27:$T$28</definedName>
    <definedName name="OSRRefT16x_0" localSheetId="63">'Div 6'!$T$39:$T$51</definedName>
    <definedName name="OSRRefT16x_0" localSheetId="2">Summary!$T$136:$T$193</definedName>
    <definedName name="OSRRefT22_0x_0" localSheetId="40">'200'!$T$20</definedName>
    <definedName name="OSRRefT22_0x_0" localSheetId="41">'201'!$T$20:$T$28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'206'!$T$20:$T$27</definedName>
    <definedName name="OSRRefT22_0x_0" localSheetId="48">'300'!$T$160:$T$168</definedName>
    <definedName name="OSRRefT22_0x_0" localSheetId="49">'300 &amp; 317'!$T$185:$T$193</definedName>
    <definedName name="OSRRefT22_0x_0" localSheetId="50">'301'!$T$20:$T$27</definedName>
    <definedName name="OSRRefT22_0x_0" localSheetId="51">'306'!$T$20:$T$28</definedName>
    <definedName name="OSRRefT22_0x_0" localSheetId="53">'307'!$T$72:$T$79</definedName>
    <definedName name="OSRRefT22_0x_0" localSheetId="54">'308'!$T$62:$T$70</definedName>
    <definedName name="OSRRefT22_0x_0" localSheetId="66">'309'!$T$24:$T$31</definedName>
    <definedName name="OSRRefT22_0x_0" localSheetId="65">'310'!$T$32:$T$39</definedName>
    <definedName name="OSRRefT22_0x_0" localSheetId="75">'310 &amp; 491'!$T$40:$T$48</definedName>
    <definedName name="OSRRefT22_0x_0" localSheetId="55">'311'!$T$61:$T$69</definedName>
    <definedName name="OSRRefT22_0x_0" localSheetId="67">'313'!$T$29:$T$36</definedName>
    <definedName name="OSRRefT22_0x_0" localSheetId="56">'314'!$T$56:$T$62</definedName>
    <definedName name="OSRRefT22_0x_0" localSheetId="58">'315'!$T$55:$T$62</definedName>
    <definedName name="OSRRefT22_0x_0" localSheetId="61">'316'!$T$32:$T$39</definedName>
    <definedName name="OSRRefT22_0x_0" localSheetId="64">'317'!$T$57:$T$65</definedName>
    <definedName name="OSRRefT22_0x_0" localSheetId="62">'320'!$T$29:$T$35</definedName>
    <definedName name="OSRRefT22_0x_0" localSheetId="68">'321'!$T$24:$T$30</definedName>
    <definedName name="OSRRefT22_0x_0" localSheetId="69">'322'!$T$24:$T$31</definedName>
    <definedName name="OSRRefT22_0x_0" localSheetId="71">'324'!$T$25</definedName>
    <definedName name="OSRRefT22_0x_0" localSheetId="72">'325'!$T$24:$T$31</definedName>
    <definedName name="OSRRefT22_0x_0" localSheetId="59">'326'!$T$59:$T$66</definedName>
    <definedName name="OSRRefT22_0x_0" localSheetId="73">'327'!$T$22</definedName>
    <definedName name="OSRRefT22_0x_0" localSheetId="52">'330'!$T$80:$T$87</definedName>
    <definedName name="OSRRefT22_0x_0" localSheetId="57">'331'!$T$73:$T$80</definedName>
    <definedName name="OSRRefT22_0x_0" localSheetId="60">'332'!$T$41:$T$48</definedName>
    <definedName name="OSRRefT22_0x_0" localSheetId="77">'405'!$T$24:$T$31</definedName>
    <definedName name="OSRRefT22_0x_0" localSheetId="78">'406'!$T$24:$T$31</definedName>
    <definedName name="OSRRefT22_0x_0" localSheetId="79">'411'!$T$20:$T$28</definedName>
    <definedName name="OSRRefT22_0x_0" localSheetId="80">'412'!$T$24:$T$31</definedName>
    <definedName name="OSRRefT22_0x_0" localSheetId="81">'413'!$T$24:$T$31</definedName>
    <definedName name="OSRRefT22_0x_0" localSheetId="82">'414'!$T$24:$T$31</definedName>
    <definedName name="OSRRefT22_0x_0" localSheetId="83">'415'!$T$24:$T$31</definedName>
    <definedName name="OSRRefT22_0x_0" localSheetId="84">'418'!$T$24:$T$31</definedName>
    <definedName name="OSRRefT22_0x_0" localSheetId="85">'420'!$T$22:$T$28</definedName>
    <definedName name="OSRRefT22_0x_0" localSheetId="86">'423'!$T$21:$T$28</definedName>
    <definedName name="OSRRefT22_0x_0" localSheetId="87">'424'!$T$24:$T$26</definedName>
    <definedName name="OSRRefT22_0x_0" localSheetId="88">'425'!$T$27:$T$34</definedName>
    <definedName name="OSRRefT22_0x_0" localSheetId="91">'430'!$T$20:$T$27</definedName>
    <definedName name="OSRRefT22_0x_0" localSheetId="92">'433'!$T$26:$T$34</definedName>
    <definedName name="OSRRefT22_0x_0" localSheetId="93">'435'!$T$25:$T$27</definedName>
    <definedName name="OSRRefT22_0x_0" localSheetId="94">'444'!$T$25:$T$33</definedName>
    <definedName name="OSRRefT22_0x_0" localSheetId="95">'450'!$T$25:$T$33</definedName>
    <definedName name="OSRRefT22_0x_0" localSheetId="89">'455'!$T$20:$T$26</definedName>
    <definedName name="OSRRefT22_0x_0" localSheetId="76">'491'!$T$33:$T$41</definedName>
    <definedName name="OSRRefT22_0x_0" localSheetId="90">'492'!$T$28:$T$36</definedName>
    <definedName name="OSRRefT22_0x_0" localSheetId="97">'501'!$T$21:$T$28</definedName>
    <definedName name="OSRRefT22_0x_0" localSheetId="9">'Div 2'!$T$20:$T$30</definedName>
    <definedName name="OSRRefT22_0x_0" localSheetId="47">'Div 3'!$T$165:$T$173</definedName>
    <definedName name="OSRRefT22_0x_0" localSheetId="74">'Div 4'!$T$34:$T$42</definedName>
    <definedName name="OSRRefT22_0x_0" localSheetId="96">'Div 5'!$T$21:$T$28</definedName>
    <definedName name="OSRRefT22_0x_0" localSheetId="63">'Div 6'!$T$57:$T$65</definedName>
    <definedName name="OSRRefT22_0x_0" localSheetId="2">Summary!$T$199:$T$207</definedName>
    <definedName name="OSRRefT22_10x_0" localSheetId="41">'201'!$T$52:$T$54</definedName>
    <definedName name="OSRRefT22_10x_0" localSheetId="42">'202'!$T$52</definedName>
    <definedName name="OSRRefT22_10x_0" localSheetId="43">'203'!$T$54:$T$55</definedName>
    <definedName name="OSRRefT22_10x_0" localSheetId="44">'204'!$T$57:$T$58</definedName>
    <definedName name="OSRRefT22_10x_0" localSheetId="48">'300'!$T$197:$T$198</definedName>
    <definedName name="OSRRefT22_10x_0" localSheetId="49">'300 &amp; 317'!$T$222:$T$223</definedName>
    <definedName name="OSRRefT22_10x_0" localSheetId="50">'301'!$T$56</definedName>
    <definedName name="OSRRefT22_10x_0" localSheetId="53">'307'!$T$105:$T$106</definedName>
    <definedName name="OSRRefT22_10x_0" localSheetId="54">'308'!$T$97</definedName>
    <definedName name="OSRRefT22_10x_0" localSheetId="66">'309'!$T$57:$T$62</definedName>
    <definedName name="OSRRefT22_10x_0" localSheetId="65">'310'!$T$65</definedName>
    <definedName name="OSRRefT22_10x_0" localSheetId="75">'310 &amp; 491'!$T$76</definedName>
    <definedName name="OSRRefT22_10x_0" localSheetId="55">'311'!$T$96</definedName>
    <definedName name="OSRRefT22_10x_0" localSheetId="67">'313'!$T$62</definedName>
    <definedName name="OSRRefT22_10x_0" localSheetId="58">'315'!$T$90</definedName>
    <definedName name="OSRRefT22_10x_0" localSheetId="64">'317'!$T$89</definedName>
    <definedName name="OSRRefT22_10x_0" localSheetId="68">'321'!$T$62</definedName>
    <definedName name="OSRRefT22_10x_0" localSheetId="69">'322'!$T$56:$T$58</definedName>
    <definedName name="OSRRefT22_10x_0" localSheetId="72">'325'!$T$57</definedName>
    <definedName name="OSRRefT22_10x_0" localSheetId="59">'326'!$T$89</definedName>
    <definedName name="OSRRefT22_10x_0" localSheetId="52">'330'!$T$112:$T$113</definedName>
    <definedName name="OSRRefT22_10x_0" localSheetId="57">'331'!$T$106</definedName>
    <definedName name="OSRRefT22_10x_0" localSheetId="60">'332'!$T$73:$T$77</definedName>
    <definedName name="OSRRefT22_10x_0" localSheetId="77">'405'!$T$55:$T$56</definedName>
    <definedName name="OSRRefT22_10x_0" localSheetId="78">'406'!$T$58:$T$63</definedName>
    <definedName name="OSRRefT22_10x_0" localSheetId="79">'411'!$T$55:$T$57</definedName>
    <definedName name="OSRRefT22_10x_0" localSheetId="80">'412'!$T$57:$T$59</definedName>
    <definedName name="OSRRefT22_10x_0" localSheetId="81">'413'!$T$62</definedName>
    <definedName name="OSRRefT22_10x_0" localSheetId="82">'414'!$T$57</definedName>
    <definedName name="OSRRefT22_10x_0" localSheetId="83">'415'!$T$57</definedName>
    <definedName name="OSRRefT22_10x_0" localSheetId="84">'418'!$T$60:$T$62</definedName>
    <definedName name="OSRRefT22_10x_0" localSheetId="87">'424'!$T$50:$T$54</definedName>
    <definedName name="OSRRefT22_10x_0" localSheetId="88">'425'!$T$60</definedName>
    <definedName name="OSRRefT22_10x_0" localSheetId="92">'433'!$T$59:$T$61</definedName>
    <definedName name="OSRRefT22_10x_0" localSheetId="94">'444'!$T$58</definedName>
    <definedName name="OSRRefT22_10x_0" localSheetId="95">'450'!$T$58</definedName>
    <definedName name="OSRRefT22_10x_0" localSheetId="76">'491'!$T$70</definedName>
    <definedName name="OSRRefT22_10x_0" localSheetId="90">'492'!$T$62</definedName>
    <definedName name="OSRRefT22_10x_0" localSheetId="97">'501'!$T$53:$T$54</definedName>
    <definedName name="OSRRefT22_10x_0" localSheetId="9">'Div 2'!$T$57</definedName>
    <definedName name="OSRRefT22_10x_0" localSheetId="47">'Div 3'!$T$202:$T$203</definedName>
    <definedName name="OSRRefT22_10x_0" localSheetId="74">'Div 4'!$T$70:$T$71</definedName>
    <definedName name="OSRRefT22_10x_0" localSheetId="96">'Div 5'!$T$53:$T$54</definedName>
    <definedName name="OSRRefT22_10x_0" localSheetId="63">'Div 6'!$T$89</definedName>
    <definedName name="OSRRefT22_10x_0" localSheetId="2">Summary!$T$237:$T$238</definedName>
    <definedName name="OSRRefT22_11x_0" localSheetId="41">'201'!$T$56</definedName>
    <definedName name="OSRRefT22_11x_0" localSheetId="42">'202'!$T$54:$T$56</definedName>
    <definedName name="OSRRefT22_11x_0" localSheetId="43">'203'!$T$57</definedName>
    <definedName name="OSRRefT22_11x_0" localSheetId="48">'300'!$T$200</definedName>
    <definedName name="OSRRefT22_11x_0" localSheetId="49">'300 &amp; 317'!$T$225</definedName>
    <definedName name="OSRRefT22_11x_0" localSheetId="50">'301'!$T$58</definedName>
    <definedName name="OSRRefT22_11x_0" localSheetId="53">'307'!$T$108</definedName>
    <definedName name="OSRRefT22_11x_0" localSheetId="54">'308'!$T$99:$T$102</definedName>
    <definedName name="OSRRefT22_11x_0" localSheetId="66">'309'!$T$64</definedName>
    <definedName name="OSRRefT22_11x_0" localSheetId="65">'310'!$T$67</definedName>
    <definedName name="OSRRefT22_11x_0" localSheetId="75">'310 &amp; 491'!$T$78:$T$79</definedName>
    <definedName name="OSRRefT22_11x_0" localSheetId="55">'311'!$T$98:$T$101</definedName>
    <definedName name="OSRRefT22_11x_0" localSheetId="67">'313'!$T$64</definedName>
    <definedName name="OSRRefT22_11x_0" localSheetId="58">'315'!$T$92:$T$95</definedName>
    <definedName name="OSRRefT22_11x_0" localSheetId="64">'317'!$T$91</definedName>
    <definedName name="OSRRefT22_11x_0" localSheetId="68">'321'!$T$64</definedName>
    <definedName name="OSRRefT22_11x_0" localSheetId="69">'322'!$T$60:$T$65</definedName>
    <definedName name="OSRRefT22_11x_0" localSheetId="72">'325'!$T$59:$T$61</definedName>
    <definedName name="OSRRefT22_11x_0" localSheetId="59">'326'!$T$91</definedName>
    <definedName name="OSRRefT22_11x_0" localSheetId="52">'330'!$T$115</definedName>
    <definedName name="OSRRefT22_11x_0" localSheetId="57">'331'!$T$108</definedName>
    <definedName name="OSRRefT22_11x_0" localSheetId="60">'332'!$T$79</definedName>
    <definedName name="OSRRefT22_11x_0" localSheetId="77">'405'!$T$58</definedName>
    <definedName name="OSRRefT22_11x_0" localSheetId="78">'406'!$T$65</definedName>
    <definedName name="OSRRefT22_11x_0" localSheetId="79">'411'!$T$59:$T$63</definedName>
    <definedName name="OSRRefT22_11x_0" localSheetId="80">'412'!$T$61:$T$67</definedName>
    <definedName name="OSRRefT22_11x_0" localSheetId="82">'414'!$T$59</definedName>
    <definedName name="OSRRefT22_11x_0" localSheetId="83">'415'!$T$59:$T$61</definedName>
    <definedName name="OSRRefT22_11x_0" localSheetId="84">'418'!$T$64</definedName>
    <definedName name="OSRRefT22_11x_0" localSheetId="87">'424'!$T$56</definedName>
    <definedName name="OSRRefT22_11x_0" localSheetId="88">'425'!$T$62:$T$63</definedName>
    <definedName name="OSRRefT22_11x_0" localSheetId="92">'433'!$T$63:$T$65</definedName>
    <definedName name="OSRRefT22_11x_0" localSheetId="94">'444'!$T$60:$T$62</definedName>
    <definedName name="OSRRefT22_11x_0" localSheetId="95">'450'!$T$60:$T$61</definedName>
    <definedName name="OSRRefT22_11x_0" localSheetId="76">'491'!$T$72</definedName>
    <definedName name="OSRRefT22_11x_0" localSheetId="90">'492'!$T$64</definedName>
    <definedName name="OSRRefT22_11x_0" localSheetId="97">'501'!$T$56:$T$59</definedName>
    <definedName name="OSRRefT22_11x_0" localSheetId="9">'Div 2'!$T$59</definedName>
    <definedName name="OSRRefT22_11x_0" localSheetId="47">'Div 3'!$T$205</definedName>
    <definedName name="OSRRefT22_11x_0" localSheetId="74">'Div 4'!$T$73</definedName>
    <definedName name="OSRRefT22_11x_0" localSheetId="96">'Div 5'!$T$56:$T$59</definedName>
    <definedName name="OSRRefT22_11x_0" localSheetId="63">'Div 6'!$T$91</definedName>
    <definedName name="OSRRefT22_11x_0" localSheetId="2">Summary!$T$240:$T$241</definedName>
    <definedName name="OSRRefT22_12x_0" localSheetId="41">'201'!$T$58:$T$60</definedName>
    <definedName name="OSRRefT22_12x_0" localSheetId="42">'202'!$T$58</definedName>
    <definedName name="OSRRefT22_12x_0" localSheetId="43">'203'!$T$59:$T$61</definedName>
    <definedName name="OSRRefT22_12x_0" localSheetId="48">'300'!$T$202</definedName>
    <definedName name="OSRRefT22_12x_0" localSheetId="49">'300 &amp; 317'!$T$227</definedName>
    <definedName name="OSRRefT22_12x_0" localSheetId="50">'301'!$T$60</definedName>
    <definedName name="OSRRefT22_12x_0" localSheetId="53">'307'!$T$110</definedName>
    <definedName name="OSRRefT22_12x_0" localSheetId="54">'308'!$T$104:$T$105</definedName>
    <definedName name="OSRRefT22_12x_0" localSheetId="65">'310'!$T$69</definedName>
    <definedName name="OSRRefT22_12x_0" localSheetId="75">'310 &amp; 491'!$T$81</definedName>
    <definedName name="OSRRefT22_12x_0" localSheetId="55">'311'!$T$103:$T$104</definedName>
    <definedName name="OSRRefT22_12x_0" localSheetId="67">'313'!$T$66:$T$71</definedName>
    <definedName name="OSRRefT22_12x_0" localSheetId="58">'315'!$T$97</definedName>
    <definedName name="OSRRefT22_12x_0" localSheetId="64">'317'!$T$93</definedName>
    <definedName name="OSRRefT22_12x_0" localSheetId="69">'322'!$T$67</definedName>
    <definedName name="OSRRefT22_12x_0" localSheetId="72">'325'!$T$63:$T$65</definedName>
    <definedName name="OSRRefT22_12x_0" localSheetId="59">'326'!$T$93</definedName>
    <definedName name="OSRRefT22_12x_0" localSheetId="52">'330'!$T$117:$T$119</definedName>
    <definedName name="OSRRefT22_12x_0" localSheetId="57">'331'!$T$110</definedName>
    <definedName name="OSRRefT22_12x_0" localSheetId="60">'332'!$T$81</definedName>
    <definedName name="OSRRefT22_12x_0" localSheetId="77">'405'!$T$60:$T$62</definedName>
    <definedName name="OSRRefT22_12x_0" localSheetId="78">'406'!$T$67</definedName>
    <definedName name="OSRRefT22_12x_0" localSheetId="79">'411'!$T$65:$T$71</definedName>
    <definedName name="OSRRefT22_12x_0" localSheetId="80">'412'!$T$69</definedName>
    <definedName name="OSRRefT22_12x_0" localSheetId="82">'414'!$T$61:$T$67</definedName>
    <definedName name="OSRRefT22_12x_0" localSheetId="83">'415'!$T$63:$T$67</definedName>
    <definedName name="OSRRefT22_12x_0" localSheetId="84">'418'!$T$66:$T$72</definedName>
    <definedName name="OSRRefT22_12x_0" localSheetId="88">'425'!$T$65:$T$71</definedName>
    <definedName name="OSRRefT22_12x_0" localSheetId="92">'433'!$T$67:$T$72</definedName>
    <definedName name="OSRRefT22_12x_0" localSheetId="94">'444'!$T$64:$T$66</definedName>
    <definedName name="OSRRefT22_12x_0" localSheetId="95">'450'!$T$63:$T$65</definedName>
    <definedName name="OSRRefT22_12x_0" localSheetId="76">'491'!$T$74</definedName>
    <definedName name="OSRRefT22_12x_0" localSheetId="90">'492'!$T$66:$T$68</definedName>
    <definedName name="OSRRefT22_12x_0" localSheetId="97">'501'!$T$61</definedName>
    <definedName name="OSRRefT22_12x_0" localSheetId="9">'Div 2'!$T$61:$T$64</definedName>
    <definedName name="OSRRefT22_12x_0" localSheetId="47">'Div 3'!$T$207</definedName>
    <definedName name="OSRRefT22_12x_0" localSheetId="74">'Div 4'!$T$75</definedName>
    <definedName name="OSRRefT22_12x_0" localSheetId="96">'Div 5'!$T$61</definedName>
    <definedName name="OSRRefT22_12x_0" localSheetId="63">'Div 6'!$T$93</definedName>
    <definedName name="OSRRefT22_12x_0" localSheetId="2">Summary!$T$243</definedName>
    <definedName name="OSRRefT22_13x_0" localSheetId="41">'201'!$T$62</definedName>
    <definedName name="OSRRefT22_13x_0" localSheetId="42">'202'!$T$60</definedName>
    <definedName name="OSRRefT22_13x_0" localSheetId="43">'203'!$T$63</definedName>
    <definedName name="OSRRefT22_13x_0" localSheetId="48">'300'!$T$204</definedName>
    <definedName name="OSRRefT22_13x_0" localSheetId="49">'300 &amp; 317'!$T$229</definedName>
    <definedName name="OSRRefT22_13x_0" localSheetId="50">'301'!$T$62</definedName>
    <definedName name="OSRRefT22_13x_0" localSheetId="54">'308'!$T$107</definedName>
    <definedName name="OSRRefT22_13x_0" localSheetId="65">'310'!$T$71</definedName>
    <definedName name="OSRRefT22_13x_0" localSheetId="75">'310 &amp; 491'!$T$83</definedName>
    <definedName name="OSRRefT22_13x_0" localSheetId="55">'311'!$T$106</definedName>
    <definedName name="OSRRefT22_13x_0" localSheetId="67">'313'!$T$73</definedName>
    <definedName name="OSRRefT22_13x_0" localSheetId="58">'315'!$T$99</definedName>
    <definedName name="OSRRefT22_13x_0" localSheetId="69">'322'!$T$69</definedName>
    <definedName name="OSRRefT22_13x_0" localSheetId="72">'325'!$T$67</definedName>
    <definedName name="OSRRefT22_13x_0" localSheetId="59">'326'!$T$95:$T$96</definedName>
    <definedName name="OSRRefT22_13x_0" localSheetId="52">'330'!$T$121</definedName>
    <definedName name="OSRRefT22_13x_0" localSheetId="57">'331'!$T$112</definedName>
    <definedName name="OSRRefT22_13x_0" localSheetId="77">'405'!$T$64</definedName>
    <definedName name="OSRRefT22_13x_0" localSheetId="79">'411'!$T$73</definedName>
    <definedName name="OSRRefT22_13x_0" localSheetId="80">'412'!$T$71</definedName>
    <definedName name="OSRRefT22_13x_0" localSheetId="82">'414'!$T$69</definedName>
    <definedName name="OSRRefT22_13x_0" localSheetId="83">'415'!$T$69</definedName>
    <definedName name="OSRRefT22_13x_0" localSheetId="84">'418'!$T$74</definedName>
    <definedName name="OSRRefT22_13x_0" localSheetId="88">'425'!$T$73</definedName>
    <definedName name="OSRRefT22_13x_0" localSheetId="92">'433'!$T$74</definedName>
    <definedName name="OSRRefT22_13x_0" localSheetId="94">'444'!$T$68:$T$75</definedName>
    <definedName name="OSRRefT22_13x_0" localSheetId="95">'450'!$T$67:$T$73</definedName>
    <definedName name="OSRRefT22_13x_0" localSheetId="76">'491'!$T$76</definedName>
    <definedName name="OSRRefT22_13x_0" localSheetId="90">'492'!$T$70:$T$72</definedName>
    <definedName name="OSRRefT22_13x_0" localSheetId="9">'Div 2'!$T$66:$T$68</definedName>
    <definedName name="OSRRefT22_13x_0" localSheetId="47">'Div 3'!$T$209</definedName>
    <definedName name="OSRRefT22_13x_0" localSheetId="74">'Div 4'!$T$77</definedName>
    <definedName name="OSRRefT22_13x_0" localSheetId="2">Summary!$T$245</definedName>
    <definedName name="OSRRefT22_14x_0" localSheetId="41">'201'!$T$64</definedName>
    <definedName name="OSRRefT22_14x_0" localSheetId="43">'203'!$T$65</definedName>
    <definedName name="OSRRefT22_14x_0" localSheetId="48">'300'!$T$206</definedName>
    <definedName name="OSRRefT22_14x_0" localSheetId="49">'300 &amp; 317'!$T$231</definedName>
    <definedName name="OSRRefT22_14x_0" localSheetId="50">'301'!$T$64:$T$66</definedName>
    <definedName name="OSRRefT22_14x_0" localSheetId="54">'308'!$T$109</definedName>
    <definedName name="OSRRefT22_14x_0" localSheetId="65">'310'!$T$73:$T$75</definedName>
    <definedName name="OSRRefT22_14x_0" localSheetId="75">'310 &amp; 491'!$T$85</definedName>
    <definedName name="OSRRefT22_14x_0" localSheetId="55">'311'!$T$108</definedName>
    <definedName name="OSRRefT22_14x_0" localSheetId="67">'313'!$T$75</definedName>
    <definedName name="OSRRefT22_14x_0" localSheetId="58">'315'!$T$101:$T$102</definedName>
    <definedName name="OSRRefT22_14x_0" localSheetId="72">'325'!$T$69:$T$74</definedName>
    <definedName name="OSRRefT22_14x_0" localSheetId="59">'326'!$T$98:$T$100</definedName>
    <definedName name="OSRRefT22_14x_0" localSheetId="52">'330'!$T$123</definedName>
    <definedName name="OSRRefT22_14x_0" localSheetId="57">'331'!$T$114:$T$116</definedName>
    <definedName name="OSRRefT22_14x_0" localSheetId="77">'405'!$T$66:$T$72</definedName>
    <definedName name="OSRRefT22_14x_0" localSheetId="79">'411'!$T$75</definedName>
    <definedName name="OSRRefT22_14x_0" localSheetId="82">'414'!$T$71</definedName>
    <definedName name="OSRRefT22_14x_0" localSheetId="83">'415'!$T$71:$T$77</definedName>
    <definedName name="OSRRefT22_14x_0" localSheetId="84">'418'!$T$76</definedName>
    <definedName name="OSRRefT22_14x_0" localSheetId="88">'425'!$T$75</definedName>
    <definedName name="OSRRefT22_14x_0" localSheetId="92">'433'!$T$76</definedName>
    <definedName name="OSRRefT22_14x_0" localSheetId="94">'444'!$T$77</definedName>
    <definedName name="OSRRefT22_14x_0" localSheetId="95">'450'!$T$75</definedName>
    <definedName name="OSRRefT22_14x_0" localSheetId="76">'491'!$T$78:$T$80</definedName>
    <definedName name="OSRRefT22_14x_0" localSheetId="90">'492'!$T$74:$T$81</definedName>
    <definedName name="OSRRefT22_14x_0" localSheetId="9">'Div 2'!$T$70:$T$71</definedName>
    <definedName name="OSRRefT22_14x_0" localSheetId="47">'Div 3'!$T$211</definedName>
    <definedName name="OSRRefT22_14x_0" localSheetId="74">'Div 4'!$T$79</definedName>
    <definedName name="OSRRefT22_14x_0" localSheetId="2">Summary!$T$247</definedName>
    <definedName name="OSRRefT22_15x_0" localSheetId="41">'201'!$T$66:$T$67</definedName>
    <definedName name="OSRRefT22_15x_0" localSheetId="43">'203'!$T$67</definedName>
    <definedName name="OSRRefT22_15x_0" localSheetId="48">'300'!$T$208</definedName>
    <definedName name="OSRRefT22_15x_0" localSheetId="49">'300 &amp; 317'!$T$233</definedName>
    <definedName name="OSRRefT22_15x_0" localSheetId="50">'301'!$T$68:$T$70</definedName>
    <definedName name="OSRRefT22_15x_0" localSheetId="65">'310'!$T$77</definedName>
    <definedName name="OSRRefT22_15x_0" localSheetId="75">'310 &amp; 491'!$T$87</definedName>
    <definedName name="OSRRefT22_15x_0" localSheetId="72">'325'!$T$76</definedName>
    <definedName name="OSRRefT22_15x_0" localSheetId="59">'326'!$T$102</definedName>
    <definedName name="OSRRefT22_15x_0" localSheetId="57">'331'!$T$118:$T$119</definedName>
    <definedName name="OSRRefT22_15x_0" localSheetId="77">'405'!$T$74</definedName>
    <definedName name="OSRRefT22_15x_0" localSheetId="79">'411'!$T$77:$T$79</definedName>
    <definedName name="OSRRefT22_15x_0" localSheetId="83">'415'!$T$79</definedName>
    <definedName name="OSRRefT22_15x_0" localSheetId="88">'425'!$T$77</definedName>
    <definedName name="OSRRefT22_15x_0" localSheetId="92">'433'!$T$78:$T$79</definedName>
    <definedName name="OSRRefT22_15x_0" localSheetId="94">'444'!$T$79</definedName>
    <definedName name="OSRRefT22_15x_0" localSheetId="95">'450'!$T$77</definedName>
    <definedName name="OSRRefT22_15x_0" localSheetId="76">'491'!$T$82:$T$83</definedName>
    <definedName name="OSRRefT22_15x_0" localSheetId="90">'492'!$T$83</definedName>
    <definedName name="OSRRefT22_15x_0" localSheetId="9">'Div 2'!$T$73</definedName>
    <definedName name="OSRRefT22_15x_0" localSheetId="47">'Div 3'!$T$213</definedName>
    <definedName name="OSRRefT22_15x_0" localSheetId="74">'Div 4'!$T$81</definedName>
    <definedName name="OSRRefT22_15x_0" localSheetId="2">Summary!$T$249</definedName>
    <definedName name="OSRRefT22_16x_0" localSheetId="48">'300'!$T$210:$T$212</definedName>
    <definedName name="OSRRefT22_16x_0" localSheetId="49">'300 &amp; 317'!$T$235:$T$237</definedName>
    <definedName name="OSRRefT22_16x_0" localSheetId="50">'301'!$T$72</definedName>
    <definedName name="OSRRefT22_16x_0" localSheetId="65">'310'!$T$79:$T$82</definedName>
    <definedName name="OSRRefT22_16x_0" localSheetId="75">'310 &amp; 491'!$T$89:$T$91</definedName>
    <definedName name="OSRRefT22_16x_0" localSheetId="72">'325'!$T$78</definedName>
    <definedName name="OSRRefT22_16x_0" localSheetId="59">'326'!$T$104:$T$108</definedName>
    <definedName name="OSRRefT22_16x_0" localSheetId="57">'331'!$T$121:$T$123</definedName>
    <definedName name="OSRRefT22_16x_0" localSheetId="77">'405'!$T$76</definedName>
    <definedName name="OSRRefT22_16x_0" localSheetId="79">'411'!$T$81</definedName>
    <definedName name="OSRRefT22_16x_0" localSheetId="83">'415'!$T$81</definedName>
    <definedName name="OSRRefT22_16x_0" localSheetId="94">'444'!$T$81</definedName>
    <definedName name="OSRRefT22_16x_0" localSheetId="95">'450'!$T$79:$T$80</definedName>
    <definedName name="OSRRefT22_16x_0" localSheetId="76">'491'!$T$85:$T$89</definedName>
    <definedName name="OSRRefT22_16x_0" localSheetId="90">'492'!$T$85</definedName>
    <definedName name="OSRRefT22_16x_0" localSheetId="9">'Div 2'!$T$75:$T$78</definedName>
    <definedName name="OSRRefT22_16x_0" localSheetId="47">'Div 3'!$T$215</definedName>
    <definedName name="OSRRefT22_16x_0" localSheetId="74">'Div 4'!$T$83:$T$85</definedName>
    <definedName name="OSRRefT22_16x_0" localSheetId="2">Summary!$T$251</definedName>
    <definedName name="OSRRefT22_17x_0" localSheetId="48">'300'!$T$214:$T$216</definedName>
    <definedName name="OSRRefT22_17x_0" localSheetId="49">'300 &amp; 317'!$T$239:$T$241</definedName>
    <definedName name="OSRRefT22_17x_0" localSheetId="50">'301'!$T$74:$T$78</definedName>
    <definedName name="OSRRefT22_17x_0" localSheetId="65">'310'!$T$84:$T$85</definedName>
    <definedName name="OSRRefT22_17x_0" localSheetId="75">'310 &amp; 491'!$T$93:$T$94</definedName>
    <definedName name="OSRRefT22_17x_0" localSheetId="59">'326'!$T$110</definedName>
    <definedName name="OSRRefT22_17x_0" localSheetId="57">'331'!$T$125</definedName>
    <definedName name="OSRRefT22_17x_0" localSheetId="77">'405'!$T$78</definedName>
    <definedName name="OSRRefT22_17x_0" localSheetId="83">'415'!$T$83</definedName>
    <definedName name="OSRRefT22_17x_0" localSheetId="76">'491'!$T$91</definedName>
    <definedName name="OSRRefT22_17x_0" localSheetId="90">'492'!$T$87:$T$88</definedName>
    <definedName name="OSRRefT22_17x_0" localSheetId="9">'Div 2'!$T$80:$T$81</definedName>
    <definedName name="OSRRefT22_17x_0" localSheetId="47">'Div 3'!$T$217:$T$219</definedName>
    <definedName name="OSRRefT22_17x_0" localSheetId="74">'Div 4'!$T$87:$T$88</definedName>
    <definedName name="OSRRefT22_17x_0" localSheetId="2">Summary!$T$253</definedName>
    <definedName name="OSRRefT22_18x_0" localSheetId="48">'300'!$T$218:$T$221</definedName>
    <definedName name="OSRRefT22_18x_0" localSheetId="49">'300 &amp; 317'!$T$243:$T$246</definedName>
    <definedName name="OSRRefT22_18x_0" localSheetId="50">'301'!$T$80</definedName>
    <definedName name="OSRRefT22_18x_0" localSheetId="65">'310'!$T$87:$T$93</definedName>
    <definedName name="OSRRefT22_18x_0" localSheetId="75">'310 &amp; 491'!$T$96:$T$100</definedName>
    <definedName name="OSRRefT22_18x_0" localSheetId="59">'326'!$T$112</definedName>
    <definedName name="OSRRefT22_18x_0" localSheetId="57">'331'!$T$127:$T$131</definedName>
    <definedName name="OSRRefT22_18x_0" localSheetId="76">'491'!$T$93:$T$100</definedName>
    <definedName name="OSRRefT22_18x_0" localSheetId="9">'Div 2'!$T$83</definedName>
    <definedName name="OSRRefT22_18x_0" localSheetId="47">'Div 3'!$T$221:$T$223</definedName>
    <definedName name="OSRRefT22_18x_0" localSheetId="74">'Div 4'!$T$90:$T$94</definedName>
    <definedName name="OSRRefT22_18x_0" localSheetId="2">Summary!$T$255:$T$257</definedName>
    <definedName name="OSRRefT22_19x_0" localSheetId="48">'300'!$T$223:$T$224</definedName>
    <definedName name="OSRRefT22_19x_0" localSheetId="49">'300 &amp; 317'!$T$248:$T$249</definedName>
    <definedName name="OSRRefT22_19x_0" localSheetId="50">'301'!$T$82</definedName>
    <definedName name="OSRRefT22_19x_0" localSheetId="65">'310'!$T$95</definedName>
    <definedName name="OSRRefT22_19x_0" localSheetId="75">'310 &amp; 491'!$T$102:$T$103</definedName>
    <definedName name="OSRRefT22_19x_0" localSheetId="59">'326'!$T$114</definedName>
    <definedName name="OSRRefT22_19x_0" localSheetId="57">'331'!$T$133</definedName>
    <definedName name="OSRRefT22_19x_0" localSheetId="76">'491'!$T$102</definedName>
    <definedName name="OSRRefT22_19x_0" localSheetId="9">'Div 2'!$T$85:$T$86</definedName>
    <definedName name="OSRRefT22_19x_0" localSheetId="47">'Div 3'!$T$225:$T$229</definedName>
    <definedName name="OSRRefT22_19x_0" localSheetId="74">'Div 4'!$T$96</definedName>
    <definedName name="OSRRefT22_19x_0" localSheetId="2">Summary!$T$259:$T$261</definedName>
    <definedName name="OSRRefT22_1x_0" localSheetId="40">'200'!$T$22</definedName>
    <definedName name="OSRRefT22_1x_0" localSheetId="41">'201'!$T$30:$T$32</definedName>
    <definedName name="OSRRefT22_1x_0" localSheetId="42">'202'!$T$29:$T$32</definedName>
    <definedName name="OSRRefT22_1x_0" localSheetId="43">'203'!$T$31:$T$34</definedName>
    <definedName name="OSRRefT22_1x_0" localSheetId="44">'204'!$T$30:$T$34</definedName>
    <definedName name="OSRRefT22_1x_0" localSheetId="45">'205'!$T$29</definedName>
    <definedName name="OSRRefT22_1x_0" localSheetId="46">'206'!$T$29:$T$34</definedName>
    <definedName name="OSRRefT22_1x_0" localSheetId="48">'300'!$T$170:$T$176</definedName>
    <definedName name="OSRRefT22_1x_0" localSheetId="49">'300 &amp; 317'!$T$195:$T$201</definedName>
    <definedName name="OSRRefT22_1x_0" localSheetId="50">'301'!$T$29:$T$35</definedName>
    <definedName name="OSRRefT22_1x_0" localSheetId="51">'306'!$T$30:$T$34</definedName>
    <definedName name="OSRRefT22_1x_0" localSheetId="53">'307'!$T$81:$T$84</definedName>
    <definedName name="OSRRefT22_1x_0" localSheetId="54">'308'!$T$72:$T$76</definedName>
    <definedName name="OSRRefT22_1x_0" localSheetId="66">'309'!$T$33:$T$37</definedName>
    <definedName name="OSRRefT22_1x_0" localSheetId="65">'310'!$T$41:$T$46</definedName>
    <definedName name="OSRRefT22_1x_0" localSheetId="75">'310 &amp; 491'!$T$50:$T$56</definedName>
    <definedName name="OSRRefT22_1x_0" localSheetId="55">'311'!$T$71:$T$75</definedName>
    <definedName name="OSRRefT22_1x_0" localSheetId="67">'313'!$T$38:$T$42</definedName>
    <definedName name="OSRRefT22_1x_0" localSheetId="56">'314'!$T$64:$T$66</definedName>
    <definedName name="OSRRefT22_1x_0" localSheetId="58">'315'!$T$64:$T$68</definedName>
    <definedName name="OSRRefT22_1x_0" localSheetId="61">'316'!$T$41:$T$44</definedName>
    <definedName name="OSRRefT22_1x_0" localSheetId="64">'317'!$T$67:$T$70</definedName>
    <definedName name="OSRRefT22_1x_0" localSheetId="62">'320'!$T$37:$T$39</definedName>
    <definedName name="OSRRefT22_1x_0" localSheetId="68">'321'!$T$32:$T$36</definedName>
    <definedName name="OSRRefT22_1x_0" localSheetId="69">'322'!$T$33:$T$37</definedName>
    <definedName name="OSRRefT22_1x_0" localSheetId="72">'325'!$T$33:$T$38</definedName>
    <definedName name="OSRRefT22_1x_0" localSheetId="59">'326'!$T$68:$T$71</definedName>
    <definedName name="OSRRefT22_1x_0" localSheetId="73">'327'!$T$24</definedName>
    <definedName name="OSRRefT22_1x_0" localSheetId="52">'330'!$T$89:$T$92</definedName>
    <definedName name="OSRRefT22_1x_0" localSheetId="57">'331'!$T$82:$T$86</definedName>
    <definedName name="OSRRefT22_1x_0" localSheetId="60">'332'!$T$50:$T$53</definedName>
    <definedName name="OSRRefT22_1x_0" localSheetId="77">'405'!$T$33:$T$36</definedName>
    <definedName name="OSRRefT22_1x_0" localSheetId="78">'406'!$T$33:$T$37</definedName>
    <definedName name="OSRRefT22_1x_0" localSheetId="79">'411'!$T$30:$T$35</definedName>
    <definedName name="OSRRefT22_1x_0" localSheetId="80">'412'!$T$33:$T$38</definedName>
    <definedName name="OSRRefT22_1x_0" localSheetId="81">'413'!$T$33:$T$37</definedName>
    <definedName name="OSRRefT22_1x_0" localSheetId="82">'414'!$T$33:$T$38</definedName>
    <definedName name="OSRRefT22_1x_0" localSheetId="83">'415'!$T$33:$T$38</definedName>
    <definedName name="OSRRefT22_1x_0" localSheetId="84">'418'!$T$33:$T$38</definedName>
    <definedName name="OSRRefT22_1x_0" localSheetId="85">'420'!$T$30:$T$33</definedName>
    <definedName name="OSRRefT22_1x_0" localSheetId="86">'423'!$T$30</definedName>
    <definedName name="OSRRefT22_1x_0" localSheetId="87">'424'!$T$28:$T$31</definedName>
    <definedName name="OSRRefT22_1x_0" localSheetId="88">'425'!$T$36:$T$40</definedName>
    <definedName name="OSRRefT22_1x_0" localSheetId="91">'430'!$T$29</definedName>
    <definedName name="OSRRefT22_1x_0" localSheetId="92">'433'!$T$36:$T$41</definedName>
    <definedName name="OSRRefT22_1x_0" localSheetId="93">'435'!$T$29:$T$30</definedName>
    <definedName name="OSRRefT22_1x_0" localSheetId="94">'444'!$T$35:$T$40</definedName>
    <definedName name="OSRRefT22_1x_0" localSheetId="95">'450'!$T$35:$T$40</definedName>
    <definedName name="OSRRefT22_1x_0" localSheetId="89">'455'!$T$28:$T$29</definedName>
    <definedName name="OSRRefT22_1x_0" localSheetId="76">'491'!$T$43:$T$49</definedName>
    <definedName name="OSRRefT22_1x_0" localSheetId="90">'492'!$T$38:$T$44</definedName>
    <definedName name="OSRRefT22_1x_0" localSheetId="97">'501'!$T$30:$T$35</definedName>
    <definedName name="OSRRefT22_1x_0" localSheetId="9">'Div 2'!$T$32:$T$38</definedName>
    <definedName name="OSRRefT22_1x_0" localSheetId="47">'Div 3'!$T$175:$T$181</definedName>
    <definedName name="OSRRefT22_1x_0" localSheetId="74">'Div 4'!$T$44:$T$50</definedName>
    <definedName name="OSRRefT22_1x_0" localSheetId="96">'Div 5'!$T$30:$T$35</definedName>
    <definedName name="OSRRefT22_1x_0" localSheetId="63">'Div 6'!$T$67:$T$70</definedName>
    <definedName name="OSRRefT22_1x_0" localSheetId="2">Summary!$T$209:$T$215</definedName>
    <definedName name="OSRRefT22_20x_0" localSheetId="48">'300'!$T$226:$T$231</definedName>
    <definedName name="OSRRefT22_20x_0" localSheetId="49">'300 &amp; 317'!$T$251:$T$256</definedName>
    <definedName name="OSRRefT22_20x_0" localSheetId="50">'301'!$T$84:$T$85</definedName>
    <definedName name="OSRRefT22_20x_0" localSheetId="65">'310'!$T$97</definedName>
    <definedName name="OSRRefT22_20x_0" localSheetId="75">'310 &amp; 491'!$T$105:$T$112</definedName>
    <definedName name="OSRRefT22_20x_0" localSheetId="57">'331'!$T$135</definedName>
    <definedName name="OSRRefT22_20x_0" localSheetId="76">'491'!$T$104</definedName>
    <definedName name="OSRRefT22_20x_0" localSheetId="47">'Div 3'!$T$231:$T$232</definedName>
    <definedName name="OSRRefT22_20x_0" localSheetId="74">'Div 4'!$T$98:$T$105</definedName>
    <definedName name="OSRRefT22_20x_0" localSheetId="2">Summary!$T$263:$T$267</definedName>
    <definedName name="OSRRefT22_21x_0" localSheetId="48">'300'!$T$233:$T$234</definedName>
    <definedName name="OSRRefT22_21x_0" localSheetId="49">'300 &amp; 317'!$T$258:$T$259</definedName>
    <definedName name="OSRRefT22_21x_0" localSheetId="50">'301'!$T$87</definedName>
    <definedName name="OSRRefT22_21x_0" localSheetId="65">'310'!$T$99</definedName>
    <definedName name="OSRRefT22_21x_0" localSheetId="75">'310 &amp; 491'!$T$114</definedName>
    <definedName name="OSRRefT22_21x_0" localSheetId="57">'331'!$T$137:$T$138</definedName>
    <definedName name="OSRRefT22_21x_0" localSheetId="76">'491'!$T$106:$T$108</definedName>
    <definedName name="OSRRefT22_21x_0" localSheetId="47">'Div 3'!$T$234:$T$240</definedName>
    <definedName name="OSRRefT22_21x_0" localSheetId="74">'Div 4'!$T$107</definedName>
    <definedName name="OSRRefT22_21x_0" localSheetId="2">Summary!$T$269:$T$270</definedName>
    <definedName name="OSRRefT22_22x_0" localSheetId="48">'300'!$T$236</definedName>
    <definedName name="OSRRefT22_22x_0" localSheetId="49">'300 &amp; 317'!$T$261</definedName>
    <definedName name="OSRRefT22_22x_0" localSheetId="75">'310 &amp; 491'!$T$116</definedName>
    <definedName name="OSRRefT22_22x_0" localSheetId="57">'331'!$T$140</definedName>
    <definedName name="OSRRefT22_22x_0" localSheetId="76">'491'!$T$110</definedName>
    <definedName name="OSRRefT22_22x_0" localSheetId="47">'Div 3'!$T$242:$T$243</definedName>
    <definedName name="OSRRefT22_22x_0" localSheetId="74">'Div 4'!$T$109</definedName>
    <definedName name="OSRRefT22_22x_0" localSheetId="2">Summary!$T$272:$T$279</definedName>
    <definedName name="OSRRefT22_23x_0" localSheetId="48">'300'!$T$238:$T$240</definedName>
    <definedName name="OSRRefT22_23x_0" localSheetId="49">'300 &amp; 317'!$T$263:$T$265</definedName>
    <definedName name="OSRRefT22_23x_0" localSheetId="75">'310 &amp; 491'!$T$118:$T$120</definedName>
    <definedName name="OSRRefT22_23x_0" localSheetId="47">'Div 3'!$T$245</definedName>
    <definedName name="OSRRefT22_23x_0" localSheetId="74">'Div 4'!$T$111:$T$113</definedName>
    <definedName name="OSRRefT22_23x_0" localSheetId="2">Summary!$T$281:$T$282</definedName>
    <definedName name="OSRRefT22_24x_0" localSheetId="48">'300'!$T$242</definedName>
    <definedName name="OSRRefT22_24x_0" localSheetId="49">'300 &amp; 317'!$T$267</definedName>
    <definedName name="OSRRefT22_24x_0" localSheetId="75">'310 &amp; 491'!$T$122</definedName>
    <definedName name="OSRRefT22_24x_0" localSheetId="47">'Div 3'!$T$247:$T$249</definedName>
    <definedName name="OSRRefT22_24x_0" localSheetId="74">'Div 4'!$T$115</definedName>
    <definedName name="OSRRefT22_24x_0" localSheetId="2">Summary!$T$284</definedName>
    <definedName name="OSRRefT22_25x_0" localSheetId="47">'Div 3'!$T$251</definedName>
    <definedName name="OSRRefT22_25x_0" localSheetId="2">Summary!$T$286:$T$288</definedName>
    <definedName name="OSRRefT22_26x_0" localSheetId="2">Summary!$T$290</definedName>
    <definedName name="OSRRefT22_2x_0" localSheetId="40">'200'!$T$24</definedName>
    <definedName name="OSRRefT22_2x_0" localSheetId="41">'201'!$T$34</definedName>
    <definedName name="OSRRefT22_2x_0" localSheetId="42">'202'!$T$34</definedName>
    <definedName name="OSRRefT22_2x_0" localSheetId="43">'203'!$T$36</definedName>
    <definedName name="OSRRefT22_2x_0" localSheetId="44">'204'!$T$36</definedName>
    <definedName name="OSRRefT22_2x_0" localSheetId="45">'205'!$T$31</definedName>
    <definedName name="OSRRefT22_2x_0" localSheetId="46">'206'!$T$36</definedName>
    <definedName name="OSRRefT22_2x_0" localSheetId="48">'300'!$T$178</definedName>
    <definedName name="OSRRefT22_2x_0" localSheetId="49">'300 &amp; 317'!$T$203</definedName>
    <definedName name="OSRRefT22_2x_0" localSheetId="50">'301'!$T$37</definedName>
    <definedName name="OSRRefT22_2x_0" localSheetId="51">'306'!$T$36</definedName>
    <definedName name="OSRRefT22_2x_0" localSheetId="53">'307'!$T$86</definedName>
    <definedName name="OSRRefT22_2x_0" localSheetId="54">'308'!$T$78</definedName>
    <definedName name="OSRRefT22_2x_0" localSheetId="66">'309'!$T$39</definedName>
    <definedName name="OSRRefT22_2x_0" localSheetId="65">'310'!$T$48</definedName>
    <definedName name="OSRRefT22_2x_0" localSheetId="75">'310 &amp; 491'!$T$58</definedName>
    <definedName name="OSRRefT22_2x_0" localSheetId="55">'311'!$T$77</definedName>
    <definedName name="OSRRefT22_2x_0" localSheetId="67">'313'!$T$44</definedName>
    <definedName name="OSRRefT22_2x_0" localSheetId="56">'314'!$T$68</definedName>
    <definedName name="OSRRefT22_2x_0" localSheetId="58">'315'!$T$70</definedName>
    <definedName name="OSRRefT22_2x_0" localSheetId="61">'316'!$T$46</definedName>
    <definedName name="OSRRefT22_2x_0" localSheetId="64">'317'!$T$72</definedName>
    <definedName name="OSRRefT22_2x_0" localSheetId="62">'320'!$T$41</definedName>
    <definedName name="OSRRefT22_2x_0" localSheetId="68">'321'!$T$38</definedName>
    <definedName name="OSRRefT22_2x_0" localSheetId="69">'322'!$T$39</definedName>
    <definedName name="OSRRefT22_2x_0" localSheetId="72">'325'!$T$40</definedName>
    <definedName name="OSRRefT22_2x_0" localSheetId="59">'326'!$T$73</definedName>
    <definedName name="OSRRefT22_2x_0" localSheetId="73">'327'!$T$26</definedName>
    <definedName name="OSRRefT22_2x_0" localSheetId="52">'330'!$T$94</definedName>
    <definedName name="OSRRefT22_2x_0" localSheetId="57">'331'!$T$88</definedName>
    <definedName name="OSRRefT22_2x_0" localSheetId="60">'332'!$T$55</definedName>
    <definedName name="OSRRefT22_2x_0" localSheetId="77">'405'!$T$38</definedName>
    <definedName name="OSRRefT22_2x_0" localSheetId="78">'406'!$T$39</definedName>
    <definedName name="OSRRefT22_2x_0" localSheetId="79">'411'!$T$37</definedName>
    <definedName name="OSRRefT22_2x_0" localSheetId="80">'412'!$T$40</definedName>
    <definedName name="OSRRefT22_2x_0" localSheetId="81">'413'!$T$39</definedName>
    <definedName name="OSRRefT22_2x_0" localSheetId="82">'414'!$T$40</definedName>
    <definedName name="OSRRefT22_2x_0" localSheetId="83">'415'!$T$40</definedName>
    <definedName name="OSRRefT22_2x_0" localSheetId="84">'418'!$T$40</definedName>
    <definedName name="OSRRefT22_2x_0" localSheetId="85">'420'!$T$35</definedName>
    <definedName name="OSRRefT22_2x_0" localSheetId="86">'423'!$T$32</definedName>
    <definedName name="OSRRefT22_2x_0" localSheetId="87">'424'!$T$33</definedName>
    <definedName name="OSRRefT22_2x_0" localSheetId="88">'425'!$T$42</definedName>
    <definedName name="OSRRefT22_2x_0" localSheetId="91">'430'!$T$31</definedName>
    <definedName name="OSRRefT22_2x_0" localSheetId="92">'433'!$T$43</definedName>
    <definedName name="OSRRefT22_2x_0" localSheetId="93">'435'!$T$32</definedName>
    <definedName name="OSRRefT22_2x_0" localSheetId="94">'444'!$T$42</definedName>
    <definedName name="OSRRefT22_2x_0" localSheetId="95">'450'!$T$42</definedName>
    <definedName name="OSRRefT22_2x_0" localSheetId="89">'455'!$T$31</definedName>
    <definedName name="OSRRefT22_2x_0" localSheetId="76">'491'!$T$51</definedName>
    <definedName name="OSRRefT22_2x_0" localSheetId="90">'492'!$T$46</definedName>
    <definedName name="OSRRefT22_2x_0" localSheetId="97">'501'!$T$37</definedName>
    <definedName name="OSRRefT22_2x_0" localSheetId="9">'Div 2'!$T$40</definedName>
    <definedName name="OSRRefT22_2x_0" localSheetId="47">'Div 3'!$T$183</definedName>
    <definedName name="OSRRefT22_2x_0" localSheetId="74">'Div 4'!$T$52</definedName>
    <definedName name="OSRRefT22_2x_0" localSheetId="96">'Div 5'!$T$37</definedName>
    <definedName name="OSRRefT22_2x_0" localSheetId="63">'Div 6'!$T$72</definedName>
    <definedName name="OSRRefT22_2x_0" localSheetId="2">Summary!$T$217</definedName>
    <definedName name="OSRRefT22_3x_0" localSheetId="40">'200'!$T$26:$T$27</definedName>
    <definedName name="OSRRefT22_3x_0" localSheetId="41">'201'!$T$36</definedName>
    <definedName name="OSRRefT22_3x_0" localSheetId="42">'202'!$T$36</definedName>
    <definedName name="OSRRefT22_3x_0" localSheetId="43">'203'!$T$38</definedName>
    <definedName name="OSRRefT22_3x_0" localSheetId="44">'204'!$T$38:$T$39</definedName>
    <definedName name="OSRRefT22_3x_0" localSheetId="45">'205'!$T$33</definedName>
    <definedName name="OSRRefT22_3x_0" localSheetId="46">'206'!$T$38</definedName>
    <definedName name="OSRRefT22_3x_0" localSheetId="48">'300'!$T$180:$T$181</definedName>
    <definedName name="OSRRefT22_3x_0" localSheetId="49">'300 &amp; 317'!$T$205:$T$206</definedName>
    <definedName name="OSRRefT22_3x_0" localSheetId="50">'301'!$T$39:$T$40</definedName>
    <definedName name="OSRRefT22_3x_0" localSheetId="51">'306'!$T$38</definedName>
    <definedName name="OSRRefT22_3x_0" localSheetId="53">'307'!$T$88</definedName>
    <definedName name="OSRRefT22_3x_0" localSheetId="54">'308'!$T$80:$T$81</definedName>
    <definedName name="OSRRefT22_3x_0" localSheetId="66">'309'!$T$41</definedName>
    <definedName name="OSRRefT22_3x_0" localSheetId="65">'310'!$T$50</definedName>
    <definedName name="OSRRefT22_3x_0" localSheetId="75">'310 &amp; 491'!$T$60</definedName>
    <definedName name="OSRRefT22_3x_0" localSheetId="55">'311'!$T$79:$T$80</definedName>
    <definedName name="OSRRefT22_3x_0" localSheetId="67">'313'!$T$46</definedName>
    <definedName name="OSRRefT22_3x_0" localSheetId="56">'314'!$T$70:$T$71</definedName>
    <definedName name="OSRRefT22_3x_0" localSheetId="58">'315'!$T$72:$T$73</definedName>
    <definedName name="OSRRefT22_3x_0" localSheetId="61">'316'!$T$48</definedName>
    <definedName name="OSRRefT22_3x_0" localSheetId="64">'317'!$T$74</definedName>
    <definedName name="OSRRefT22_3x_0" localSheetId="62">'320'!$T$43</definedName>
    <definedName name="OSRRefT22_3x_0" localSheetId="68">'321'!$T$40</definedName>
    <definedName name="OSRRefT22_3x_0" localSheetId="69">'322'!$T$41</definedName>
    <definedName name="OSRRefT22_3x_0" localSheetId="72">'325'!$T$42</definedName>
    <definedName name="OSRRefT22_3x_0" localSheetId="59">'326'!$T$75</definedName>
    <definedName name="OSRRefT22_3x_0" localSheetId="52">'330'!$T$96</definedName>
    <definedName name="OSRRefT22_3x_0" localSheetId="57">'331'!$T$90</definedName>
    <definedName name="OSRRefT22_3x_0" localSheetId="60">'332'!$T$57</definedName>
    <definedName name="OSRRefT22_3x_0" localSheetId="77">'405'!$T$40</definedName>
    <definedName name="OSRRefT22_3x_0" localSheetId="78">'406'!$T$41</definedName>
    <definedName name="OSRRefT22_3x_0" localSheetId="79">'411'!$T$39:$T$41</definedName>
    <definedName name="OSRRefT22_3x_0" localSheetId="80">'412'!$T$42</definedName>
    <definedName name="OSRRefT22_3x_0" localSheetId="81">'413'!$T$41</definedName>
    <definedName name="OSRRefT22_3x_0" localSheetId="82">'414'!$T$42</definedName>
    <definedName name="OSRRefT22_3x_0" localSheetId="83">'415'!$T$42</definedName>
    <definedName name="OSRRefT22_3x_0" localSheetId="84">'418'!$T$42</definedName>
    <definedName name="OSRRefT22_3x_0" localSheetId="85">'420'!$T$37</definedName>
    <definedName name="OSRRefT22_3x_0" localSheetId="86">'423'!$T$34</definedName>
    <definedName name="OSRRefT22_3x_0" localSheetId="87">'424'!$T$35</definedName>
    <definedName name="OSRRefT22_3x_0" localSheetId="88">'425'!$T$44</definedName>
    <definedName name="OSRRefT22_3x_0" localSheetId="91">'430'!$T$33</definedName>
    <definedName name="OSRRefT22_3x_0" localSheetId="92">'433'!$T$45</definedName>
    <definedName name="OSRRefT22_3x_0" localSheetId="93">'435'!$T$34</definedName>
    <definedName name="OSRRefT22_3x_0" localSheetId="94">'444'!$T$44</definedName>
    <definedName name="OSRRefT22_3x_0" localSheetId="95">'450'!$T$44</definedName>
    <definedName name="OSRRefT22_3x_0" localSheetId="76">'491'!$T$53</definedName>
    <definedName name="OSRRefT22_3x_0" localSheetId="90">'492'!$T$48</definedName>
    <definedName name="OSRRefT22_3x_0" localSheetId="97">'501'!$T$39</definedName>
    <definedName name="OSRRefT22_3x_0" localSheetId="9">'Div 2'!$T$42</definedName>
    <definedName name="OSRRefT22_3x_0" localSheetId="47">'Div 3'!$T$185:$T$186</definedName>
    <definedName name="OSRRefT22_3x_0" localSheetId="74">'Div 4'!$T$54</definedName>
    <definedName name="OSRRefT22_3x_0" localSheetId="96">'Div 5'!$T$39</definedName>
    <definedName name="OSRRefT22_3x_0" localSheetId="63">'Div 6'!$T$74</definedName>
    <definedName name="OSRRefT22_3x_0" localSheetId="2">Summary!$T$219:$T$220</definedName>
    <definedName name="OSRRefT22_4x_0" localSheetId="41">'201'!$T$38</definedName>
    <definedName name="OSRRefT22_4x_0" localSheetId="42">'202'!$T$38</definedName>
    <definedName name="OSRRefT22_4x_0" localSheetId="43">'203'!$T$40</definedName>
    <definedName name="OSRRefT22_4x_0" localSheetId="44">'204'!$T$41</definedName>
    <definedName name="OSRRefT22_4x_0" localSheetId="45">'205'!$T$35:$T$36</definedName>
    <definedName name="OSRRefT22_4x_0" localSheetId="46">'206'!$T$40</definedName>
    <definedName name="OSRRefT22_4x_0" localSheetId="48">'300'!$T$183</definedName>
    <definedName name="OSRRefT22_4x_0" localSheetId="49">'300 &amp; 317'!$T$208</definedName>
    <definedName name="OSRRefT22_4x_0" localSheetId="50">'301'!$T$42</definedName>
    <definedName name="OSRRefT22_4x_0" localSheetId="51">'306'!$T$40</definedName>
    <definedName name="OSRRefT22_4x_0" localSheetId="53">'307'!$T$90:$T$91</definedName>
    <definedName name="OSRRefT22_4x_0" localSheetId="54">'308'!$T$83</definedName>
    <definedName name="OSRRefT22_4x_0" localSheetId="66">'309'!$T$43</definedName>
    <definedName name="OSRRefT22_4x_0" localSheetId="65">'310'!$T$52</definedName>
    <definedName name="OSRRefT22_4x_0" localSheetId="75">'310 &amp; 491'!$T$62</definedName>
    <definedName name="OSRRefT22_4x_0" localSheetId="55">'311'!$T$82</definedName>
    <definedName name="OSRRefT22_4x_0" localSheetId="67">'313'!$T$48</definedName>
    <definedName name="OSRRefT22_4x_0" localSheetId="56">'314'!$T$73</definedName>
    <definedName name="OSRRefT22_4x_0" localSheetId="58">'315'!$T$75</definedName>
    <definedName name="OSRRefT22_4x_0" localSheetId="61">'316'!$T$50</definedName>
    <definedName name="OSRRefT22_4x_0" localSheetId="64">'317'!$T$76</definedName>
    <definedName name="OSRRefT22_4x_0" localSheetId="62">'320'!$T$45:$T$46</definedName>
    <definedName name="OSRRefT22_4x_0" localSheetId="68">'321'!$T$42</definedName>
    <definedName name="OSRRefT22_4x_0" localSheetId="69">'322'!$T$43</definedName>
    <definedName name="OSRRefT22_4x_0" localSheetId="72">'325'!$T$44</definedName>
    <definedName name="OSRRefT22_4x_0" localSheetId="59">'326'!$T$77</definedName>
    <definedName name="OSRRefT22_4x_0" localSheetId="52">'330'!$T$98:$T$99</definedName>
    <definedName name="OSRRefT22_4x_0" localSheetId="57">'331'!$T$92</definedName>
    <definedName name="OSRRefT22_4x_0" localSheetId="60">'332'!$T$59</definedName>
    <definedName name="OSRRefT22_4x_0" localSheetId="77">'405'!$T$42</definedName>
    <definedName name="OSRRefT22_4x_0" localSheetId="78">'406'!$T$43</definedName>
    <definedName name="OSRRefT22_4x_0" localSheetId="79">'411'!$T$43</definedName>
    <definedName name="OSRRefT22_4x_0" localSheetId="80">'412'!$T$44</definedName>
    <definedName name="OSRRefT22_4x_0" localSheetId="81">'413'!$T$43</definedName>
    <definedName name="OSRRefT22_4x_0" localSheetId="82">'414'!$T$44</definedName>
    <definedName name="OSRRefT22_4x_0" localSheetId="83">'415'!$T$44</definedName>
    <definedName name="OSRRefT22_4x_0" localSheetId="84">'418'!$T$44</definedName>
    <definedName name="OSRRefT22_4x_0" localSheetId="86">'423'!$T$36</definedName>
    <definedName name="OSRRefT22_4x_0" localSheetId="87">'424'!$T$37</definedName>
    <definedName name="OSRRefT22_4x_0" localSheetId="88">'425'!$T$46</definedName>
    <definedName name="OSRRefT22_4x_0" localSheetId="91">'430'!$T$35</definedName>
    <definedName name="OSRRefT22_4x_0" localSheetId="92">'433'!$T$47</definedName>
    <definedName name="OSRRefT22_4x_0" localSheetId="93">'435'!$T$36</definedName>
    <definedName name="OSRRefT22_4x_0" localSheetId="94">'444'!$T$46</definedName>
    <definedName name="OSRRefT22_4x_0" localSheetId="95">'450'!$T$46</definedName>
    <definedName name="OSRRefT22_4x_0" localSheetId="76">'491'!$T$55</definedName>
    <definedName name="OSRRefT22_4x_0" localSheetId="90">'492'!$T$50</definedName>
    <definedName name="OSRRefT22_4x_0" localSheetId="97">'501'!$T$41</definedName>
    <definedName name="OSRRefT22_4x_0" localSheetId="9">'Div 2'!$T$44</definedName>
    <definedName name="OSRRefT22_4x_0" localSheetId="47">'Div 3'!$T$188</definedName>
    <definedName name="OSRRefT22_4x_0" localSheetId="74">'Div 4'!$T$56</definedName>
    <definedName name="OSRRefT22_4x_0" localSheetId="96">'Div 5'!$T$41</definedName>
    <definedName name="OSRRefT22_4x_0" localSheetId="63">'Div 6'!$T$76</definedName>
    <definedName name="OSRRefT22_4x_0" localSheetId="2">Summary!$T$222</definedName>
    <definedName name="OSRRefT22_5x_0" localSheetId="41">'201'!$T$40</definedName>
    <definedName name="OSRRefT22_5x_0" localSheetId="42">'202'!$T$40</definedName>
    <definedName name="OSRRefT22_5x_0" localSheetId="43">'203'!$T$42</definedName>
    <definedName name="OSRRefT22_5x_0" localSheetId="44">'204'!$T$43</definedName>
    <definedName name="OSRRefT22_5x_0" localSheetId="45">'205'!$T$38</definedName>
    <definedName name="OSRRefT22_5x_0" localSheetId="46">'206'!$T$42:$T$43</definedName>
    <definedName name="OSRRefT22_5x_0" localSheetId="48">'300'!$T$185:$T$186</definedName>
    <definedName name="OSRRefT22_5x_0" localSheetId="49">'300 &amp; 317'!$T$210:$T$211</definedName>
    <definedName name="OSRRefT22_5x_0" localSheetId="50">'301'!$T$44:$T$45</definedName>
    <definedName name="OSRRefT22_5x_0" localSheetId="51">'306'!$T$42</definedName>
    <definedName name="OSRRefT22_5x_0" localSheetId="53">'307'!$T$93</definedName>
    <definedName name="OSRRefT22_5x_0" localSheetId="54">'308'!$T$85</definedName>
    <definedName name="OSRRefT22_5x_0" localSheetId="66">'309'!$T$45</definedName>
    <definedName name="OSRRefT22_5x_0" localSheetId="65">'310'!$T$54:$T$55</definedName>
    <definedName name="OSRRefT22_5x_0" localSheetId="75">'310 &amp; 491'!$T$64:$T$66</definedName>
    <definedName name="OSRRefT22_5x_0" localSheetId="55">'311'!$T$84</definedName>
    <definedName name="OSRRefT22_5x_0" localSheetId="67">'313'!$T$50</definedName>
    <definedName name="OSRRefT22_5x_0" localSheetId="56">'314'!$T$75</definedName>
    <definedName name="OSRRefT22_5x_0" localSheetId="58">'315'!$T$77:$T$78</definedName>
    <definedName name="OSRRefT22_5x_0" localSheetId="61">'316'!$T$52:$T$53</definedName>
    <definedName name="OSRRefT22_5x_0" localSheetId="64">'317'!$T$78</definedName>
    <definedName name="OSRRefT22_5x_0" localSheetId="62">'320'!$T$48</definedName>
    <definedName name="OSRRefT22_5x_0" localSheetId="68">'321'!$T$44</definedName>
    <definedName name="OSRRefT22_5x_0" localSheetId="69">'322'!$T$45</definedName>
    <definedName name="OSRRefT22_5x_0" localSheetId="72">'325'!$T$46:$T$47</definedName>
    <definedName name="OSRRefT22_5x_0" localSheetId="59">'326'!$T$79</definedName>
    <definedName name="OSRRefT22_5x_0" localSheetId="52">'330'!$T$101</definedName>
    <definedName name="OSRRefT22_5x_0" localSheetId="57">'331'!$T$94:$T$95</definedName>
    <definedName name="OSRRefT22_5x_0" localSheetId="60">'332'!$T$61:$T$62</definedName>
    <definedName name="OSRRefT22_5x_0" localSheetId="77">'405'!$T$44:$T$45</definedName>
    <definedName name="OSRRefT22_5x_0" localSheetId="78">'406'!$T$45</definedName>
    <definedName name="OSRRefT22_5x_0" localSheetId="79">'411'!$T$45</definedName>
    <definedName name="OSRRefT22_5x_0" localSheetId="80">'412'!$T$46</definedName>
    <definedName name="OSRRefT22_5x_0" localSheetId="81">'413'!$T$45</definedName>
    <definedName name="OSRRefT22_5x_0" localSheetId="82">'414'!$T$46</definedName>
    <definedName name="OSRRefT22_5x_0" localSheetId="83">'415'!$T$46:$T$47</definedName>
    <definedName name="OSRRefT22_5x_0" localSheetId="84">'418'!$T$46:$T$47</definedName>
    <definedName name="OSRRefT22_5x_0" localSheetId="86">'423'!$T$38</definedName>
    <definedName name="OSRRefT22_5x_0" localSheetId="87">'424'!$T$39</definedName>
    <definedName name="OSRRefT22_5x_0" localSheetId="88">'425'!$T$48</definedName>
    <definedName name="OSRRefT22_5x_0" localSheetId="91">'430'!$T$37</definedName>
    <definedName name="OSRRefT22_5x_0" localSheetId="92">'433'!$T$49</definedName>
    <definedName name="OSRRefT22_5x_0" localSheetId="93">'435'!$T$38</definedName>
    <definedName name="OSRRefT22_5x_0" localSheetId="94">'444'!$T$48</definedName>
    <definedName name="OSRRefT22_5x_0" localSheetId="95">'450'!$T$48</definedName>
    <definedName name="OSRRefT22_5x_0" localSheetId="76">'491'!$T$57:$T$59</definedName>
    <definedName name="OSRRefT22_5x_0" localSheetId="90">'492'!$T$52</definedName>
    <definedName name="OSRRefT22_5x_0" localSheetId="97">'501'!$T$43</definedName>
    <definedName name="OSRRefT22_5x_0" localSheetId="9">'Div 2'!$T$46:$T$47</definedName>
    <definedName name="OSRRefT22_5x_0" localSheetId="47">'Div 3'!$T$190:$T$191</definedName>
    <definedName name="OSRRefT22_5x_0" localSheetId="74">'Div 4'!$T$58:$T$60</definedName>
    <definedName name="OSRRefT22_5x_0" localSheetId="96">'Div 5'!$T$43</definedName>
    <definedName name="OSRRefT22_5x_0" localSheetId="63">'Div 6'!$T$78</definedName>
    <definedName name="OSRRefT22_5x_0" localSheetId="2">Summary!$T$224:$T$226</definedName>
    <definedName name="OSRRefT22_6x_0" localSheetId="41">'201'!$T$42</definedName>
    <definedName name="OSRRefT22_6x_0" localSheetId="42">'202'!$T$42</definedName>
    <definedName name="OSRRefT22_6x_0" localSheetId="43">'203'!$T$44</definedName>
    <definedName name="OSRRefT22_6x_0" localSheetId="44">'204'!$T$45:$T$47</definedName>
    <definedName name="OSRRefT22_6x_0" localSheetId="45">'205'!$T$40:$T$41</definedName>
    <definedName name="OSRRefT22_6x_0" localSheetId="46">'206'!$T$45</definedName>
    <definedName name="OSRRefT22_6x_0" localSheetId="48">'300'!$T$188:$T$189</definedName>
    <definedName name="OSRRefT22_6x_0" localSheetId="49">'300 &amp; 317'!$T$213:$T$214</definedName>
    <definedName name="OSRRefT22_6x_0" localSheetId="50">'301'!$T$47:$T$48</definedName>
    <definedName name="OSRRefT22_6x_0" localSheetId="51">'306'!$T$44:$T$45</definedName>
    <definedName name="OSRRefT22_6x_0" localSheetId="53">'307'!$T$95</definedName>
    <definedName name="OSRRefT22_6x_0" localSheetId="54">'308'!$T$87:$T$88</definedName>
    <definedName name="OSRRefT22_6x_0" localSheetId="66">'309'!$T$47</definedName>
    <definedName name="OSRRefT22_6x_0" localSheetId="65">'310'!$T$57</definedName>
    <definedName name="OSRRefT22_6x_0" localSheetId="75">'310 &amp; 491'!$T$68</definedName>
    <definedName name="OSRRefT22_6x_0" localSheetId="55">'311'!$T$86:$T$87</definedName>
    <definedName name="OSRRefT22_6x_0" localSheetId="67">'313'!$T$52</definedName>
    <definedName name="OSRRefT22_6x_0" localSheetId="56">'314'!$T$77:$T$78</definedName>
    <definedName name="OSRRefT22_6x_0" localSheetId="58">'315'!$T$80</definedName>
    <definedName name="OSRRefT22_6x_0" localSheetId="61">'316'!$T$55</definedName>
    <definedName name="OSRRefT22_6x_0" localSheetId="64">'317'!$T$80</definedName>
    <definedName name="OSRRefT22_6x_0" localSheetId="62">'320'!$T$50</definedName>
    <definedName name="OSRRefT22_6x_0" localSheetId="68">'321'!$T$46:$T$48</definedName>
    <definedName name="OSRRefT22_6x_0" localSheetId="69">'322'!$T$47</definedName>
    <definedName name="OSRRefT22_6x_0" localSheetId="72">'325'!$T$49</definedName>
    <definedName name="OSRRefT22_6x_0" localSheetId="59">'326'!$T$81</definedName>
    <definedName name="OSRRefT22_6x_0" localSheetId="52">'330'!$T$103</definedName>
    <definedName name="OSRRefT22_6x_0" localSheetId="57">'331'!$T$97</definedName>
    <definedName name="OSRRefT22_6x_0" localSheetId="60">'332'!$T$64</definedName>
    <definedName name="OSRRefT22_6x_0" localSheetId="77">'405'!$T$47</definedName>
    <definedName name="OSRRefT22_6x_0" localSheetId="78">'406'!$T$47</definedName>
    <definedName name="OSRRefT22_6x_0" localSheetId="79">'411'!$T$47</definedName>
    <definedName name="OSRRefT22_6x_0" localSheetId="80">'412'!$T$48</definedName>
    <definedName name="OSRRefT22_6x_0" localSheetId="81">'413'!$T$47</definedName>
    <definedName name="OSRRefT22_6x_0" localSheetId="82">'414'!$T$48</definedName>
    <definedName name="OSRRefT22_6x_0" localSheetId="83">'415'!$T$49</definedName>
    <definedName name="OSRRefT22_6x_0" localSheetId="84">'418'!$T$49</definedName>
    <definedName name="OSRRefT22_6x_0" localSheetId="87">'424'!$T$41</definedName>
    <definedName name="OSRRefT22_6x_0" localSheetId="88">'425'!$T$50</definedName>
    <definedName name="OSRRefT22_6x_0" localSheetId="91">'430'!$T$39:$T$40</definedName>
    <definedName name="OSRRefT22_6x_0" localSheetId="92">'433'!$T$51</definedName>
    <definedName name="OSRRefT22_6x_0" localSheetId="93">'435'!$T$40:$T$43</definedName>
    <definedName name="OSRRefT22_6x_0" localSheetId="94">'444'!$T$50</definedName>
    <definedName name="OSRRefT22_6x_0" localSheetId="95">'450'!$T$50</definedName>
    <definedName name="OSRRefT22_6x_0" localSheetId="76">'491'!$T$61</definedName>
    <definedName name="OSRRefT22_6x_0" localSheetId="90">'492'!$T$54</definedName>
    <definedName name="OSRRefT22_6x_0" localSheetId="97">'501'!$T$45</definedName>
    <definedName name="OSRRefT22_6x_0" localSheetId="9">'Div 2'!$T$49</definedName>
    <definedName name="OSRRefT22_6x_0" localSheetId="47">'Div 3'!$T$193:$T$194</definedName>
    <definedName name="OSRRefT22_6x_0" localSheetId="74">'Div 4'!$T$62</definedName>
    <definedName name="OSRRefT22_6x_0" localSheetId="96">'Div 5'!$T$45</definedName>
    <definedName name="OSRRefT22_6x_0" localSheetId="63">'Div 6'!$T$80</definedName>
    <definedName name="OSRRefT22_6x_0" localSheetId="2">Summary!$T$228:$T$229</definedName>
    <definedName name="OSRRefT22_7x_0" localSheetId="41">'201'!$T$44</definedName>
    <definedName name="OSRRefT22_7x_0" localSheetId="42">'202'!$T$44</definedName>
    <definedName name="OSRRefT22_7x_0" localSheetId="43">'203'!$T$46</definedName>
    <definedName name="OSRRefT22_7x_0" localSheetId="44">'204'!$T$49:$T$50</definedName>
    <definedName name="OSRRefT22_7x_0" localSheetId="45">'205'!$T$43</definedName>
    <definedName name="OSRRefT22_7x_0" localSheetId="46">'206'!$T$47</definedName>
    <definedName name="OSRRefT22_7x_0" localSheetId="48">'300'!$T$191</definedName>
    <definedName name="OSRRefT22_7x_0" localSheetId="49">'300 &amp; 317'!$T$216</definedName>
    <definedName name="OSRRefT22_7x_0" localSheetId="50">'301'!$T$50</definedName>
    <definedName name="OSRRefT22_7x_0" localSheetId="51">'306'!$T$47:$T$50</definedName>
    <definedName name="OSRRefT22_7x_0" localSheetId="53">'307'!$T$97</definedName>
    <definedName name="OSRRefT22_7x_0" localSheetId="54">'308'!$T$90</definedName>
    <definedName name="OSRRefT22_7x_0" localSheetId="66">'309'!$T$49:$T$50</definedName>
    <definedName name="OSRRefT22_7x_0" localSheetId="65">'310'!$T$59</definedName>
    <definedName name="OSRRefT22_7x_0" localSheetId="75">'310 &amp; 491'!$T$70</definedName>
    <definedName name="OSRRefT22_7x_0" localSheetId="55">'311'!$T$89</definedName>
    <definedName name="OSRRefT22_7x_0" localSheetId="67">'313'!$T$54</definedName>
    <definedName name="OSRRefT22_7x_0" localSheetId="56">'314'!$T$80</definedName>
    <definedName name="OSRRefT22_7x_0" localSheetId="58">'315'!$T$82</definedName>
    <definedName name="OSRRefT22_7x_0" localSheetId="61">'316'!$T$57:$T$60</definedName>
    <definedName name="OSRRefT22_7x_0" localSheetId="64">'317'!$T$82</definedName>
    <definedName name="OSRRefT22_7x_0" localSheetId="62">'320'!$T$52:$T$53</definedName>
    <definedName name="OSRRefT22_7x_0" localSheetId="68">'321'!$T$50</definedName>
    <definedName name="OSRRefT22_7x_0" localSheetId="69">'322'!$T$49</definedName>
    <definedName name="OSRRefT22_7x_0" localSheetId="72">'325'!$T$51</definedName>
    <definedName name="OSRRefT22_7x_0" localSheetId="59">'326'!$T$83</definedName>
    <definedName name="OSRRefT22_7x_0" localSheetId="52">'330'!$T$105</definedName>
    <definedName name="OSRRefT22_7x_0" localSheetId="57">'331'!$T$99</definedName>
    <definedName name="OSRRefT22_7x_0" localSheetId="60">'332'!$T$66</definedName>
    <definedName name="OSRRefT22_7x_0" localSheetId="77">'405'!$T$49</definedName>
    <definedName name="OSRRefT22_7x_0" localSheetId="78">'406'!$T$49</definedName>
    <definedName name="OSRRefT22_7x_0" localSheetId="79">'411'!$T$49</definedName>
    <definedName name="OSRRefT22_7x_0" localSheetId="80">'412'!$T$50</definedName>
    <definedName name="OSRRefT22_7x_0" localSheetId="81">'413'!$T$49:$T$51</definedName>
    <definedName name="OSRRefT22_7x_0" localSheetId="82">'414'!$T$50</definedName>
    <definedName name="OSRRefT22_7x_0" localSheetId="83">'415'!$T$51</definedName>
    <definedName name="OSRRefT22_7x_0" localSheetId="84">'418'!$T$51</definedName>
    <definedName name="OSRRefT22_7x_0" localSheetId="87">'424'!$T$43:$T$44</definedName>
    <definedName name="OSRRefT22_7x_0" localSheetId="88">'425'!$T$52</definedName>
    <definedName name="OSRRefT22_7x_0" localSheetId="91">'430'!$T$42</definedName>
    <definedName name="OSRRefT22_7x_0" localSheetId="92">'433'!$T$53</definedName>
    <definedName name="OSRRefT22_7x_0" localSheetId="93">'435'!$T$45</definedName>
    <definedName name="OSRRefT22_7x_0" localSheetId="94">'444'!$T$52</definedName>
    <definedName name="OSRRefT22_7x_0" localSheetId="95">'450'!$T$52</definedName>
    <definedName name="OSRRefT22_7x_0" localSheetId="76">'491'!$T$63</definedName>
    <definedName name="OSRRefT22_7x_0" localSheetId="90">'492'!$T$56</definedName>
    <definedName name="OSRRefT22_7x_0" localSheetId="97">'501'!$T$47</definedName>
    <definedName name="OSRRefT22_7x_0" localSheetId="9">'Div 2'!$T$51</definedName>
    <definedName name="OSRRefT22_7x_0" localSheetId="47">'Div 3'!$T$196</definedName>
    <definedName name="OSRRefT22_7x_0" localSheetId="74">'Div 4'!$T$64</definedName>
    <definedName name="OSRRefT22_7x_0" localSheetId="96">'Div 5'!$T$47</definedName>
    <definedName name="OSRRefT22_7x_0" localSheetId="63">'Div 6'!$T$82</definedName>
    <definedName name="OSRRefT22_7x_0" localSheetId="2">Summary!$T$231</definedName>
    <definedName name="OSRRefT22_8x_0" localSheetId="41">'201'!$T$46</definedName>
    <definedName name="OSRRefT22_8x_0" localSheetId="42">'202'!$T$46:$T$48</definedName>
    <definedName name="OSRRefT22_8x_0" localSheetId="43">'203'!$T$48</definedName>
    <definedName name="OSRRefT22_8x_0" localSheetId="44">'204'!$T$52:$T$53</definedName>
    <definedName name="OSRRefT22_8x_0" localSheetId="45">'205'!$T$45</definedName>
    <definedName name="OSRRefT22_8x_0" localSheetId="48">'300'!$T$193</definedName>
    <definedName name="OSRRefT22_8x_0" localSheetId="49">'300 &amp; 317'!$T$218</definedName>
    <definedName name="OSRRefT22_8x_0" localSheetId="50">'301'!$T$52</definedName>
    <definedName name="OSRRefT22_8x_0" localSheetId="51">'306'!$T$52</definedName>
    <definedName name="OSRRefT22_8x_0" localSheetId="53">'307'!$T$99:$T$100</definedName>
    <definedName name="OSRRefT22_8x_0" localSheetId="54">'308'!$T$92</definedName>
    <definedName name="OSRRefT22_8x_0" localSheetId="66">'309'!$T$52:$T$53</definedName>
    <definedName name="OSRRefT22_8x_0" localSheetId="65">'310'!$T$61</definedName>
    <definedName name="OSRRefT22_8x_0" localSheetId="75">'310 &amp; 491'!$T$72</definedName>
    <definedName name="OSRRefT22_8x_0" localSheetId="55">'311'!$T$91</definedName>
    <definedName name="OSRRefT22_8x_0" localSheetId="67">'313'!$T$56</definedName>
    <definedName name="OSRRefT22_8x_0" localSheetId="58">'315'!$T$84:$T$85</definedName>
    <definedName name="OSRRefT22_8x_0" localSheetId="61">'316'!$T$62</definedName>
    <definedName name="OSRRefT22_8x_0" localSheetId="64">'317'!$T$84</definedName>
    <definedName name="OSRRefT22_8x_0" localSheetId="62">'320'!$T$55</definedName>
    <definedName name="OSRRefT22_8x_0" localSheetId="68">'321'!$T$52:$T$54</definedName>
    <definedName name="OSRRefT22_8x_0" localSheetId="69">'322'!$T$51</definedName>
    <definedName name="OSRRefT22_8x_0" localSheetId="72">'325'!$T$53</definedName>
    <definedName name="OSRRefT22_8x_0" localSheetId="59">'326'!$T$85</definedName>
    <definedName name="OSRRefT22_8x_0" localSheetId="52">'330'!$T$107</definedName>
    <definedName name="OSRRefT22_8x_0" localSheetId="57">'331'!$T$101:$T$102</definedName>
    <definedName name="OSRRefT22_8x_0" localSheetId="60">'332'!$T$68:$T$69</definedName>
    <definedName name="OSRRefT22_8x_0" localSheetId="77">'405'!$T$51</definedName>
    <definedName name="OSRRefT22_8x_0" localSheetId="78">'406'!$T$51:$T$53</definedName>
    <definedName name="OSRRefT22_8x_0" localSheetId="79">'411'!$T$51</definedName>
    <definedName name="OSRRefT22_8x_0" localSheetId="80">'412'!$T$52:$T$53</definedName>
    <definedName name="OSRRefT22_8x_0" localSheetId="81">'413'!$T$53:$T$54</definedName>
    <definedName name="OSRRefT22_8x_0" localSheetId="82">'414'!$T$52:$T$53</definedName>
    <definedName name="OSRRefT22_8x_0" localSheetId="83">'415'!$T$53</definedName>
    <definedName name="OSRRefT22_8x_0" localSheetId="84">'418'!$T$53:$T$54</definedName>
    <definedName name="OSRRefT22_8x_0" localSheetId="87">'424'!$T$46</definedName>
    <definedName name="OSRRefT22_8x_0" localSheetId="88">'425'!$T$54</definedName>
    <definedName name="OSRRefT22_8x_0" localSheetId="91">'430'!$T$44</definedName>
    <definedName name="OSRRefT22_8x_0" localSheetId="92">'433'!$T$55</definedName>
    <definedName name="OSRRefT22_8x_0" localSheetId="94">'444'!$T$54</definedName>
    <definedName name="OSRRefT22_8x_0" localSheetId="95">'450'!$T$54</definedName>
    <definedName name="OSRRefT22_8x_0" localSheetId="76">'491'!$T$65</definedName>
    <definedName name="OSRRefT22_8x_0" localSheetId="90">'492'!$T$58</definedName>
    <definedName name="OSRRefT22_8x_0" localSheetId="97">'501'!$T$49</definedName>
    <definedName name="OSRRefT22_8x_0" localSheetId="9">'Div 2'!$T$53</definedName>
    <definedName name="OSRRefT22_8x_0" localSheetId="47">'Div 3'!$T$198</definedName>
    <definedName name="OSRRefT22_8x_0" localSheetId="74">'Div 4'!$T$66</definedName>
    <definedName name="OSRRefT22_8x_0" localSheetId="96">'Div 5'!$T$49</definedName>
    <definedName name="OSRRefT22_8x_0" localSheetId="63">'Div 6'!$T$84</definedName>
    <definedName name="OSRRefT22_8x_0" localSheetId="2">Summary!$T$233</definedName>
    <definedName name="OSRRefT22_9x_0" localSheetId="41">'201'!$T$48:$T$50</definedName>
    <definedName name="OSRRefT22_9x_0" localSheetId="42">'202'!$T$50</definedName>
    <definedName name="OSRRefT22_9x_0" localSheetId="43">'203'!$T$50:$T$52</definedName>
    <definedName name="OSRRefT22_9x_0" localSheetId="44">'204'!$T$55</definedName>
    <definedName name="OSRRefT22_9x_0" localSheetId="48">'300'!$T$195</definedName>
    <definedName name="OSRRefT22_9x_0" localSheetId="49">'300 &amp; 317'!$T$220</definedName>
    <definedName name="OSRRefT22_9x_0" localSheetId="50">'301'!$T$54</definedName>
    <definedName name="OSRRefT22_9x_0" localSheetId="51">'306'!$T$54</definedName>
    <definedName name="OSRRefT22_9x_0" localSheetId="53">'307'!$T$102:$T$103</definedName>
    <definedName name="OSRRefT22_9x_0" localSheetId="54">'308'!$T$94:$T$95</definedName>
    <definedName name="OSRRefT22_9x_0" localSheetId="66">'309'!$T$55</definedName>
    <definedName name="OSRRefT22_9x_0" localSheetId="65">'310'!$T$63</definedName>
    <definedName name="OSRRefT22_9x_0" localSheetId="75">'310 &amp; 491'!$T$74</definedName>
    <definedName name="OSRRefT22_9x_0" localSheetId="55">'311'!$T$93:$T$94</definedName>
    <definedName name="OSRRefT22_9x_0" localSheetId="67">'313'!$T$58:$T$60</definedName>
    <definedName name="OSRRefT22_9x_0" localSheetId="58">'315'!$T$87:$T$88</definedName>
    <definedName name="OSRRefT22_9x_0" localSheetId="61">'316'!$T$64</definedName>
    <definedName name="OSRRefT22_9x_0" localSheetId="64">'317'!$T$86:$T$87</definedName>
    <definedName name="OSRRefT22_9x_0" localSheetId="68">'321'!$T$56:$T$60</definedName>
    <definedName name="OSRRefT22_9x_0" localSheetId="69">'322'!$T$53:$T$54</definedName>
    <definedName name="OSRRefT22_9x_0" localSheetId="72">'325'!$T$55</definedName>
    <definedName name="OSRRefT22_9x_0" localSheetId="59">'326'!$T$87</definedName>
    <definedName name="OSRRefT22_9x_0" localSheetId="52">'330'!$T$109:$T$110</definedName>
    <definedName name="OSRRefT22_9x_0" localSheetId="57">'331'!$T$104</definedName>
    <definedName name="OSRRefT22_9x_0" localSheetId="60">'332'!$T$71</definedName>
    <definedName name="OSRRefT22_9x_0" localSheetId="77">'405'!$T$53</definedName>
    <definedName name="OSRRefT22_9x_0" localSheetId="78">'406'!$T$55:$T$56</definedName>
    <definedName name="OSRRefT22_9x_0" localSheetId="79">'411'!$T$53</definedName>
    <definedName name="OSRRefT22_9x_0" localSheetId="80">'412'!$T$55</definedName>
    <definedName name="OSRRefT22_9x_0" localSheetId="81">'413'!$T$56:$T$60</definedName>
    <definedName name="OSRRefT22_9x_0" localSheetId="82">'414'!$T$55</definedName>
    <definedName name="OSRRefT22_9x_0" localSheetId="83">'415'!$T$55</definedName>
    <definedName name="OSRRefT22_9x_0" localSheetId="84">'418'!$T$56:$T$58</definedName>
    <definedName name="OSRRefT22_9x_0" localSheetId="87">'424'!$T$48</definedName>
    <definedName name="OSRRefT22_9x_0" localSheetId="88">'425'!$T$56:$T$58</definedName>
    <definedName name="OSRRefT22_9x_0" localSheetId="91">'430'!$T$46</definedName>
    <definedName name="OSRRefT22_9x_0" localSheetId="92">'433'!$T$57</definedName>
    <definedName name="OSRRefT22_9x_0" localSheetId="94">'444'!$T$56</definedName>
    <definedName name="OSRRefT22_9x_0" localSheetId="95">'450'!$T$56</definedName>
    <definedName name="OSRRefT22_9x_0" localSheetId="76">'491'!$T$67:$T$68</definedName>
    <definedName name="OSRRefT22_9x_0" localSheetId="90">'492'!$T$60</definedName>
    <definedName name="OSRRefT22_9x_0" localSheetId="97">'501'!$T$51</definedName>
    <definedName name="OSRRefT22_9x_0" localSheetId="9">'Div 2'!$T$55</definedName>
    <definedName name="OSRRefT22_9x_0" localSheetId="47">'Div 3'!$T$200</definedName>
    <definedName name="OSRRefT22_9x_0" localSheetId="74">'Div 4'!$T$68</definedName>
    <definedName name="OSRRefT22_9x_0" localSheetId="96">'Div 5'!$T$51</definedName>
    <definedName name="OSRRefT22_9x_0" localSheetId="63">'Div 6'!$T$86:$T$87</definedName>
    <definedName name="OSRRefT22_9x_0" localSheetId="2">Summary!$T$235</definedName>
    <definedName name="OSRRefT22x_0" localSheetId="40">'200'!$T$20,'200'!$T$22,'200'!$T$24,'200'!$T$26:$T$27</definedName>
    <definedName name="OSRRefT22x_0" localSheetId="41">'201'!$T$20:$T$28,'201'!$T$30:$T$32,'201'!$T$34,'201'!$T$36,'201'!$T$38,'201'!$T$40,'201'!$T$42,'201'!$T$44,'201'!$T$46,'201'!$T$48:$T$50,'201'!$T$52:$T$54,'201'!$T$56,'201'!$T$58:$T$60,'201'!$T$62,'201'!$T$64,'201'!$T$66:$T$67</definedName>
    <definedName name="OSRRefT22x_0" localSheetId="42">'202'!$T$20:$T$27,'202'!$T$29:$T$32,'202'!$T$34,'202'!$T$36,'202'!$T$38,'202'!$T$40,'202'!$T$42,'202'!$T$44,'202'!$T$46:$T$48,'202'!$T$50,'202'!$T$52,'202'!$T$54:$T$56,'202'!$T$58,'202'!$T$60</definedName>
    <definedName name="OSRRefT22x_0" localSheetId="43">'203'!$T$20:$T$29,'203'!$T$31:$T$34,'203'!$T$36,'203'!$T$38,'203'!$T$40,'203'!$T$42,'203'!$T$44,'203'!$T$46,'203'!$T$48,'203'!$T$50:$T$52,'203'!$T$54:$T$55,'203'!$T$57,'203'!$T$59:$T$61,'203'!$T$63,'203'!$T$65,'203'!$T$67</definedName>
    <definedName name="OSRRefT22x_0" localSheetId="44">'204'!$T$20:$T$28,'204'!$T$30:$T$34,'204'!$T$36,'204'!$T$38:$T$39,'204'!$T$41,'204'!$T$43,'204'!$T$45:$T$47,'204'!$T$49:$T$50,'204'!$T$52:$T$53,'204'!$T$55,'204'!$T$57:$T$58</definedName>
    <definedName name="OSRRefT22x_0" localSheetId="45">'205'!$T$20:$T$27,'205'!$T$29,'205'!$T$31,'205'!$T$33,'205'!$T$35:$T$36,'205'!$T$38,'205'!$T$40:$T$41,'205'!$T$43,'205'!$T$45</definedName>
    <definedName name="OSRRefT22x_0" localSheetId="46">'206'!$T$20:$T$27,'206'!$T$29:$T$34,'206'!$T$36,'206'!$T$38,'206'!$T$40,'206'!$T$42:$T$43,'206'!$T$45,'206'!$T$47</definedName>
    <definedName name="OSRRefT22x_0" localSheetId="48">'300'!$T$160:$T$168,'300'!$T$170:$T$176,'300'!$T$178,'300'!$T$180:$T$181,'300'!$T$183,'300'!$T$185:$T$186,'300'!$T$188:$T$189,'300'!$T$191,'300'!$T$193,'300'!$T$195,'300'!$T$197:$T$198,'300'!$T$200,'300'!$T$202,'300'!$T$204,'300'!$T$206,'300'!$T$208,'300'!$T$210:$T$212,'300'!$T$214:$T$216,'300'!$T$218:$T$221,'300'!$T$223:$T$224,'300'!$T$226:$T$231,'300'!$T$233:$T$234,'300'!$T$236,'300'!$T$238:$T$240,'300'!$T$242</definedName>
    <definedName name="OSRRefT22x_0" localSheetId="49">'300 &amp; 317'!$T$185:$T$193,'300 &amp; 317'!$T$195:$T$201,'300 &amp; 317'!$T$203,'300 &amp; 317'!$T$205:$T$206,'300 &amp; 317'!$T$208,'300 &amp; 317'!$T$210:$T$211,'300 &amp; 317'!$T$213:$T$214,'300 &amp; 317'!$T$216,'300 &amp; 317'!$T$218,'300 &amp; 317'!$T$220,'300 &amp; 317'!$T$222:$T$223,'300 &amp; 317'!$T$225,'300 &amp; 317'!$T$227,'300 &amp; 317'!$T$229,'300 &amp; 317'!$T$231,'300 &amp; 317'!$T$233,'300 &amp; 317'!$T$235:$T$237,'300 &amp; 317'!$T$239:$T$241,'300 &amp; 317'!$T$243:$T$246,'300 &amp; 317'!$T$248:$T$249,'300 &amp; 317'!$T$251:$T$256,'300 &amp; 317'!$T$258:$T$259,'300 &amp; 317'!$T$261,'300 &amp; 317'!$T$263:$T$265,'300 &amp; 317'!$T$267</definedName>
    <definedName name="OSRRefT22x_0" localSheetId="50">'301'!$T$20:$T$27,'301'!$T$29:$T$35,'301'!$T$37,'301'!$T$39:$T$40,'301'!$T$42,'301'!$T$44:$T$45,'301'!$T$47:$T$48,'301'!$T$50,'301'!$T$52,'301'!$T$54,'301'!$T$56,'301'!$T$58,'301'!$T$60,'301'!$T$62,'301'!$T$64:$T$66,'301'!$T$68:$T$70,'301'!$T$72,'301'!$T$74:$T$78,'301'!$T$80,'301'!$T$82,'301'!$T$84:$T$85,'301'!$T$87</definedName>
    <definedName name="OSRRefT22x_0" localSheetId="51">'306'!$T$20:$T$28,'306'!$T$30:$T$34,'306'!$T$36,'306'!$T$38,'306'!$T$40,'306'!$T$42,'306'!$T$44:$T$45,'306'!$T$47:$T$50,'306'!$T$52,'306'!$T$54</definedName>
    <definedName name="OSRRefT22x_0" localSheetId="53">'307'!$T$72:$T$79,'307'!$T$81:$T$84,'307'!$T$86,'307'!$T$88,'307'!$T$90:$T$91,'307'!$T$93,'307'!$T$95,'307'!$T$97,'307'!$T$99:$T$100,'307'!$T$102:$T$103,'307'!$T$105:$T$106,'307'!$T$108,'307'!$T$110</definedName>
    <definedName name="OSRRefT22x_0" localSheetId="54">'308'!$T$62:$T$70,'308'!$T$72:$T$76,'308'!$T$78,'308'!$T$80:$T$81,'308'!$T$83,'308'!$T$85,'308'!$T$87:$T$88,'308'!$T$90,'308'!$T$92,'308'!$T$94:$T$95,'308'!$T$97,'308'!$T$99:$T$102,'308'!$T$104:$T$105,'308'!$T$107,'308'!$T$109</definedName>
    <definedName name="OSRRefT22x_0" localSheetId="66">'309'!$T$24:$T$31,'309'!$T$33:$T$37,'309'!$T$39,'309'!$T$41,'309'!$T$43,'309'!$T$45,'309'!$T$47,'309'!$T$49:$T$50,'309'!$T$52:$T$53,'309'!$T$55,'309'!$T$57:$T$62,'309'!$T$64</definedName>
    <definedName name="OSRRefT22x_0" localSheetId="65">'310'!$T$32:$T$39,'310'!$T$41:$T$46,'310'!$T$48,'310'!$T$50,'310'!$T$52,'310'!$T$54:$T$55,'310'!$T$57,'310'!$T$59,'310'!$T$61,'310'!$T$63,'310'!$T$65,'310'!$T$67,'310'!$T$69,'310'!$T$71,'310'!$T$73:$T$75,'310'!$T$77,'310'!$T$79:$T$82,'310'!$T$84:$T$85,'310'!$T$87:$T$93,'310'!$T$95,'310'!$T$97,'310'!$T$99</definedName>
    <definedName name="OSRRefT22x_0" localSheetId="75">'310 &amp; 491'!$T$40:$T$48,'310 &amp; 491'!$T$50:$T$56,'310 &amp; 491'!$T$58,'310 &amp; 491'!$T$60,'310 &amp; 491'!$T$62,'310 &amp; 491'!$T$64:$T$66,'310 &amp; 491'!$T$68,'310 &amp; 491'!$T$70,'310 &amp; 491'!$T$72,'310 &amp; 491'!$T$74,'310 &amp; 491'!$T$76,'310 &amp; 491'!$T$78:$T$79,'310 &amp; 491'!$T$81,'310 &amp; 491'!$T$83,'310 &amp; 491'!$T$85,'310 &amp; 491'!$T$87,'310 &amp; 491'!$T$89:$T$91,'310 &amp; 491'!$T$93:$T$94,'310 &amp; 491'!$T$96:$T$100,'310 &amp; 491'!$T$102:$T$103,'310 &amp; 491'!$T$105:$T$112,'310 &amp; 491'!$T$114,'310 &amp; 491'!$T$116,'310 &amp; 491'!$T$118:$T$120,'310 &amp; 491'!$T$122</definedName>
    <definedName name="OSRRefT22x_0" localSheetId="55">'311'!$T$61:$T$69,'311'!$T$71:$T$75,'311'!$T$77,'311'!$T$79:$T$80,'311'!$T$82,'311'!$T$84,'311'!$T$86:$T$87,'311'!$T$89,'311'!$T$91,'311'!$T$93:$T$94,'311'!$T$96,'311'!$T$98:$T$101,'311'!$T$103:$T$104,'311'!$T$106,'311'!$T$108</definedName>
    <definedName name="OSRRefT22x_0" localSheetId="67">'313'!$T$29:$T$36,'313'!$T$38:$T$42,'313'!$T$44,'313'!$T$46,'313'!$T$48,'313'!$T$50,'313'!$T$52,'313'!$T$54,'313'!$T$56,'313'!$T$58:$T$60,'313'!$T$62,'313'!$T$64,'313'!$T$66:$T$71,'313'!$T$73,'313'!$T$75</definedName>
    <definedName name="OSRRefT22x_0" localSheetId="56">'314'!$T$56:$T$62,'314'!$T$64:$T$66,'314'!$T$68,'314'!$T$70:$T$71,'314'!$T$73,'314'!$T$75,'314'!$T$77:$T$78,'314'!$T$80</definedName>
    <definedName name="OSRRefT22x_0" localSheetId="58">'315'!$T$55:$T$62,'315'!$T$64:$T$68,'315'!$T$70,'315'!$T$72:$T$73,'315'!$T$75,'315'!$T$77:$T$78,'315'!$T$80,'315'!$T$82,'315'!$T$84:$T$85,'315'!$T$87:$T$88,'315'!$T$90,'315'!$T$92:$T$95,'315'!$T$97,'315'!$T$99,'315'!$T$101:$T$102</definedName>
    <definedName name="OSRRefT22x_0" localSheetId="61">'316'!$T$32:$T$39,'316'!$T$41:$T$44,'316'!$T$46,'316'!$T$48,'316'!$T$50,'316'!$T$52:$T$53,'316'!$T$55,'316'!$T$57:$T$60,'316'!$T$62,'316'!$T$64</definedName>
    <definedName name="OSRRefT22x_0" localSheetId="64">'317'!$T$57:$T$65,'317'!$T$67:$T$70,'317'!$T$72,'317'!$T$74,'317'!$T$76,'317'!$T$78,'317'!$T$80,'317'!$T$82,'317'!$T$84,'317'!$T$86:$T$87,'317'!$T$89,'317'!$T$91,'317'!$T$93</definedName>
    <definedName name="OSRRefT22x_0" localSheetId="62">'320'!$T$29:$T$35,'320'!$T$37:$T$39,'320'!$T$41,'320'!$T$43,'320'!$T$45:$T$46,'320'!$T$48,'320'!$T$50,'320'!$T$52:$T$53,'320'!$T$55</definedName>
    <definedName name="OSRRefT22x_0" localSheetId="68">'321'!$T$24:$T$30,'321'!$T$32:$T$36,'321'!$T$38,'321'!$T$40,'321'!$T$42,'321'!$T$44,'321'!$T$46:$T$48,'321'!$T$50,'321'!$T$52:$T$54,'321'!$T$56:$T$60,'321'!$T$62,'321'!$T$64</definedName>
    <definedName name="OSRRefT22x_0" localSheetId="69">'322'!$T$24:$T$31,'322'!$T$33:$T$37,'322'!$T$39,'322'!$T$41,'322'!$T$43,'322'!$T$45,'322'!$T$47,'322'!$T$49,'322'!$T$51,'322'!$T$53:$T$54,'322'!$T$56:$T$58,'322'!$T$60:$T$65,'322'!$T$67,'322'!$T$69</definedName>
    <definedName name="OSRRefT22x_0" localSheetId="71">'324'!$T$25</definedName>
    <definedName name="OSRRefT22x_0" localSheetId="72">'325'!$T$24:$T$31,'325'!$T$33:$T$38,'325'!$T$40,'325'!$T$42,'325'!$T$44,'325'!$T$46:$T$47,'325'!$T$49,'325'!$T$51,'325'!$T$53,'325'!$T$55,'325'!$T$57,'325'!$T$59:$T$61,'325'!$T$63:$T$65,'325'!$T$67,'325'!$T$69:$T$74,'325'!$T$76,'325'!$T$78</definedName>
    <definedName name="OSRRefT22x_0" localSheetId="59">'326'!$T$59:$T$66,'326'!$T$68:$T$71,'326'!$T$73,'326'!$T$75,'326'!$T$77,'326'!$T$79,'326'!$T$81,'326'!$T$83,'326'!$T$85,'326'!$T$87,'326'!$T$89,'326'!$T$91,'326'!$T$93,'326'!$T$95:$T$96,'326'!$T$98:$T$100,'326'!$T$102,'326'!$T$104:$T$108,'326'!$T$110,'326'!$T$112,'326'!$T$114</definedName>
    <definedName name="OSRRefT22x_0" localSheetId="73">'327'!$T$22,'327'!$T$24,'327'!$T$26</definedName>
    <definedName name="OSRRefT22x_0" localSheetId="52">'330'!$T$80:$T$87,'330'!$T$89:$T$92,'330'!$T$94,'330'!$T$96,'330'!$T$98:$T$99,'330'!$T$101,'330'!$T$103,'330'!$T$105,'330'!$T$107,'330'!$T$109:$T$110,'330'!$T$112:$T$113,'330'!$T$115,'330'!$T$117:$T$119,'330'!$T$121,'330'!$T$123</definedName>
    <definedName name="OSRRefT22x_0" localSheetId="57">'331'!$T$73:$T$80,'331'!$T$82:$T$86,'331'!$T$88,'331'!$T$90,'331'!$T$92,'331'!$T$94:$T$95,'331'!$T$97,'331'!$T$99,'331'!$T$101:$T$102,'331'!$T$104,'331'!$T$106,'331'!$T$108,'331'!$T$110,'331'!$T$112,'331'!$T$114:$T$116,'331'!$T$118:$T$119,'331'!$T$121:$T$123,'331'!$T$125,'331'!$T$127:$T$131,'331'!$T$133,'331'!$T$135,'331'!$T$137:$T$138,'331'!$T$140</definedName>
    <definedName name="OSRRefT22x_0" localSheetId="60">'332'!$T$41:$T$48,'332'!$T$50:$T$53,'332'!$T$55,'332'!$T$57,'332'!$T$59,'332'!$T$61:$T$62,'332'!$T$64,'332'!$T$66,'332'!$T$68:$T$69,'332'!$T$71,'332'!$T$73:$T$77,'332'!$T$79,'332'!$T$81</definedName>
    <definedName name="OSRRefT22x_0" localSheetId="77">'405'!$T$24:$T$31,'405'!$T$33:$T$36,'405'!$T$38,'405'!$T$40,'405'!$T$42,'405'!$T$44:$T$45,'405'!$T$47,'405'!$T$49,'405'!$T$51,'405'!$T$53,'405'!$T$55:$T$56,'405'!$T$58,'405'!$T$60:$T$62,'405'!$T$64,'405'!$T$66:$T$72,'405'!$T$74,'405'!$T$76,'405'!$T$78</definedName>
    <definedName name="OSRRefT22x_0" localSheetId="78">'406'!$T$24:$T$31,'406'!$T$33:$T$37,'406'!$T$39,'406'!$T$41,'406'!$T$43,'406'!$T$45,'406'!$T$47,'406'!$T$49,'406'!$T$51:$T$53,'406'!$T$55:$T$56,'406'!$T$58:$T$63,'406'!$T$65,'406'!$T$67</definedName>
    <definedName name="OSRRefT22x_0" localSheetId="79">'411'!$T$20:$T$28,'411'!$T$30:$T$35,'411'!$T$37,'411'!$T$39:$T$41,'411'!$T$43,'411'!$T$45,'411'!$T$47,'411'!$T$49,'411'!$T$51,'411'!$T$53,'411'!$T$55:$T$57,'411'!$T$59:$T$63,'411'!$T$65:$T$71,'411'!$T$73,'411'!$T$75,'411'!$T$77:$T$79,'411'!$T$81</definedName>
    <definedName name="OSRRefT22x_0" localSheetId="80">'412'!$T$24:$T$31,'412'!$T$33:$T$38,'412'!$T$40,'412'!$T$42,'412'!$T$44,'412'!$T$46,'412'!$T$48,'412'!$T$50,'412'!$T$52:$T$53,'412'!$T$55,'412'!$T$57:$T$59,'412'!$T$61:$T$67,'412'!$T$69,'412'!$T$71</definedName>
    <definedName name="OSRRefT22x_0" localSheetId="81">'413'!$T$24:$T$31,'413'!$T$33:$T$37,'413'!$T$39,'413'!$T$41,'413'!$T$43,'413'!$T$45,'413'!$T$47,'413'!$T$49:$T$51,'413'!$T$53:$T$54,'413'!$T$56:$T$60,'413'!$T$62</definedName>
    <definedName name="OSRRefT22x_0" localSheetId="82">'414'!$T$24:$T$31,'414'!$T$33:$T$38,'414'!$T$40,'414'!$T$42,'414'!$T$44,'414'!$T$46,'414'!$T$48,'414'!$T$50,'414'!$T$52:$T$53,'414'!$T$55,'414'!$T$57,'414'!$T$59,'414'!$T$61:$T$67,'414'!$T$69,'414'!$T$71</definedName>
    <definedName name="OSRRefT22x_0" localSheetId="83">'415'!$T$24:$T$31,'415'!$T$33:$T$38,'415'!$T$40,'415'!$T$42,'415'!$T$44,'415'!$T$46:$T$47,'415'!$T$49,'415'!$T$51,'415'!$T$53,'415'!$T$55,'415'!$T$57,'415'!$T$59:$T$61,'415'!$T$63:$T$67,'415'!$T$69,'415'!$T$71:$T$77,'415'!$T$79,'415'!$T$81,'415'!$T$83</definedName>
    <definedName name="OSRRefT22x_0" localSheetId="84">'418'!$T$24:$T$31,'418'!$T$33:$T$38,'418'!$T$40,'418'!$T$42,'418'!$T$44,'418'!$T$46:$T$47,'418'!$T$49,'418'!$T$51,'418'!$T$53:$T$54,'418'!$T$56:$T$58,'418'!$T$60:$T$62,'418'!$T$64,'418'!$T$66:$T$72,'418'!$T$74,'418'!$T$76</definedName>
    <definedName name="OSRRefT22x_0" localSheetId="85">'420'!$T$22:$T$28,'420'!$T$30:$T$33,'420'!$T$35,'420'!$T$37</definedName>
    <definedName name="OSRRefT22x_0" localSheetId="86">'423'!$T$21:$T$28,'423'!$T$30,'423'!$T$32,'423'!$T$34,'423'!$T$36,'423'!$T$38</definedName>
    <definedName name="OSRRefT22x_0" localSheetId="87">'424'!$T$24:$T$26,'424'!$T$28:$T$31,'424'!$T$33,'424'!$T$35,'424'!$T$37,'424'!$T$39,'424'!$T$41,'424'!$T$43:$T$44,'424'!$T$46,'424'!$T$48,'424'!$T$50:$T$54,'424'!$T$56</definedName>
    <definedName name="OSRRefT22x_0" localSheetId="88">'425'!$T$27:$T$34,'425'!$T$36:$T$40,'425'!$T$42,'425'!$T$44,'425'!$T$46,'425'!$T$48,'425'!$T$50,'425'!$T$52,'425'!$T$54,'425'!$T$56:$T$58,'425'!$T$60,'425'!$T$62:$T$63,'425'!$T$65:$T$71,'425'!$T$73,'425'!$T$75,'425'!$T$77</definedName>
    <definedName name="OSRRefT22x_0" localSheetId="91">'430'!$T$20:$T$27,'430'!$T$29,'430'!$T$31,'430'!$T$33,'430'!$T$35,'430'!$T$37,'430'!$T$39:$T$40,'430'!$T$42,'430'!$T$44,'430'!$T$46</definedName>
    <definedName name="OSRRefT22x_0" localSheetId="92">'433'!$T$26:$T$34,'433'!$T$36:$T$41,'433'!$T$43,'433'!$T$45,'433'!$T$47,'433'!$T$49,'433'!$T$51,'433'!$T$53,'433'!$T$55,'433'!$T$57,'433'!$T$59:$T$61,'433'!$T$63:$T$65,'433'!$T$67:$T$72,'433'!$T$74,'433'!$T$76,'433'!$T$78:$T$79</definedName>
    <definedName name="OSRRefT22x_0" localSheetId="93">'435'!$T$25:$T$27,'435'!$T$29:$T$30,'435'!$T$32,'435'!$T$34,'435'!$T$36,'435'!$T$38,'435'!$T$40:$T$43,'435'!$T$45</definedName>
    <definedName name="OSRRefT22x_0" localSheetId="94">'444'!$T$25:$T$33,'444'!$T$35:$T$40,'444'!$T$42,'444'!$T$44,'444'!$T$46,'444'!$T$48,'444'!$T$50,'444'!$T$52,'444'!$T$54,'444'!$T$56,'444'!$T$58,'444'!$T$60:$T$62,'444'!$T$64:$T$66,'444'!$T$68:$T$75,'444'!$T$77,'444'!$T$79,'444'!$T$81</definedName>
    <definedName name="OSRRefT22x_0" localSheetId="95">'450'!$T$25:$T$33,'450'!$T$35:$T$40,'450'!$T$42,'450'!$T$44,'450'!$T$46,'450'!$T$48,'450'!$T$50,'450'!$T$52,'450'!$T$54,'450'!$T$56,'450'!$T$58,'450'!$T$60:$T$61,'450'!$T$63:$T$65,'450'!$T$67:$T$73,'450'!$T$75,'450'!$T$77,'450'!$T$79:$T$80</definedName>
    <definedName name="OSRRefT22x_0" localSheetId="89">'455'!$T$20:$T$26,'455'!$T$28:$T$29,'455'!$T$31</definedName>
    <definedName name="OSRRefT22x_0" localSheetId="76">'491'!$T$33:$T$41,'491'!$T$43:$T$49,'491'!$T$51,'491'!$T$53,'491'!$T$55,'491'!$T$57:$T$59,'491'!$T$61,'491'!$T$63,'491'!$T$65,'491'!$T$67:$T$68,'491'!$T$70,'491'!$T$72,'491'!$T$74,'491'!$T$76,'491'!$T$78:$T$80,'491'!$T$82:$T$83,'491'!$T$85:$T$89,'491'!$T$91,'491'!$T$93:$T$100,'491'!$T$102,'491'!$T$104,'491'!$T$106:$T$108,'491'!$T$110</definedName>
    <definedName name="OSRRefT22x_0" localSheetId="90">'492'!$T$28:$T$36,'492'!$T$38:$T$44,'492'!$T$46,'492'!$T$48,'492'!$T$50,'492'!$T$52,'492'!$T$54,'492'!$T$56,'492'!$T$58,'492'!$T$60,'492'!$T$62,'492'!$T$64,'492'!$T$66:$T$68,'492'!$T$70:$T$72,'492'!$T$74:$T$81,'492'!$T$83,'492'!$T$85,'492'!$T$87:$T$88</definedName>
    <definedName name="OSRRefT22x_0" localSheetId="97">'501'!$T$21:$T$28,'501'!$T$30:$T$35,'501'!$T$37,'501'!$T$39,'501'!$T$41,'501'!$T$43,'501'!$T$45,'501'!$T$47,'501'!$T$49,'501'!$T$51,'501'!$T$53:$T$54,'501'!$T$56:$T$59,'501'!$T$61</definedName>
    <definedName name="OSRRefT22x_0" localSheetId="9">'Div 2'!$T$20:$T$30,'Div 2'!$T$32:$T$38,'Div 2'!$T$40,'Div 2'!$T$42,'Div 2'!$T$44,'Div 2'!$T$46:$T$47,'Div 2'!$T$49,'Div 2'!$T$51,'Div 2'!$T$53,'Div 2'!$T$55,'Div 2'!$T$57,'Div 2'!$T$59,'Div 2'!$T$61:$T$64,'Div 2'!$T$66:$T$68,'Div 2'!$T$70:$T$71,'Div 2'!$T$73,'Div 2'!$T$75:$T$78,'Div 2'!$T$80:$T$81,'Div 2'!$T$83,'Div 2'!$T$85:$T$86</definedName>
    <definedName name="OSRRefT22x_0" localSheetId="47">'Div 3'!$T$165:$T$173,'Div 3'!$T$175:$T$181,'Div 3'!$T$183,'Div 3'!$T$185:$T$186,'Div 3'!$T$188,'Div 3'!$T$190:$T$191,'Div 3'!$T$193:$T$194,'Div 3'!$T$196,'Div 3'!$T$198,'Div 3'!$T$200,'Div 3'!$T$202:$T$203,'Div 3'!$T$205,'Div 3'!$T$207,'Div 3'!$T$209,'Div 3'!$T$211,'Div 3'!$T$213,'Div 3'!$T$215,'Div 3'!$T$217:$T$219,'Div 3'!$T$221:$T$223,'Div 3'!$T$225:$T$229,'Div 3'!$T$231:$T$232,'Div 3'!$T$234:$T$240,'Div 3'!$T$242:$T$243,'Div 3'!$T$245,'Div 3'!$T$247:$T$249,'Div 3'!$T$251</definedName>
    <definedName name="OSRRefT22x_0" localSheetId="74">'Div 4'!$T$34:$T$42,'Div 4'!$T$44:$T$50,'Div 4'!$T$52,'Div 4'!$T$54,'Div 4'!$T$56,'Div 4'!$T$58:$T$60,'Div 4'!$T$62,'Div 4'!$T$64,'Div 4'!$T$66,'Div 4'!$T$68,'Div 4'!$T$70:$T$71,'Div 4'!$T$73,'Div 4'!$T$75,'Div 4'!$T$77,'Div 4'!$T$79,'Div 4'!$T$81,'Div 4'!$T$83:$T$85,'Div 4'!$T$87:$T$88,'Div 4'!$T$90:$T$94,'Div 4'!$T$96,'Div 4'!$T$98:$T$105,'Div 4'!$T$107,'Div 4'!$T$109,'Div 4'!$T$111:$T$113,'Div 4'!$T$115</definedName>
    <definedName name="OSRRefT22x_0" localSheetId="96">'Div 5'!$T$21:$T$28,'Div 5'!$T$30:$T$35,'Div 5'!$T$37,'Div 5'!$T$39,'Div 5'!$T$41,'Div 5'!$T$43,'Div 5'!$T$45,'Div 5'!$T$47,'Div 5'!$T$49,'Div 5'!$T$51,'Div 5'!$T$53:$T$54,'Div 5'!$T$56:$T$59,'Div 5'!$T$61</definedName>
    <definedName name="OSRRefT22x_0" localSheetId="63">'Div 6'!$T$57:$T$65,'Div 6'!$T$67:$T$70,'Div 6'!$T$72,'Div 6'!$T$74,'Div 6'!$T$76,'Div 6'!$T$78,'Div 6'!$T$80,'Div 6'!$T$82,'Div 6'!$T$84,'Div 6'!$T$86:$T$87,'Div 6'!$T$89,'Div 6'!$T$91,'Div 6'!$T$93</definedName>
    <definedName name="OSRRefT22x_0" localSheetId="2">Summary!$T$199:$T$207,Summary!$T$209:$T$215,Summary!$T$217,Summary!$T$219:$T$220,Summary!$T$222,Summary!$T$224:$T$226,Summary!$T$228:$T$229,Summary!$T$231,Summary!$T$233,Summary!$T$235,Summary!$T$237:$T$238,Summary!$T$240:$T$241,Summary!$T$243,Summary!$T$245,Summary!$T$247,Summary!$T$249,Summary!$T$251,Summary!$T$253,Summary!$T$255:$T$257,Summary!$T$259:$T$261,Summary!$T$263:$T$267,Summary!$T$269:$T$270,Summary!$T$272:$T$279,Summary!$T$281:$T$282,Summary!$T$284,Summary!$T$286:$T$288,Summary!$T$290</definedName>
    <definedName name="OSRRefT25x_0" localSheetId="48">'300'!$T$245:$T$252</definedName>
    <definedName name="OSRRefT25x_0" localSheetId="49">'300 &amp; 317'!$T$270:$T$279</definedName>
    <definedName name="OSRRefT25x_0" localSheetId="50">'301'!$T$90:$T$91</definedName>
    <definedName name="OSRRefT25x_0" localSheetId="54">'308'!$T$112:$T$114</definedName>
    <definedName name="OSRRefT25x_0" localSheetId="75">'310 &amp; 491'!$T$125:$T$127</definedName>
    <definedName name="OSRRefT25x_0" localSheetId="55">'311'!$T$111:$T$113</definedName>
    <definedName name="OSRRefT25x_0" localSheetId="58">'315'!$T$105</definedName>
    <definedName name="OSRRefT25x_0" localSheetId="61">'316'!$T$67</definedName>
    <definedName name="OSRRefT25x_0" localSheetId="64">'317'!$T$96:$T$98</definedName>
    <definedName name="OSRRefT25x_0" localSheetId="62">'320'!$T$58:$T$62</definedName>
    <definedName name="OSRRefT25x_0" localSheetId="57">'331'!$T$143</definedName>
    <definedName name="OSRRefT25x_0" localSheetId="60">'332'!$T$84:$T$89</definedName>
    <definedName name="OSRRefT25x_0" localSheetId="79">'411'!$T$84:$T$85</definedName>
    <definedName name="OSRRefT25x_0" localSheetId="81">'413'!$T$65</definedName>
    <definedName name="OSRRefT25x_0" localSheetId="84">'418'!$T$79</definedName>
    <definedName name="OSRRefT25x_0" localSheetId="86">'423'!$T$41</definedName>
    <definedName name="OSRRefT25x_0" localSheetId="87">'424'!$T$59</definedName>
    <definedName name="OSRRefT25x_0" localSheetId="88">'425'!$T$80</definedName>
    <definedName name="OSRRefT25x_0" localSheetId="89">'455'!$T$34:$T$35</definedName>
    <definedName name="OSRRefT25x_0" localSheetId="76">'491'!$T$113:$T$115</definedName>
    <definedName name="OSRRefT25x_0" localSheetId="97">'501'!$T$64:$T$65</definedName>
    <definedName name="OSRRefT25x_0" localSheetId="47">'Div 3'!$T$254:$T$261</definedName>
    <definedName name="OSRRefT25x_0" localSheetId="74">'Div 4'!$T$118:$T$120</definedName>
    <definedName name="OSRRefT25x_0" localSheetId="96">'Div 5'!$T$64:$T$65</definedName>
    <definedName name="OSRRefT25x_0" localSheetId="63">'Div 6'!$T$96:$T$98</definedName>
    <definedName name="OSRRefT25x_0" localSheetId="2">Summary!$T$293:$T$303</definedName>
    <definedName name="_xlnm.Print_Area" localSheetId="8">'100'!$A$1:$Z$34</definedName>
    <definedName name="_xlnm.Print_Area" localSheetId="40">'200'!$A$1:$Z$41</definedName>
    <definedName name="_xlnm.Print_Area" localSheetId="41">'201'!$A$1:$Z$81</definedName>
    <definedName name="_xlnm.Print_Area" localSheetId="42">'202'!$A$1:$Z$74</definedName>
    <definedName name="_xlnm.Print_Area" localSheetId="43">'203'!$A$1:$Z$81</definedName>
    <definedName name="_xlnm.Print_Area" localSheetId="44">'204'!$A$1:$Z$72</definedName>
    <definedName name="_xlnm.Print_Area" localSheetId="45">'205'!$A$1:$Z$59</definedName>
    <definedName name="_xlnm.Print_Area" localSheetId="46">'206'!$A$1:$Z$61</definedName>
    <definedName name="_xlnm.Print_Area" localSheetId="48">'300'!$A$1:$Z$264</definedName>
    <definedName name="_xlnm.Print_Area" localSheetId="49">'300 &amp; 317'!$A$1:$Z$291</definedName>
    <definedName name="_xlnm.Print_Area" localSheetId="50">'301'!$A$1:$Z$103</definedName>
    <definedName name="_xlnm.Print_Area" localSheetId="51">'306'!$A$1:$Z$68</definedName>
    <definedName name="_xlnm.Print_Area" localSheetId="53">'307'!$A$1:$Z$124</definedName>
    <definedName name="_xlnm.Print_Area" localSheetId="54">'308'!$A$1:$Z$126</definedName>
    <definedName name="_xlnm.Print_Area" localSheetId="66">'309'!$A$1:$Z$78</definedName>
    <definedName name="_xlnm.Print_Area" localSheetId="65">'310'!$A$1:$Z$113</definedName>
    <definedName name="_xlnm.Print_Area" localSheetId="75">'310 &amp; 491'!$A$1:$Z$139</definedName>
    <definedName name="_xlnm.Print_Area" localSheetId="55">'311'!$A$1:$Z$125</definedName>
    <definedName name="_xlnm.Print_Area" localSheetId="67">'313'!$A$1:$Z$89</definedName>
    <definedName name="_xlnm.Print_Area" localSheetId="56">'314'!$A$1:$Z$94</definedName>
    <definedName name="_xlnm.Print_Area" localSheetId="58">'315'!$A$1:$Z$117</definedName>
    <definedName name="_xlnm.Print_Area" localSheetId="61">'316'!$A$1:$Z$79</definedName>
    <definedName name="_xlnm.Print_Area" localSheetId="64">'317'!$A$1:$Z$110</definedName>
    <definedName name="_xlnm.Print_Area" localSheetId="62">'320'!$A$1:$Z$74</definedName>
    <definedName name="_xlnm.Print_Area" localSheetId="68">'321'!$A$1:$Z$78</definedName>
    <definedName name="_xlnm.Print_Area" localSheetId="69">'322'!$A$1:$Z$83</definedName>
    <definedName name="_xlnm.Print_Area" localSheetId="70">'323'!$A$1:$Z$32</definedName>
    <definedName name="_xlnm.Print_Area" localSheetId="71">'324'!$A$1:$Z$39</definedName>
    <definedName name="_xlnm.Print_Area" localSheetId="72">'325'!$A$1:$Z$92</definedName>
    <definedName name="_xlnm.Print_Area" localSheetId="59">'326'!$A$1:$Z$128</definedName>
    <definedName name="_xlnm.Print_Area" localSheetId="73">'327'!$A$1:$Z$40</definedName>
    <definedName name="_xlnm.Print_Area" localSheetId="52">'330'!$A$1:$Z$137</definedName>
    <definedName name="_xlnm.Print_Area" localSheetId="57">'331'!$A$1:$Z$155</definedName>
    <definedName name="_xlnm.Print_Area" localSheetId="60">'332'!$A$1:$Z$101</definedName>
    <definedName name="_xlnm.Print_Area" localSheetId="77">'405'!$A$1:$Z$92</definedName>
    <definedName name="_xlnm.Print_Area" localSheetId="78">'406'!$A$1:$Z$81</definedName>
    <definedName name="_xlnm.Print_Area" localSheetId="79">'411'!$A$1:$Z$97</definedName>
    <definedName name="_xlnm.Print_Area" localSheetId="80">'412'!$A$1:$Z$85</definedName>
    <definedName name="_xlnm.Print_Area" localSheetId="81">'413'!$A$1:$Z$77</definedName>
    <definedName name="_xlnm.Print_Area" localSheetId="82">'414'!$A$1:$Z$85</definedName>
    <definedName name="_xlnm.Print_Area" localSheetId="83">'415'!$A$1:$Z$97</definedName>
    <definedName name="_xlnm.Print_Area" localSheetId="84">'418'!$A$1:$Z$91</definedName>
    <definedName name="_xlnm.Print_Area" localSheetId="85">'420'!$A$1:$Z$51</definedName>
    <definedName name="_xlnm.Print_Area" localSheetId="86">'423'!$A$1:$Z$53</definedName>
    <definedName name="_xlnm.Print_Area" localSheetId="87">'424'!$A$1:$Z$71</definedName>
    <definedName name="_xlnm.Print_Area" localSheetId="88">'425'!$A$1:$Z$92</definedName>
    <definedName name="_xlnm.Print_Area" localSheetId="91">'430'!$A$1:$Z$60</definedName>
    <definedName name="_xlnm.Print_Area" localSheetId="92">'433'!$A$1:$Z$93</definedName>
    <definedName name="_xlnm.Print_Area" localSheetId="93">'435'!$A$1:$Z$59</definedName>
    <definedName name="_xlnm.Print_Area" localSheetId="94">'444'!$A$1:$Z$95</definedName>
    <definedName name="_xlnm.Print_Area" localSheetId="95">'450'!$A$1:$Z$94</definedName>
    <definedName name="_xlnm.Print_Area" localSheetId="89">'455'!$A$1:$Z$47</definedName>
    <definedName name="_xlnm.Print_Area" localSheetId="76">'491'!$A$1:$Z$127</definedName>
    <definedName name="_xlnm.Print_Area" localSheetId="90">'492'!$A$1:$Z$102</definedName>
    <definedName name="_xlnm.Print_Area" localSheetId="97">'501'!$A$1:$Z$77</definedName>
    <definedName name="_xlnm.Print_Area" localSheetId="98">Dept!$A$1:$Z$39</definedName>
    <definedName name="_xlnm.Print_Area" localSheetId="5">'Div 1'!$A$1:$Z$34</definedName>
    <definedName name="_xlnm.Print_Area" localSheetId="9">'Div 2'!$A$1:$Z$100</definedName>
    <definedName name="_xlnm.Print_Area" localSheetId="47">'Div 3'!$A$1:$Z$273</definedName>
    <definedName name="_xlnm.Print_Area" localSheetId="74">'Div 4'!$A$1:$Z$132</definedName>
    <definedName name="_xlnm.Print_Area" localSheetId="96">'Div 5'!$A$1:$Z$77</definedName>
    <definedName name="_xlnm.Print_Area" localSheetId="63">'Div 6'!$A$1:$Z$110</definedName>
    <definedName name="_xlnm.Print_Area" localSheetId="16">'OSR_300 &amp; 317_1C00ID4'!$A$1:$Z$39</definedName>
    <definedName name="_xlnm.Print_Area" localSheetId="13">'OSR_300 (2)_7...54cb56fc_UFX0O2'!$A$1:$Z$39</definedName>
    <definedName name="_xlnm.Print_Area" localSheetId="17">'OSR_300 (2)_c...79cd3046_1TJM0H'!$A$1:$Z$39</definedName>
    <definedName name="_xlnm.Print_Area" localSheetId="19">'OSR_300 (2)_e...5d0da5bf_6BPGAO'!$A$1:$Z$39</definedName>
    <definedName name="_xlnm.Print_Area" localSheetId="14">OSR_300_IYZXI6!$A$1:$Z$39</definedName>
    <definedName name="_xlnm.Print_Area" localSheetId="25">'OSR_308 (2)_...47685838_1YQW4QY'!$A$1:$Z$39</definedName>
    <definedName name="_xlnm.Print_Area" localSheetId="22">OSR_308_UAWDAG!$A$1:$Z$39</definedName>
    <definedName name="_xlnm.Print_Area" localSheetId="30">'OSR_310 &amp; 491_1NGRCS9'!$A$1:$Z$39</definedName>
    <definedName name="_xlnm.Print_Area" localSheetId="21">'OSR_310 (2)_...6e684f08_1FLCNJG'!$A$1:$Z$39</definedName>
    <definedName name="_xlnm.Print_Area" localSheetId="29">'OSR_310 (2)_...8cac1423_1JTU33X'!$A$1:$Z$39</definedName>
    <definedName name="_xlnm.Print_Area" localSheetId="18">OSR_310_1CMTOSB!$A$1:$Z$39</definedName>
    <definedName name="_xlnm.Print_Area" localSheetId="23">'OSR_330 (2)_...8a14c83e_1NSH7XI'!$A$1:$Z$39</definedName>
    <definedName name="_xlnm.Print_Area" localSheetId="20">OSR_330_10VFP5Y!$A$1:$Z$39</definedName>
    <definedName name="_xlnm.Print_Area" localSheetId="27">'OSR_331 (2)_...7280af70_1P5SPLT'!$A$1:$Z$39</definedName>
    <definedName name="_xlnm.Print_Area" localSheetId="24">OSR_331_10VKQAJ!$A$1:$Z$39</definedName>
    <definedName name="_xlnm.Print_Area" localSheetId="26">OSR_332_6NDVBW!$A$1:$Z$39</definedName>
    <definedName name="_xlnm.Print_Area" localSheetId="31">'OSR_491 (2)_0...c51cc666_QIOT67'!$A$1:$Z$39</definedName>
    <definedName name="_xlnm.Print_Area" localSheetId="32">OSR_491_9Z9JH5!$A$1:$Z$39</definedName>
    <definedName name="_xlnm.Print_Area" localSheetId="37">'OSR_492 (2)_...cd97c6a6_13HYXEV'!$A$1:$Z$39</definedName>
    <definedName name="_xlnm.Print_Area" localSheetId="34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11">'OSR_Div 1 (2)...789fe994_2NV3KA'!$A$1:$Z$39</definedName>
    <definedName name="_xlnm.Print_Area" localSheetId="6">'OSR_Div 1_7H47HR'!$A$1:$Z$39</definedName>
    <definedName name="_xlnm.Print_Area" localSheetId="10">'OSR_Div 2_1PQ800A'!$A$1:$Z$39</definedName>
    <definedName name="_xlnm.Print_Area" localSheetId="7">'OSR_Div 3 (2)...4cb81c06_PBSMLS'!$A$1:$Z$39</definedName>
    <definedName name="_xlnm.Print_Area" localSheetId="15">'OSR_Div 3 (2)...b7db256a_40ITCB'!$A$1:$Z$39</definedName>
    <definedName name="_xlnm.Print_Area" localSheetId="12">'OSR_Div 3_18723PH'!$A$1:$Z$39</definedName>
    <definedName name="_xlnm.Print_Area" localSheetId="35">'OSR_Div 4 (2)...1a9a4454_CQFRNE'!$A$1:$Z$39</definedName>
    <definedName name="_xlnm.Print_Area" localSheetId="33">'OSR_Div 4 (2...2533da42_174R6QX'!$A$1:$Z$39</definedName>
    <definedName name="_xlnm.Print_Area" localSheetId="28">'OSR_Div 4_1740TMT'!$A$1:$Z$39</definedName>
    <definedName name="_xlnm.Print_Area" localSheetId="39">'OSR_Div 5 (2...09141158_1BG9FGV'!$A$1:$Z$39</definedName>
    <definedName name="_xlnm.Print_Area" localSheetId="36">'OSR_Div 5_16NAZO2'!$A$1:$Z$39</definedName>
    <definedName name="_xlnm.Print_Area" localSheetId="38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Summary!$A$1:$Z$317</definedName>
    <definedName name="_xlnm.Print_Titles" localSheetId="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4">'308'!$A:$C,'308'!$1:$10</definedName>
    <definedName name="_xlnm.Print_Titles" localSheetId="66">'309'!$A:$C,'309'!$1:$10</definedName>
    <definedName name="_xlnm.Print_Titles" localSheetId="65">'310'!$A:$C,'310'!$1:$10</definedName>
    <definedName name="_xlnm.Print_Titles" localSheetId="75">'310 &amp; 491'!$A:$C,'310 &amp; 491'!$1:$10</definedName>
    <definedName name="_xlnm.Print_Titles" localSheetId="55">'311'!$A:$C,'311'!$1:$10</definedName>
    <definedName name="_xlnm.Print_Titles" localSheetId="67">'313'!$A:$C,'313'!$1:$10</definedName>
    <definedName name="_xlnm.Print_Titles" localSheetId="56">'314'!$A:$C,'314'!$1:$10</definedName>
    <definedName name="_xlnm.Print_Titles" localSheetId="58">'315'!$A:$C,'315'!$1:$10</definedName>
    <definedName name="_xlnm.Print_Titles" localSheetId="61">'316'!$A:$C,'316'!$1:$10</definedName>
    <definedName name="_xlnm.Print_Titles" localSheetId="64">'317'!$A:$C,'317'!$1:$10</definedName>
    <definedName name="_xlnm.Print_Titles" localSheetId="62">'320'!$A:$C,'320'!$1:$10</definedName>
    <definedName name="_xlnm.Print_Titles" localSheetId="68">'321'!$A:$C,'321'!$1:$10</definedName>
    <definedName name="_xlnm.Print_Titles" localSheetId="69">'322'!$A:$C,'322'!$1:$10</definedName>
    <definedName name="_xlnm.Print_Titles" localSheetId="70">'323'!$A:$C,'323'!$1:$10</definedName>
    <definedName name="_xlnm.Print_Titles" localSheetId="71">'324'!$A:$C,'324'!$1:$10</definedName>
    <definedName name="_xlnm.Print_Titles" localSheetId="72">'325'!$A:$C,'325'!$1:$10</definedName>
    <definedName name="_xlnm.Print_Titles" localSheetId="59">'326'!$A:$C,'326'!$1:$10</definedName>
    <definedName name="_xlnm.Print_Titles" localSheetId="73">'327'!$A:$C,'327'!$1:$10</definedName>
    <definedName name="_xlnm.Print_Titles" localSheetId="52">'330'!$A:$C,'330'!$1:$10</definedName>
    <definedName name="_xlnm.Print_Titles" localSheetId="57">'331'!$A:$C,'331'!$1:$10</definedName>
    <definedName name="_xlnm.Print_Titles" localSheetId="60">'332'!$A:$C,'332'!$1:$10</definedName>
    <definedName name="_xlnm.Print_Titles" localSheetId="77">'405'!$A:$C,'405'!$1:$10</definedName>
    <definedName name="_xlnm.Print_Titles" localSheetId="78">'406'!$A:$C,'406'!$1:$10</definedName>
    <definedName name="_xlnm.Print_Titles" localSheetId="79">'411'!$A:$C,'411'!$1:$10</definedName>
    <definedName name="_xlnm.Print_Titles" localSheetId="80">'412'!$A:$C,'412'!$1:$10</definedName>
    <definedName name="_xlnm.Print_Titles" localSheetId="81">'413'!$A:$C,'413'!$1:$10</definedName>
    <definedName name="_xlnm.Print_Titles" localSheetId="82">'414'!$A:$C,'414'!$1:$10</definedName>
    <definedName name="_xlnm.Print_Titles" localSheetId="83">'415'!$A:$C,'415'!$1:$10</definedName>
    <definedName name="_xlnm.Print_Titles" localSheetId="84">'418'!$A:$C,'418'!$1:$10</definedName>
    <definedName name="_xlnm.Print_Titles" localSheetId="85">'420'!$A:$C,'420'!$1:$10</definedName>
    <definedName name="_xlnm.Print_Titles" localSheetId="86">'423'!$A:$C,'423'!$1:$10</definedName>
    <definedName name="_xlnm.Print_Titles" localSheetId="87">'424'!$A:$C,'424'!$1:$10</definedName>
    <definedName name="_xlnm.Print_Titles" localSheetId="88">'425'!$A:$C,'425'!$1:$10</definedName>
    <definedName name="_xlnm.Print_Titles" localSheetId="91">'430'!$A:$C,'430'!$1:$10</definedName>
    <definedName name="_xlnm.Print_Titles" localSheetId="92">'433'!$A:$C,'433'!$1:$10</definedName>
    <definedName name="_xlnm.Print_Titles" localSheetId="93">'435'!$A:$C,'435'!$1:$10</definedName>
    <definedName name="_xlnm.Print_Titles" localSheetId="94">'444'!$A:$C,'444'!$1:$10</definedName>
    <definedName name="_xlnm.Print_Titles" localSheetId="95">'450'!$A:$C,'450'!$1:$10</definedName>
    <definedName name="_xlnm.Print_Titles" localSheetId="89">'455'!$A:$C,'455'!$1:$10</definedName>
    <definedName name="_xlnm.Print_Titles" localSheetId="76">'491'!$A:$C,'491'!$1:$10</definedName>
    <definedName name="_xlnm.Print_Titles" localSheetId="90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5">'Div 1'!$A:$C,'Div 1'!$1:$10</definedName>
    <definedName name="_xlnm.Print_Titles" localSheetId="9">'Div 2'!$A:$C,'Div 2'!$1:$10</definedName>
    <definedName name="_xlnm.Print_Titles" localSheetId="47">'Div 3'!$A:$C,'Div 3'!$1:$10</definedName>
    <definedName name="_xlnm.Print_Titles" localSheetId="74">'Div 4'!$A:$C,'Div 4'!$1:$10</definedName>
    <definedName name="_xlnm.Print_Titles" localSheetId="96">'Div 5'!$A:$C,'Div 5'!$1:$10</definedName>
    <definedName name="_xlnm.Print_Titles" localSheetId="63">'Div 6'!$A:$C,'Div 6'!$1:$10</definedName>
    <definedName name="_xlnm.Print_Titles" localSheetId="16">'OSR_300 &amp; 317_1C00ID4'!$A:$C,'OSR_300 &amp; 317_1C00ID4'!$1:$10</definedName>
    <definedName name="_xlnm.Print_Titles" localSheetId="13">'OSR_300 (2)_7...54cb56fc_UFX0O2'!$A:$C,'OSR_300 (2)_7...54cb56fc_UFX0O2'!$1:$10</definedName>
    <definedName name="_xlnm.Print_Titles" localSheetId="17">'OSR_300 (2)_c...79cd3046_1TJM0H'!$A:$C,'OSR_300 (2)_c...79cd3046_1TJM0H'!$1:$10</definedName>
    <definedName name="_xlnm.Print_Titles" localSheetId="19">'OSR_300 (2)_e...5d0da5bf_6BPGAO'!$A:$C,'OSR_300 (2)_e...5d0da5bf_6BPGAO'!$1:$10</definedName>
    <definedName name="_xlnm.Print_Titles" localSheetId="14">OSR_300_IYZXI6!$A:$C,OSR_300_IYZXI6!$1:$10</definedName>
    <definedName name="_xlnm.Print_Titles" localSheetId="25">'OSR_308 (2)_...47685838_1YQW4QY'!$A:$C,'OSR_308 (2)_...47685838_1YQW4QY'!$1:$10</definedName>
    <definedName name="_xlnm.Print_Titles" localSheetId="22">OSR_308_UAWDAG!$A:$C,OSR_308_UAWDAG!$1:$10</definedName>
    <definedName name="_xlnm.Print_Titles" localSheetId="30">'OSR_310 &amp; 491_1NGRCS9'!$A:$C,'OSR_310 &amp; 491_1NGRCS9'!$1:$10</definedName>
    <definedName name="_xlnm.Print_Titles" localSheetId="21">'OSR_310 (2)_...6e684f08_1FLCNJG'!$A:$C,'OSR_310 (2)_...6e684f08_1FLCNJG'!$1:$10</definedName>
    <definedName name="_xlnm.Print_Titles" localSheetId="29">'OSR_310 (2)_...8cac1423_1JTU33X'!$A:$C,'OSR_310 (2)_...8cac1423_1JTU33X'!$1:$10</definedName>
    <definedName name="_xlnm.Print_Titles" localSheetId="18">OSR_310_1CMTOSB!$A:$C,OSR_310_1CMTOSB!$1:$10</definedName>
    <definedName name="_xlnm.Print_Titles" localSheetId="23">'OSR_330 (2)_...8a14c83e_1NSH7XI'!$A:$C,'OSR_330 (2)_...8a14c83e_1NSH7XI'!$1:$10</definedName>
    <definedName name="_xlnm.Print_Titles" localSheetId="20">OSR_330_10VFP5Y!$A:$C,OSR_330_10VFP5Y!$1:$10</definedName>
    <definedName name="_xlnm.Print_Titles" localSheetId="27">'OSR_331 (2)_...7280af70_1P5SPLT'!$A:$C,'OSR_331 (2)_...7280af70_1P5SPLT'!$1:$10</definedName>
    <definedName name="_xlnm.Print_Titles" localSheetId="24">OSR_331_10VKQAJ!$A:$C,OSR_331_10VKQAJ!$1:$10</definedName>
    <definedName name="_xlnm.Print_Titles" localSheetId="26">OSR_332_6NDVBW!$A:$C,OSR_332_6NDVBW!$1:$10</definedName>
    <definedName name="_xlnm.Print_Titles" localSheetId="31">'OSR_491 (2)_0...c51cc666_QIOT67'!$A:$C,'OSR_491 (2)_0...c51cc666_QIOT67'!$1:$10</definedName>
    <definedName name="_xlnm.Print_Titles" localSheetId="32">OSR_491_9Z9JH5!$A:$C,OSR_491_9Z9JH5!$1:$10</definedName>
    <definedName name="_xlnm.Print_Titles" localSheetId="37">'OSR_492 (2)_...cd97c6a6_13HYXEV'!$A:$C,'OSR_492 (2)_...cd97c6a6_13HYXEV'!$1:$10</definedName>
    <definedName name="_xlnm.Print_Titles" localSheetId="34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11">'OSR_Div 1 (2)...789fe994_2NV3KA'!$A:$C,'OSR_Div 1 (2)...789fe994_2NV3KA'!$1:$10</definedName>
    <definedName name="_xlnm.Print_Titles" localSheetId="6">'OSR_Div 1_7H47HR'!$A:$C,'OSR_Div 1_7H47HR'!$1:$10</definedName>
    <definedName name="_xlnm.Print_Titles" localSheetId="10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5">'OSR_Div 3 (2)...b7db256a_40ITCB'!$A:$C,'OSR_Div 3 (2)...b7db256a_40ITCB'!$1:$10</definedName>
    <definedName name="_xlnm.Print_Titles" localSheetId="12">'OSR_Div 3_18723PH'!$A:$C,'OSR_Div 3_18723PH'!$1:$10</definedName>
    <definedName name="_xlnm.Print_Titles" localSheetId="35">'OSR_Div 4 (2)...1a9a4454_CQFRNE'!$A:$C,'OSR_Div 4 (2)...1a9a4454_CQFRNE'!$1:$10</definedName>
    <definedName name="_xlnm.Print_Titles" localSheetId="33">'OSR_Div 4 (2...2533da42_174R6QX'!$A:$C,'OSR_Div 4 (2...2533da42_174R6QX'!$1:$10</definedName>
    <definedName name="_xlnm.Print_Titles" localSheetId="28">'OSR_Div 4_1740TMT'!$A:$C,'OSR_Div 4_1740TMT'!$1:$10</definedName>
    <definedName name="_xlnm.Print_Titles" localSheetId="39">'OSR_Div 5 (2...09141158_1BG9FGV'!$A:$C,'OSR_Div 5 (2...09141158_1BG9FGV'!$1:$10</definedName>
    <definedName name="_xlnm.Print_Titles" localSheetId="36">'OSR_Div 5_16NAZO2'!$A:$C,'OSR_Div 5_16NAZO2'!$1:$10</definedName>
    <definedName name="_xlnm.Print_Titles" localSheetId="38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69" i="110" l="1"/>
  <c r="Z69" i="110" s="1"/>
  <c r="N69" i="110"/>
  <c r="L69" i="110"/>
  <c r="T65" i="110"/>
  <c r="P65" i="110"/>
  <c r="H65" i="110"/>
  <c r="D65" i="110"/>
  <c r="L65" i="110" s="1"/>
  <c r="N65" i="110" s="1"/>
  <c r="B65" i="110"/>
  <c r="X64" i="110"/>
  <c r="T64" i="110"/>
  <c r="Z64" i="110" s="1"/>
  <c r="P64" i="110"/>
  <c r="H64" i="110"/>
  <c r="D64" i="110"/>
  <c r="B64" i="110"/>
  <c r="P63" i="110"/>
  <c r="H63" i="110"/>
  <c r="X61" i="110"/>
  <c r="Z61" i="110" s="1"/>
  <c r="L61" i="110"/>
  <c r="N61" i="110" s="1"/>
  <c r="B61" i="110"/>
  <c r="X60" i="110"/>
  <c r="T60" i="110"/>
  <c r="Z60" i="110" s="1"/>
  <c r="P60" i="110"/>
  <c r="H60" i="110"/>
  <c r="D60" i="110"/>
  <c r="L60" i="110" s="1"/>
  <c r="N60" i="110" s="1"/>
  <c r="B60" i="110"/>
  <c r="Z59" i="110"/>
  <c r="X59" i="110"/>
  <c r="L59" i="110"/>
  <c r="N59" i="110" s="1"/>
  <c r="B59" i="110"/>
  <c r="X58" i="110"/>
  <c r="Z58" i="110" s="1"/>
  <c r="N58" i="110"/>
  <c r="L58" i="110"/>
  <c r="B58" i="110"/>
  <c r="X57" i="110"/>
  <c r="Z57" i="110" s="1"/>
  <c r="L57" i="110"/>
  <c r="N57" i="110" s="1"/>
  <c r="B57" i="110"/>
  <c r="Z56" i="110"/>
  <c r="X56" i="110"/>
  <c r="N56" i="110"/>
  <c r="L56" i="110"/>
  <c r="B56" i="110"/>
  <c r="T55" i="110"/>
  <c r="P55" i="110"/>
  <c r="X55" i="110" s="1"/>
  <c r="Z55" i="110" s="1"/>
  <c r="H55" i="110"/>
  <c r="D55" i="110"/>
  <c r="L55" i="110" s="1"/>
  <c r="N55" i="110" s="1"/>
  <c r="B55" i="110"/>
  <c r="Z54" i="110"/>
  <c r="X54" i="110"/>
  <c r="N54" i="110"/>
  <c r="L54" i="110"/>
  <c r="B54" i="110"/>
  <c r="Z53" i="110"/>
  <c r="X53" i="110"/>
  <c r="N53" i="110"/>
  <c r="L53" i="110"/>
  <c r="F53" i="110"/>
  <c r="B53" i="110"/>
  <c r="T52" i="110"/>
  <c r="P52" i="110"/>
  <c r="X52" i="110" s="1"/>
  <c r="N52" i="110"/>
  <c r="H52" i="110"/>
  <c r="D52" i="110"/>
  <c r="L52" i="110" s="1"/>
  <c r="B52" i="110"/>
  <c r="X51" i="110"/>
  <c r="Z51" i="110" s="1"/>
  <c r="N51" i="110"/>
  <c r="L51" i="110"/>
  <c r="B51" i="110"/>
  <c r="X50" i="110"/>
  <c r="Z50" i="110" s="1"/>
  <c r="T50" i="110"/>
  <c r="P50" i="110"/>
  <c r="N50" i="110"/>
  <c r="L50" i="110"/>
  <c r="H50" i="110"/>
  <c r="D50" i="110"/>
  <c r="B50" i="110"/>
  <c r="Z49" i="110"/>
  <c r="X49" i="110"/>
  <c r="N49" i="110"/>
  <c r="L49" i="110"/>
  <c r="B49" i="110"/>
  <c r="T48" i="110"/>
  <c r="P48" i="110"/>
  <c r="H48" i="110"/>
  <c r="N48" i="110" s="1"/>
  <c r="D48" i="110"/>
  <c r="B48" i="110"/>
  <c r="X47" i="110"/>
  <c r="Z47" i="110" s="1"/>
  <c r="L47" i="110"/>
  <c r="N47" i="110" s="1"/>
  <c r="B47" i="110"/>
  <c r="X46" i="110"/>
  <c r="Z46" i="110" s="1"/>
  <c r="T46" i="110"/>
  <c r="P46" i="110"/>
  <c r="H46" i="110"/>
  <c r="D46" i="110"/>
  <c r="L46" i="110" s="1"/>
  <c r="N46" i="110" s="1"/>
  <c r="B46" i="110"/>
  <c r="Z45" i="110"/>
  <c r="X45" i="110"/>
  <c r="N45" i="110"/>
  <c r="L45" i="110"/>
  <c r="B45" i="110"/>
  <c r="T44" i="110"/>
  <c r="P44" i="110"/>
  <c r="N44" i="110"/>
  <c r="L44" i="110"/>
  <c r="H44" i="110"/>
  <c r="D44" i="110"/>
  <c r="B44" i="110"/>
  <c r="X43" i="110"/>
  <c r="Z43" i="110" s="1"/>
  <c r="N43" i="110"/>
  <c r="L43" i="110"/>
  <c r="B43" i="110"/>
  <c r="T42" i="110"/>
  <c r="P42" i="110"/>
  <c r="H42" i="110"/>
  <c r="N42" i="110" s="1"/>
  <c r="D42" i="110"/>
  <c r="B42" i="110"/>
  <c r="Z41" i="110"/>
  <c r="X41" i="110"/>
  <c r="N41" i="110"/>
  <c r="L41" i="110"/>
  <c r="B41" i="110"/>
  <c r="Z40" i="110"/>
  <c r="T40" i="110"/>
  <c r="P40" i="110"/>
  <c r="X40" i="110" s="1"/>
  <c r="N40" i="110"/>
  <c r="L40" i="110"/>
  <c r="H40" i="110"/>
  <c r="D40" i="110"/>
  <c r="B40" i="110"/>
  <c r="X39" i="110"/>
  <c r="Z39" i="110" s="1"/>
  <c r="N39" i="110"/>
  <c r="L39" i="110"/>
  <c r="B39" i="110"/>
  <c r="Z38" i="110"/>
  <c r="X38" i="110"/>
  <c r="T38" i="110"/>
  <c r="P38" i="110"/>
  <c r="H38" i="110"/>
  <c r="D38" i="110"/>
  <c r="B38" i="110"/>
  <c r="Z37" i="110"/>
  <c r="X37" i="110"/>
  <c r="L37" i="110"/>
  <c r="N37" i="110" s="1"/>
  <c r="B37" i="110"/>
  <c r="T36" i="110"/>
  <c r="P36" i="110"/>
  <c r="X36" i="110" s="1"/>
  <c r="Z36" i="110" s="1"/>
  <c r="N36" i="110"/>
  <c r="H36" i="110"/>
  <c r="D36" i="110"/>
  <c r="L36" i="110" s="1"/>
  <c r="B36" i="110"/>
  <c r="Z35" i="110"/>
  <c r="X35" i="110"/>
  <c r="V35" i="110"/>
  <c r="N35" i="110"/>
  <c r="L35" i="110"/>
  <c r="B35" i="110"/>
  <c r="X34" i="110"/>
  <c r="Z34" i="110" s="1"/>
  <c r="N34" i="110"/>
  <c r="L34" i="110"/>
  <c r="B34" i="110"/>
  <c r="X33" i="110"/>
  <c r="Z33" i="110" s="1"/>
  <c r="N33" i="110"/>
  <c r="L33" i="110"/>
  <c r="B33" i="110"/>
  <c r="Z32" i="110"/>
  <c r="X32" i="110"/>
  <c r="L32" i="110"/>
  <c r="N32" i="110" s="1"/>
  <c r="B32" i="110"/>
  <c r="X31" i="110"/>
  <c r="Z31" i="110" s="1"/>
  <c r="L31" i="110"/>
  <c r="N31" i="110" s="1"/>
  <c r="B31" i="110"/>
  <c r="Z30" i="110"/>
  <c r="X30" i="110"/>
  <c r="L30" i="110"/>
  <c r="N30" i="110" s="1"/>
  <c r="B30" i="110"/>
  <c r="T29" i="110"/>
  <c r="P29" i="110"/>
  <c r="X29" i="110" s="1"/>
  <c r="H29" i="110"/>
  <c r="D29" i="110"/>
  <c r="B29" i="110"/>
  <c r="Z28" i="110"/>
  <c r="X28" i="110"/>
  <c r="N28" i="110"/>
  <c r="L28" i="110"/>
  <c r="B28" i="110"/>
  <c r="X27" i="110"/>
  <c r="Z27" i="110" s="1"/>
  <c r="L27" i="110"/>
  <c r="N27" i="110" s="1"/>
  <c r="B27" i="110"/>
  <c r="Z26" i="110"/>
  <c r="X26" i="110"/>
  <c r="N26" i="110"/>
  <c r="L26" i="110"/>
  <c r="B26" i="110"/>
  <c r="Z25" i="110"/>
  <c r="X25" i="110"/>
  <c r="L25" i="110"/>
  <c r="N25" i="110" s="1"/>
  <c r="B25" i="110"/>
  <c r="Z24" i="110"/>
  <c r="X24" i="110"/>
  <c r="N24" i="110"/>
  <c r="L24" i="110"/>
  <c r="B24" i="110"/>
  <c r="X23" i="110"/>
  <c r="Z23" i="110" s="1"/>
  <c r="N23" i="110"/>
  <c r="L23" i="110"/>
  <c r="F23" i="110"/>
  <c r="B23" i="110"/>
  <c r="X22" i="110"/>
  <c r="Z22" i="110" s="1"/>
  <c r="N22" i="110"/>
  <c r="L22" i="110"/>
  <c r="B22" i="110"/>
  <c r="Z21" i="110"/>
  <c r="X21" i="110"/>
  <c r="L21" i="110"/>
  <c r="N21" i="110" s="1"/>
  <c r="B21" i="110"/>
  <c r="T20" i="110"/>
  <c r="P20" i="110"/>
  <c r="L20" i="110"/>
  <c r="N20" i="110" s="1"/>
  <c r="H20" i="110"/>
  <c r="D20" i="110"/>
  <c r="B20" i="110"/>
  <c r="T19" i="110"/>
  <c r="P19" i="110"/>
  <c r="X19" i="110" s="1"/>
  <c r="L19" i="110"/>
  <c r="H19" i="110"/>
  <c r="D19" i="110"/>
  <c r="Z15" i="110"/>
  <c r="X15" i="110"/>
  <c r="T15" i="110"/>
  <c r="P15" i="110"/>
  <c r="H15" i="110"/>
  <c r="N15" i="110" s="1"/>
  <c r="D15" i="110"/>
  <c r="L15" i="110" s="1"/>
  <c r="T13" i="110"/>
  <c r="T12" i="110" s="1"/>
  <c r="V30" i="110" s="1"/>
  <c r="P13" i="110"/>
  <c r="P12" i="110" s="1"/>
  <c r="R21" i="110" s="1"/>
  <c r="L13" i="110"/>
  <c r="H13" i="110"/>
  <c r="D13" i="110"/>
  <c r="D12" i="110" s="1"/>
  <c r="F35" i="110" s="1"/>
  <c r="B13" i="110"/>
  <c r="H12" i="110"/>
  <c r="D6" i="110"/>
  <c r="D4" i="110"/>
  <c r="V44" i="109"/>
  <c r="J44" i="109"/>
  <c r="J41" i="109"/>
  <c r="Z39" i="109"/>
  <c r="X39" i="109"/>
  <c r="V39" i="109"/>
  <c r="N39" i="109"/>
  <c r="L39" i="109"/>
  <c r="J39" i="109"/>
  <c r="F39" i="109"/>
  <c r="J37" i="109"/>
  <c r="V35" i="109"/>
  <c r="T35" i="109"/>
  <c r="P35" i="109"/>
  <c r="N35" i="109"/>
  <c r="H35" i="109"/>
  <c r="D35" i="109"/>
  <c r="L35" i="109" s="1"/>
  <c r="B35" i="109"/>
  <c r="T34" i="109"/>
  <c r="P34" i="109"/>
  <c r="P33" i="109" s="1"/>
  <c r="L34" i="109"/>
  <c r="J34" i="109"/>
  <c r="H34" i="109"/>
  <c r="D34" i="109"/>
  <c r="D33" i="109" s="1"/>
  <c r="B34" i="109"/>
  <c r="V33" i="109"/>
  <c r="L33" i="109"/>
  <c r="N33" i="109" s="1"/>
  <c r="J33" i="109"/>
  <c r="H33" i="109"/>
  <c r="X31" i="109"/>
  <c r="Z31" i="109" s="1"/>
  <c r="N31" i="109"/>
  <c r="L31" i="109"/>
  <c r="J31" i="109"/>
  <c r="B31" i="109"/>
  <c r="X30" i="109"/>
  <c r="Z30" i="109" s="1"/>
  <c r="T30" i="109"/>
  <c r="P30" i="109"/>
  <c r="H30" i="109"/>
  <c r="D30" i="109"/>
  <c r="L30" i="109" s="1"/>
  <c r="B30" i="109"/>
  <c r="Z29" i="109"/>
  <c r="X29" i="109"/>
  <c r="V29" i="109"/>
  <c r="R29" i="109"/>
  <c r="N29" i="109"/>
  <c r="L29" i="109"/>
  <c r="B29" i="109"/>
  <c r="Z28" i="109"/>
  <c r="X28" i="109"/>
  <c r="V28" i="109"/>
  <c r="L28" i="109"/>
  <c r="N28" i="109" s="1"/>
  <c r="J28" i="109"/>
  <c r="B28" i="109"/>
  <c r="Z27" i="109"/>
  <c r="X27" i="109"/>
  <c r="T27" i="109"/>
  <c r="P27" i="109"/>
  <c r="N27" i="109"/>
  <c r="J27" i="109"/>
  <c r="H27" i="109"/>
  <c r="D27" i="109"/>
  <c r="L27" i="109" s="1"/>
  <c r="B27" i="109"/>
  <c r="Z26" i="109"/>
  <c r="X26" i="109"/>
  <c r="N26" i="109"/>
  <c r="L26" i="109"/>
  <c r="B26" i="109"/>
  <c r="X25" i="109"/>
  <c r="Z25" i="109" s="1"/>
  <c r="V25" i="109"/>
  <c r="R25" i="109"/>
  <c r="N25" i="109"/>
  <c r="L25" i="109"/>
  <c r="B25" i="109"/>
  <c r="X24" i="109"/>
  <c r="Z24" i="109" s="1"/>
  <c r="V24" i="109"/>
  <c r="R24" i="109"/>
  <c r="L24" i="109"/>
  <c r="N24" i="109" s="1"/>
  <c r="J24" i="109"/>
  <c r="F24" i="109"/>
  <c r="B24" i="109"/>
  <c r="Z23" i="109"/>
  <c r="X23" i="109"/>
  <c r="L23" i="109"/>
  <c r="N23" i="109" s="1"/>
  <c r="J23" i="109"/>
  <c r="B23" i="109"/>
  <c r="X22" i="109"/>
  <c r="Z22" i="109" s="1"/>
  <c r="V22" i="109"/>
  <c r="L22" i="109"/>
  <c r="N22" i="109" s="1"/>
  <c r="J22" i="109"/>
  <c r="B22" i="109"/>
  <c r="Z21" i="109"/>
  <c r="X21" i="109"/>
  <c r="V21" i="109"/>
  <c r="N21" i="109"/>
  <c r="L21" i="109"/>
  <c r="J21" i="109"/>
  <c r="B21" i="109"/>
  <c r="Z20" i="109"/>
  <c r="X20" i="109"/>
  <c r="V20" i="109"/>
  <c r="R20" i="109"/>
  <c r="L20" i="109"/>
  <c r="N20" i="109" s="1"/>
  <c r="J20" i="109"/>
  <c r="F20" i="109"/>
  <c r="B20" i="109"/>
  <c r="T19" i="109"/>
  <c r="P19" i="109"/>
  <c r="X19" i="109" s="1"/>
  <c r="J19" i="109"/>
  <c r="H19" i="109"/>
  <c r="D19" i="109"/>
  <c r="B19" i="109"/>
  <c r="T18" i="109"/>
  <c r="P18" i="109"/>
  <c r="X18" i="109" s="1"/>
  <c r="J18" i="109"/>
  <c r="H18" i="109"/>
  <c r="D18" i="109"/>
  <c r="T16" i="109"/>
  <c r="P16" i="109"/>
  <c r="J16" i="109"/>
  <c r="H16" i="109"/>
  <c r="F16" i="109"/>
  <c r="T14" i="109"/>
  <c r="Z14" i="109" s="1"/>
  <c r="P14" i="109"/>
  <c r="J14" i="109"/>
  <c r="H14" i="109"/>
  <c r="N14" i="109" s="1"/>
  <c r="F14" i="109"/>
  <c r="D14" i="109"/>
  <c r="L14" i="109" s="1"/>
  <c r="T12" i="109"/>
  <c r="V30" i="109" s="1"/>
  <c r="P12" i="109"/>
  <c r="R28" i="109" s="1"/>
  <c r="N12" i="109"/>
  <c r="H12" i="109"/>
  <c r="D12" i="109"/>
  <c r="F28" i="109" s="1"/>
  <c r="D6" i="109"/>
  <c r="D4" i="109"/>
  <c r="X86" i="108"/>
  <c r="Z86" i="108" s="1"/>
  <c r="L86" i="108"/>
  <c r="N86" i="108" s="1"/>
  <c r="F84" i="108"/>
  <c r="X82" i="108"/>
  <c r="T82" i="108"/>
  <c r="Z82" i="108" s="1"/>
  <c r="P82" i="108"/>
  <c r="H82" i="108"/>
  <c r="N82" i="108" s="1"/>
  <c r="D82" i="108"/>
  <c r="L82" i="108" s="1"/>
  <c r="X80" i="108"/>
  <c r="Z80" i="108" s="1"/>
  <c r="R80" i="108"/>
  <c r="L80" i="108"/>
  <c r="N80" i="108" s="1"/>
  <c r="B80" i="108"/>
  <c r="Z79" i="108"/>
  <c r="X79" i="108"/>
  <c r="N79" i="108"/>
  <c r="L79" i="108"/>
  <c r="B79" i="108"/>
  <c r="T78" i="108"/>
  <c r="P78" i="108"/>
  <c r="L78" i="108"/>
  <c r="H78" i="108"/>
  <c r="D78" i="108"/>
  <c r="B78" i="108"/>
  <c r="X77" i="108"/>
  <c r="Z77" i="108" s="1"/>
  <c r="N77" i="108"/>
  <c r="L77" i="108"/>
  <c r="F77" i="108"/>
  <c r="B77" i="108"/>
  <c r="T76" i="108"/>
  <c r="P76" i="108"/>
  <c r="X76" i="108" s="1"/>
  <c r="Z76" i="108" s="1"/>
  <c r="N76" i="108"/>
  <c r="H76" i="108"/>
  <c r="F76" i="108"/>
  <c r="D76" i="108"/>
  <c r="L76" i="108" s="1"/>
  <c r="B76" i="108"/>
  <c r="Z75" i="108"/>
  <c r="X75" i="108"/>
  <c r="L75" i="108"/>
  <c r="N75" i="108" s="1"/>
  <c r="B75" i="108"/>
  <c r="T74" i="108"/>
  <c r="P74" i="108"/>
  <c r="L74" i="108"/>
  <c r="H74" i="108"/>
  <c r="D74" i="108"/>
  <c r="B74" i="108"/>
  <c r="X73" i="108"/>
  <c r="Z73" i="108" s="1"/>
  <c r="L73" i="108"/>
  <c r="N73" i="108" s="1"/>
  <c r="F73" i="108"/>
  <c r="B73" i="108"/>
  <c r="Z72" i="108"/>
  <c r="X72" i="108"/>
  <c r="N72" i="108"/>
  <c r="L72" i="108"/>
  <c r="B72" i="108"/>
  <c r="Z71" i="108"/>
  <c r="X71" i="108"/>
  <c r="N71" i="108"/>
  <c r="L71" i="108"/>
  <c r="F71" i="108"/>
  <c r="B71" i="108"/>
  <c r="X70" i="108"/>
  <c r="Z70" i="108" s="1"/>
  <c r="L70" i="108"/>
  <c r="N70" i="108" s="1"/>
  <c r="B70" i="108"/>
  <c r="Z69" i="108"/>
  <c r="X69" i="108"/>
  <c r="L69" i="108"/>
  <c r="N69" i="108" s="1"/>
  <c r="B69" i="108"/>
  <c r="X68" i="108"/>
  <c r="Z68" i="108" s="1"/>
  <c r="L68" i="108"/>
  <c r="N68" i="108" s="1"/>
  <c r="B68" i="108"/>
  <c r="X67" i="108"/>
  <c r="Z67" i="108" s="1"/>
  <c r="N67" i="108"/>
  <c r="L67" i="108"/>
  <c r="B67" i="108"/>
  <c r="T66" i="108"/>
  <c r="P66" i="108"/>
  <c r="X66" i="108" s="1"/>
  <c r="H66" i="108"/>
  <c r="L66" i="108" s="1"/>
  <c r="D66" i="108"/>
  <c r="B66" i="108"/>
  <c r="X65" i="108"/>
  <c r="Z65" i="108" s="1"/>
  <c r="N65" i="108"/>
  <c r="L65" i="108"/>
  <c r="B65" i="108"/>
  <c r="Z64" i="108"/>
  <c r="X64" i="108"/>
  <c r="L64" i="108"/>
  <c r="N64" i="108" s="1"/>
  <c r="F64" i="108"/>
  <c r="B64" i="108"/>
  <c r="X63" i="108"/>
  <c r="Z63" i="108" s="1"/>
  <c r="N63" i="108"/>
  <c r="L63" i="108"/>
  <c r="B63" i="108"/>
  <c r="T62" i="108"/>
  <c r="Z62" i="108" s="1"/>
  <c r="P62" i="108"/>
  <c r="X62" i="108" s="1"/>
  <c r="L62" i="108"/>
  <c r="N62" i="108" s="1"/>
  <c r="H62" i="108"/>
  <c r="D62" i="108"/>
  <c r="B62" i="108"/>
  <c r="Z61" i="108"/>
  <c r="X61" i="108"/>
  <c r="N61" i="108"/>
  <c r="L61" i="108"/>
  <c r="B61" i="108"/>
  <c r="X60" i="108"/>
  <c r="Z60" i="108" s="1"/>
  <c r="L60" i="108"/>
  <c r="N60" i="108" s="1"/>
  <c r="B60" i="108"/>
  <c r="T59" i="108"/>
  <c r="P59" i="108"/>
  <c r="X59" i="108" s="1"/>
  <c r="Z59" i="108" s="1"/>
  <c r="H59" i="108"/>
  <c r="D59" i="108"/>
  <c r="B59" i="108"/>
  <c r="X58" i="108"/>
  <c r="Z58" i="108" s="1"/>
  <c r="L58" i="108"/>
  <c r="N58" i="108" s="1"/>
  <c r="F58" i="108"/>
  <c r="B58" i="108"/>
  <c r="X57" i="108"/>
  <c r="Z57" i="108" s="1"/>
  <c r="T57" i="108"/>
  <c r="P57" i="108"/>
  <c r="H57" i="108"/>
  <c r="D57" i="108"/>
  <c r="L57" i="108" s="1"/>
  <c r="N57" i="108" s="1"/>
  <c r="B57" i="108"/>
  <c r="X56" i="108"/>
  <c r="Z56" i="108" s="1"/>
  <c r="L56" i="108"/>
  <c r="N56" i="108" s="1"/>
  <c r="B56" i="108"/>
  <c r="T55" i="108"/>
  <c r="P55" i="108"/>
  <c r="L55" i="108"/>
  <c r="H55" i="108"/>
  <c r="F55" i="108"/>
  <c r="D55" i="108"/>
  <c r="B55" i="108"/>
  <c r="Z54" i="108"/>
  <c r="X54" i="108"/>
  <c r="R54" i="108"/>
  <c r="N54" i="108"/>
  <c r="L54" i="108"/>
  <c r="B54" i="108"/>
  <c r="T53" i="108"/>
  <c r="P53" i="108"/>
  <c r="H53" i="108"/>
  <c r="N53" i="108" s="1"/>
  <c r="D53" i="108"/>
  <c r="B53" i="108"/>
  <c r="X52" i="108"/>
  <c r="Z52" i="108" s="1"/>
  <c r="N52" i="108"/>
  <c r="L52" i="108"/>
  <c r="B52" i="108"/>
  <c r="T51" i="108"/>
  <c r="P51" i="108"/>
  <c r="X51" i="108" s="1"/>
  <c r="Z51" i="108" s="1"/>
  <c r="N51" i="108"/>
  <c r="H51" i="108"/>
  <c r="D51" i="108"/>
  <c r="L51" i="108" s="1"/>
  <c r="B51" i="108"/>
  <c r="X50" i="108"/>
  <c r="Z50" i="108" s="1"/>
  <c r="R50" i="108"/>
  <c r="N50" i="108"/>
  <c r="L50" i="108"/>
  <c r="B50" i="108"/>
  <c r="T49" i="108"/>
  <c r="P49" i="108"/>
  <c r="L49" i="108"/>
  <c r="H49" i="108"/>
  <c r="N49" i="108" s="1"/>
  <c r="F49" i="108"/>
  <c r="D49" i="108"/>
  <c r="B49" i="108"/>
  <c r="Z48" i="108"/>
  <c r="X48" i="108"/>
  <c r="L48" i="108"/>
  <c r="N48" i="108" s="1"/>
  <c r="F48" i="108"/>
  <c r="B48" i="108"/>
  <c r="T47" i="108"/>
  <c r="P47" i="108"/>
  <c r="H47" i="108"/>
  <c r="F47" i="108"/>
  <c r="D47" i="108"/>
  <c r="B47" i="108"/>
  <c r="X46" i="108"/>
  <c r="Z46" i="108" s="1"/>
  <c r="N46" i="108"/>
  <c r="L46" i="108"/>
  <c r="B46" i="108"/>
  <c r="X45" i="108"/>
  <c r="Z45" i="108" s="1"/>
  <c r="T45" i="108"/>
  <c r="P45" i="108"/>
  <c r="N45" i="108"/>
  <c r="H45" i="108"/>
  <c r="D45" i="108"/>
  <c r="L45" i="108" s="1"/>
  <c r="B45" i="108"/>
  <c r="X44" i="108"/>
  <c r="Z44" i="108" s="1"/>
  <c r="N44" i="108"/>
  <c r="L44" i="108"/>
  <c r="F44" i="108"/>
  <c r="B44" i="108"/>
  <c r="X43" i="108"/>
  <c r="Z43" i="108" s="1"/>
  <c r="T43" i="108"/>
  <c r="P43" i="108"/>
  <c r="L43" i="108"/>
  <c r="H43" i="108"/>
  <c r="N43" i="108" s="1"/>
  <c r="F43" i="108"/>
  <c r="D43" i="108"/>
  <c r="B43" i="108"/>
  <c r="X42" i="108"/>
  <c r="Z42" i="108" s="1"/>
  <c r="L42" i="108"/>
  <c r="N42" i="108" s="1"/>
  <c r="F42" i="108"/>
  <c r="B42" i="108"/>
  <c r="T41" i="108"/>
  <c r="P41" i="108"/>
  <c r="N41" i="108"/>
  <c r="H41" i="108"/>
  <c r="D41" i="108"/>
  <c r="L41" i="108" s="1"/>
  <c r="B41" i="108"/>
  <c r="X40" i="108"/>
  <c r="Z40" i="108" s="1"/>
  <c r="L40" i="108"/>
  <c r="N40" i="108" s="1"/>
  <c r="B40" i="108"/>
  <c r="X39" i="108"/>
  <c r="Z39" i="108" s="1"/>
  <c r="L39" i="108"/>
  <c r="N39" i="108" s="1"/>
  <c r="F39" i="108"/>
  <c r="B39" i="108"/>
  <c r="Z38" i="108"/>
  <c r="X38" i="108"/>
  <c r="N38" i="108"/>
  <c r="L38" i="108"/>
  <c r="B38" i="108"/>
  <c r="Z37" i="108"/>
  <c r="X37" i="108"/>
  <c r="L37" i="108"/>
  <c r="N37" i="108" s="1"/>
  <c r="F37" i="108"/>
  <c r="B37" i="108"/>
  <c r="X36" i="108"/>
  <c r="Z36" i="108" s="1"/>
  <c r="L36" i="108"/>
  <c r="N36" i="108" s="1"/>
  <c r="B36" i="108"/>
  <c r="X35" i="108"/>
  <c r="Z35" i="108" s="1"/>
  <c r="L35" i="108"/>
  <c r="N35" i="108" s="1"/>
  <c r="B35" i="108"/>
  <c r="T34" i="108"/>
  <c r="P34" i="108"/>
  <c r="X34" i="108" s="1"/>
  <c r="H34" i="108"/>
  <c r="D34" i="108"/>
  <c r="L34" i="108" s="1"/>
  <c r="B34" i="108"/>
  <c r="X33" i="108"/>
  <c r="Z33" i="108" s="1"/>
  <c r="N33" i="108"/>
  <c r="L33" i="108"/>
  <c r="B33" i="108"/>
  <c r="Z32" i="108"/>
  <c r="X32" i="108"/>
  <c r="L32" i="108"/>
  <c r="N32" i="108" s="1"/>
  <c r="F32" i="108"/>
  <c r="B32" i="108"/>
  <c r="X31" i="108"/>
  <c r="Z31" i="108" s="1"/>
  <c r="N31" i="108"/>
  <c r="L31" i="108"/>
  <c r="B31" i="108"/>
  <c r="Z30" i="108"/>
  <c r="X30" i="108"/>
  <c r="N30" i="108"/>
  <c r="L30" i="108"/>
  <c r="F30" i="108"/>
  <c r="B30" i="108"/>
  <c r="X29" i="108"/>
  <c r="Z29" i="108" s="1"/>
  <c r="N29" i="108"/>
  <c r="L29" i="108"/>
  <c r="F29" i="108"/>
  <c r="B29" i="108"/>
  <c r="X28" i="108"/>
  <c r="Z28" i="108" s="1"/>
  <c r="N28" i="108"/>
  <c r="L28" i="108"/>
  <c r="F28" i="108"/>
  <c r="B28" i="108"/>
  <c r="X27" i="108"/>
  <c r="Z27" i="108" s="1"/>
  <c r="N27" i="108"/>
  <c r="L27" i="108"/>
  <c r="F27" i="108"/>
  <c r="B27" i="108"/>
  <c r="X26" i="108"/>
  <c r="Z26" i="108" s="1"/>
  <c r="L26" i="108"/>
  <c r="N26" i="108" s="1"/>
  <c r="J26" i="108"/>
  <c r="F26" i="108"/>
  <c r="B26" i="108"/>
  <c r="X25" i="108"/>
  <c r="Z25" i="108" s="1"/>
  <c r="N25" i="108"/>
  <c r="L25" i="108"/>
  <c r="F25" i="108"/>
  <c r="B25" i="108"/>
  <c r="X24" i="108"/>
  <c r="Z24" i="108" s="1"/>
  <c r="T24" i="108"/>
  <c r="P24" i="108"/>
  <c r="H24" i="108"/>
  <c r="D24" i="108"/>
  <c r="L24" i="108" s="1"/>
  <c r="B24" i="108"/>
  <c r="T23" i="108"/>
  <c r="R23" i="108"/>
  <c r="P23" i="108"/>
  <c r="H23" i="108"/>
  <c r="D23" i="108"/>
  <c r="L23" i="108" s="1"/>
  <c r="N23" i="108" s="1"/>
  <c r="D21" i="108"/>
  <c r="D84" i="108" s="1"/>
  <c r="D88" i="108" s="1"/>
  <c r="Z19" i="108"/>
  <c r="X19" i="108"/>
  <c r="L19" i="108"/>
  <c r="N19" i="108" s="1"/>
  <c r="B19" i="108"/>
  <c r="X18" i="108"/>
  <c r="Z18" i="108" s="1"/>
  <c r="N18" i="108"/>
  <c r="L18" i="108"/>
  <c r="F18" i="108"/>
  <c r="B18" i="108"/>
  <c r="T17" i="108"/>
  <c r="P17" i="108"/>
  <c r="X17" i="108" s="1"/>
  <c r="Z17" i="108" s="1"/>
  <c r="H17" i="108"/>
  <c r="F17" i="108"/>
  <c r="D17" i="108"/>
  <c r="T15" i="108"/>
  <c r="P15" i="108"/>
  <c r="N15" i="108"/>
  <c r="L15" i="108"/>
  <c r="H15" i="108"/>
  <c r="D15" i="108"/>
  <c r="B15" i="108"/>
  <c r="T14" i="108"/>
  <c r="X14" i="108" s="1"/>
  <c r="P14" i="108"/>
  <c r="H14" i="108"/>
  <c r="H12" i="108" s="1"/>
  <c r="D14" i="108"/>
  <c r="B14" i="108"/>
  <c r="Z13" i="108"/>
  <c r="T13" i="108"/>
  <c r="P13" i="108"/>
  <c r="X13" i="108" s="1"/>
  <c r="H13" i="108"/>
  <c r="L13" i="108" s="1"/>
  <c r="N13" i="108" s="1"/>
  <c r="D13" i="108"/>
  <c r="B13" i="108"/>
  <c r="P12" i="108"/>
  <c r="D12" i="108"/>
  <c r="D6" i="108"/>
  <c r="D4" i="108"/>
  <c r="X87" i="106"/>
  <c r="Z87" i="106" s="1"/>
  <c r="L87" i="106"/>
  <c r="N87" i="106" s="1"/>
  <c r="T83" i="106"/>
  <c r="Z83" i="106" s="1"/>
  <c r="P83" i="106"/>
  <c r="X83" i="106" s="1"/>
  <c r="N83" i="106"/>
  <c r="H83" i="106"/>
  <c r="D83" i="106"/>
  <c r="Z81" i="106"/>
  <c r="X81" i="106"/>
  <c r="N81" i="106"/>
  <c r="L81" i="106"/>
  <c r="B81" i="106"/>
  <c r="T80" i="106"/>
  <c r="Z80" i="106" s="1"/>
  <c r="P80" i="106"/>
  <c r="H80" i="106"/>
  <c r="N80" i="106" s="1"/>
  <c r="D80" i="106"/>
  <c r="L80" i="106" s="1"/>
  <c r="B80" i="106"/>
  <c r="X79" i="106"/>
  <c r="Z79" i="106" s="1"/>
  <c r="N79" i="106"/>
  <c r="L79" i="106"/>
  <c r="B79" i="106"/>
  <c r="T78" i="106"/>
  <c r="P78" i="106"/>
  <c r="X78" i="106" s="1"/>
  <c r="Z78" i="106" s="1"/>
  <c r="H78" i="106"/>
  <c r="N78" i="106" s="1"/>
  <c r="D78" i="106"/>
  <c r="L78" i="106" s="1"/>
  <c r="B78" i="106"/>
  <c r="X77" i="106"/>
  <c r="Z77" i="106" s="1"/>
  <c r="R77" i="106"/>
  <c r="N77" i="106"/>
  <c r="L77" i="106"/>
  <c r="B77" i="106"/>
  <c r="X76" i="106"/>
  <c r="Z76" i="106" s="1"/>
  <c r="T76" i="106"/>
  <c r="P76" i="106"/>
  <c r="N76" i="106"/>
  <c r="H76" i="106"/>
  <c r="L76" i="106" s="1"/>
  <c r="D76" i="106"/>
  <c r="B76" i="106"/>
  <c r="Z75" i="106"/>
  <c r="X75" i="106"/>
  <c r="N75" i="106"/>
  <c r="L75" i="106"/>
  <c r="B75" i="106"/>
  <c r="Z74" i="106"/>
  <c r="X74" i="106"/>
  <c r="N74" i="106"/>
  <c r="L74" i="106"/>
  <c r="B74" i="106"/>
  <c r="Z73" i="106"/>
  <c r="X73" i="106"/>
  <c r="N73" i="106"/>
  <c r="L73" i="106"/>
  <c r="J73" i="106"/>
  <c r="B73" i="106"/>
  <c r="Z72" i="106"/>
  <c r="X72" i="106"/>
  <c r="L72" i="106"/>
  <c r="N72" i="106" s="1"/>
  <c r="B72" i="106"/>
  <c r="Z71" i="106"/>
  <c r="X71" i="106"/>
  <c r="L71" i="106"/>
  <c r="N71" i="106" s="1"/>
  <c r="B71" i="106"/>
  <c r="Z70" i="106"/>
  <c r="X70" i="106"/>
  <c r="N70" i="106"/>
  <c r="L70" i="106"/>
  <c r="B70" i="106"/>
  <c r="Z69" i="106"/>
  <c r="X69" i="106"/>
  <c r="L69" i="106"/>
  <c r="N69" i="106" s="1"/>
  <c r="B69" i="106"/>
  <c r="Z68" i="106"/>
  <c r="X68" i="106"/>
  <c r="N68" i="106"/>
  <c r="L68" i="106"/>
  <c r="B68" i="106"/>
  <c r="T67" i="106"/>
  <c r="P67" i="106"/>
  <c r="H67" i="106"/>
  <c r="D67" i="106"/>
  <c r="L67" i="106" s="1"/>
  <c r="N67" i="106" s="1"/>
  <c r="B67" i="106"/>
  <c r="Z66" i="106"/>
  <c r="X66" i="106"/>
  <c r="N66" i="106"/>
  <c r="L66" i="106"/>
  <c r="B66" i="106"/>
  <c r="X65" i="106"/>
  <c r="Z65" i="106" s="1"/>
  <c r="L65" i="106"/>
  <c r="N65" i="106" s="1"/>
  <c r="B65" i="106"/>
  <c r="X64" i="106"/>
  <c r="Z64" i="106" s="1"/>
  <c r="L64" i="106"/>
  <c r="N64" i="106" s="1"/>
  <c r="B64" i="106"/>
  <c r="X63" i="106"/>
  <c r="T63" i="106"/>
  <c r="Z63" i="106" s="1"/>
  <c r="P63" i="106"/>
  <c r="H63" i="106"/>
  <c r="D63" i="106"/>
  <c r="L63" i="106" s="1"/>
  <c r="B63" i="106"/>
  <c r="Z62" i="106"/>
  <c r="X62" i="106"/>
  <c r="R62" i="106"/>
  <c r="N62" i="106"/>
  <c r="L62" i="106"/>
  <c r="B62" i="106"/>
  <c r="X61" i="106"/>
  <c r="Z61" i="106" s="1"/>
  <c r="N61" i="106"/>
  <c r="L61" i="106"/>
  <c r="F61" i="106"/>
  <c r="B61" i="106"/>
  <c r="X60" i="106"/>
  <c r="Z60" i="106" s="1"/>
  <c r="N60" i="106"/>
  <c r="L60" i="106"/>
  <c r="B60" i="106"/>
  <c r="X59" i="106"/>
  <c r="Z59" i="106" s="1"/>
  <c r="T59" i="106"/>
  <c r="R59" i="106"/>
  <c r="P59" i="106"/>
  <c r="L59" i="106"/>
  <c r="H59" i="106"/>
  <c r="D59" i="106"/>
  <c r="B59" i="106"/>
  <c r="Z58" i="106"/>
  <c r="X58" i="106"/>
  <c r="N58" i="106"/>
  <c r="L58" i="106"/>
  <c r="B58" i="106"/>
  <c r="Z57" i="106"/>
  <c r="T57" i="106"/>
  <c r="P57" i="106"/>
  <c r="X57" i="106" s="1"/>
  <c r="H57" i="106"/>
  <c r="D57" i="106"/>
  <c r="L57" i="106" s="1"/>
  <c r="N57" i="106" s="1"/>
  <c r="B57" i="106"/>
  <c r="X56" i="106"/>
  <c r="Z56" i="106" s="1"/>
  <c r="L56" i="106"/>
  <c r="N56" i="106" s="1"/>
  <c r="B56" i="106"/>
  <c r="X55" i="106"/>
  <c r="Z55" i="106" s="1"/>
  <c r="T55" i="106"/>
  <c r="P55" i="106"/>
  <c r="H55" i="106"/>
  <c r="D55" i="106"/>
  <c r="B55" i="106"/>
  <c r="X54" i="106"/>
  <c r="Z54" i="106" s="1"/>
  <c r="N54" i="106"/>
  <c r="L54" i="106"/>
  <c r="B54" i="106"/>
  <c r="T53" i="106"/>
  <c r="P53" i="106"/>
  <c r="N53" i="106"/>
  <c r="H53" i="106"/>
  <c r="D53" i="106"/>
  <c r="L53" i="106" s="1"/>
  <c r="B53" i="106"/>
  <c r="Z52" i="106"/>
  <c r="X52" i="106"/>
  <c r="L52" i="106"/>
  <c r="N52" i="106" s="1"/>
  <c r="B52" i="106"/>
  <c r="X51" i="106"/>
  <c r="T51" i="106"/>
  <c r="P51" i="106"/>
  <c r="H51" i="106"/>
  <c r="D51" i="106"/>
  <c r="L51" i="106" s="1"/>
  <c r="N51" i="106" s="1"/>
  <c r="B51" i="106"/>
  <c r="X50" i="106"/>
  <c r="Z50" i="106" s="1"/>
  <c r="N50" i="106"/>
  <c r="L50" i="106"/>
  <c r="B50" i="106"/>
  <c r="T49" i="106"/>
  <c r="P49" i="106"/>
  <c r="X49" i="106" s="1"/>
  <c r="N49" i="106"/>
  <c r="L49" i="106"/>
  <c r="H49" i="106"/>
  <c r="D49" i="106"/>
  <c r="B49" i="106"/>
  <c r="Z48" i="106"/>
  <c r="X48" i="106"/>
  <c r="N48" i="106"/>
  <c r="L48" i="106"/>
  <c r="J48" i="106"/>
  <c r="B48" i="106"/>
  <c r="T47" i="106"/>
  <c r="X47" i="106" s="1"/>
  <c r="P47" i="106"/>
  <c r="H47" i="106"/>
  <c r="D47" i="106"/>
  <c r="B47" i="106"/>
  <c r="Z46" i="106"/>
  <c r="X46" i="106"/>
  <c r="N46" i="106"/>
  <c r="L46" i="106"/>
  <c r="B46" i="106"/>
  <c r="T45" i="106"/>
  <c r="P45" i="106"/>
  <c r="H45" i="106"/>
  <c r="D45" i="106"/>
  <c r="L45" i="106" s="1"/>
  <c r="N45" i="106" s="1"/>
  <c r="B45" i="106"/>
  <c r="X44" i="106"/>
  <c r="Z44" i="106" s="1"/>
  <c r="N44" i="106"/>
  <c r="L44" i="106"/>
  <c r="J44" i="106"/>
  <c r="B44" i="106"/>
  <c r="X43" i="106"/>
  <c r="Z43" i="106" s="1"/>
  <c r="T43" i="106"/>
  <c r="P43" i="106"/>
  <c r="H43" i="106"/>
  <c r="D43" i="106"/>
  <c r="L43" i="106" s="1"/>
  <c r="B43" i="106"/>
  <c r="Z42" i="106"/>
  <c r="X42" i="106"/>
  <c r="N42" i="106"/>
  <c r="L42" i="106"/>
  <c r="B42" i="106"/>
  <c r="T41" i="106"/>
  <c r="P41" i="106"/>
  <c r="H41" i="106"/>
  <c r="L41" i="106" s="1"/>
  <c r="D41" i="106"/>
  <c r="B41" i="106"/>
  <c r="Z40" i="106"/>
  <c r="X40" i="106"/>
  <c r="R40" i="106"/>
  <c r="L40" i="106"/>
  <c r="N40" i="106" s="1"/>
  <c r="B40" i="106"/>
  <c r="X39" i="106"/>
  <c r="Z39" i="106" s="1"/>
  <c r="L39" i="106"/>
  <c r="N39" i="106" s="1"/>
  <c r="B39" i="106"/>
  <c r="Z38" i="106"/>
  <c r="X38" i="106"/>
  <c r="R38" i="106"/>
  <c r="L38" i="106"/>
  <c r="N38" i="106" s="1"/>
  <c r="B38" i="106"/>
  <c r="Z37" i="106"/>
  <c r="X37" i="106"/>
  <c r="L37" i="106"/>
  <c r="N37" i="106" s="1"/>
  <c r="J37" i="106"/>
  <c r="B37" i="106"/>
  <c r="Z36" i="106"/>
  <c r="X36" i="106"/>
  <c r="L36" i="106"/>
  <c r="N36" i="106" s="1"/>
  <c r="B36" i="106"/>
  <c r="Z35" i="106"/>
  <c r="X35" i="106"/>
  <c r="L35" i="106"/>
  <c r="N35" i="106" s="1"/>
  <c r="B35" i="106"/>
  <c r="T34" i="106"/>
  <c r="P34" i="106"/>
  <c r="X34" i="106" s="1"/>
  <c r="Z34" i="106" s="1"/>
  <c r="J34" i="106"/>
  <c r="H34" i="106"/>
  <c r="D34" i="106"/>
  <c r="L34" i="106" s="1"/>
  <c r="N34" i="106" s="1"/>
  <c r="B34" i="106"/>
  <c r="X33" i="106"/>
  <c r="Z33" i="106" s="1"/>
  <c r="L33" i="106"/>
  <c r="N33" i="106" s="1"/>
  <c r="B33" i="106"/>
  <c r="X32" i="106"/>
  <c r="Z32" i="106" s="1"/>
  <c r="R32" i="106"/>
  <c r="L32" i="106"/>
  <c r="N32" i="106" s="1"/>
  <c r="B32" i="106"/>
  <c r="X31" i="106"/>
  <c r="Z31" i="106" s="1"/>
  <c r="N31" i="106"/>
  <c r="L31" i="106"/>
  <c r="J31" i="106"/>
  <c r="B31" i="106"/>
  <c r="X30" i="106"/>
  <c r="Z30" i="106" s="1"/>
  <c r="N30" i="106"/>
  <c r="L30" i="106"/>
  <c r="B30" i="106"/>
  <c r="Z29" i="106"/>
  <c r="X29" i="106"/>
  <c r="N29" i="106"/>
  <c r="L29" i="106"/>
  <c r="B29" i="106"/>
  <c r="X28" i="106"/>
  <c r="Z28" i="106" s="1"/>
  <c r="L28" i="106"/>
  <c r="N28" i="106" s="1"/>
  <c r="F28" i="106"/>
  <c r="B28" i="106"/>
  <c r="X27" i="106"/>
  <c r="Z27" i="106" s="1"/>
  <c r="L27" i="106"/>
  <c r="N27" i="106" s="1"/>
  <c r="B27" i="106"/>
  <c r="X26" i="106"/>
  <c r="Z26" i="106" s="1"/>
  <c r="N26" i="106"/>
  <c r="L26" i="106"/>
  <c r="F26" i="106"/>
  <c r="B26" i="106"/>
  <c r="X25" i="106"/>
  <c r="Z25" i="106" s="1"/>
  <c r="L25" i="106"/>
  <c r="N25" i="106" s="1"/>
  <c r="B25" i="106"/>
  <c r="T24" i="106"/>
  <c r="X24" i="106" s="1"/>
  <c r="P24" i="106"/>
  <c r="H24" i="106"/>
  <c r="D24" i="106"/>
  <c r="L24" i="106" s="1"/>
  <c r="N24" i="106" s="1"/>
  <c r="B24" i="106"/>
  <c r="T23" i="106"/>
  <c r="P23" i="106"/>
  <c r="X23" i="106" s="1"/>
  <c r="Z23" i="106" s="1"/>
  <c r="H23" i="106"/>
  <c r="L23" i="106" s="1"/>
  <c r="N23" i="106" s="1"/>
  <c r="D23" i="106"/>
  <c r="Z19" i="106"/>
  <c r="X19" i="106"/>
  <c r="N19" i="106"/>
  <c r="L19" i="106"/>
  <c r="B19" i="106"/>
  <c r="X18" i="106"/>
  <c r="Z18" i="106" s="1"/>
  <c r="L18" i="106"/>
  <c r="N18" i="106" s="1"/>
  <c r="F18" i="106"/>
  <c r="B18" i="106"/>
  <c r="X17" i="106"/>
  <c r="Z17" i="106" s="1"/>
  <c r="T17" i="106"/>
  <c r="P17" i="106"/>
  <c r="H17" i="106"/>
  <c r="D17" i="106"/>
  <c r="L17" i="106" s="1"/>
  <c r="N17" i="106" s="1"/>
  <c r="X15" i="106"/>
  <c r="Z15" i="106" s="1"/>
  <c r="T15" i="106"/>
  <c r="P15" i="106"/>
  <c r="H15" i="106"/>
  <c r="D15" i="106"/>
  <c r="B15" i="106"/>
  <c r="X14" i="106"/>
  <c r="T14" i="106"/>
  <c r="P14" i="106"/>
  <c r="N14" i="106"/>
  <c r="L14" i="106"/>
  <c r="H14" i="106"/>
  <c r="D14" i="106"/>
  <c r="B14" i="106"/>
  <c r="T13" i="106"/>
  <c r="P13" i="106"/>
  <c r="N13" i="106"/>
  <c r="H13" i="106"/>
  <c r="H12" i="106" s="1"/>
  <c r="D13" i="106"/>
  <c r="L13" i="106" s="1"/>
  <c r="B13" i="106"/>
  <c r="P12" i="106"/>
  <c r="R73" i="106" s="1"/>
  <c r="D12" i="106"/>
  <c r="D6" i="106"/>
  <c r="D4" i="106"/>
  <c r="Z51" i="105"/>
  <c r="X51" i="105"/>
  <c r="L51" i="105"/>
  <c r="N51" i="105" s="1"/>
  <c r="X47" i="105"/>
  <c r="T47" i="105"/>
  <c r="Z47" i="105" s="1"/>
  <c r="P47" i="105"/>
  <c r="H47" i="105"/>
  <c r="N47" i="105" s="1"/>
  <c r="D47" i="105"/>
  <c r="L47" i="105" s="1"/>
  <c r="X45" i="105"/>
  <c r="Z45" i="105" s="1"/>
  <c r="N45" i="105"/>
  <c r="L45" i="105"/>
  <c r="B45" i="105"/>
  <c r="T44" i="105"/>
  <c r="P44" i="105"/>
  <c r="X44" i="105" s="1"/>
  <c r="Z44" i="105" s="1"/>
  <c r="H44" i="105"/>
  <c r="D44" i="105"/>
  <c r="L44" i="105" s="1"/>
  <c r="N44" i="105" s="1"/>
  <c r="B44" i="105"/>
  <c r="Z43" i="105"/>
  <c r="X43" i="105"/>
  <c r="N43" i="105"/>
  <c r="L43" i="105"/>
  <c r="B43" i="105"/>
  <c r="X42" i="105"/>
  <c r="Z42" i="105" s="1"/>
  <c r="N42" i="105"/>
  <c r="L42" i="105"/>
  <c r="B42" i="105"/>
  <c r="Z41" i="105"/>
  <c r="X41" i="105"/>
  <c r="N41" i="105"/>
  <c r="L41" i="105"/>
  <c r="B41" i="105"/>
  <c r="Z40" i="105"/>
  <c r="X40" i="105"/>
  <c r="N40" i="105"/>
  <c r="L40" i="105"/>
  <c r="B40" i="105"/>
  <c r="T39" i="105"/>
  <c r="P39" i="105"/>
  <c r="H39" i="105"/>
  <c r="D39" i="105"/>
  <c r="L39" i="105" s="1"/>
  <c r="N39" i="105" s="1"/>
  <c r="B39" i="105"/>
  <c r="Z38" i="105"/>
  <c r="X38" i="105"/>
  <c r="L38" i="105"/>
  <c r="N38" i="105" s="1"/>
  <c r="B38" i="105"/>
  <c r="T37" i="105"/>
  <c r="P37" i="105"/>
  <c r="N37" i="105"/>
  <c r="L37" i="105"/>
  <c r="H37" i="105"/>
  <c r="D37" i="105"/>
  <c r="B37" i="105"/>
  <c r="Z36" i="105"/>
  <c r="X36" i="105"/>
  <c r="N36" i="105"/>
  <c r="L36" i="105"/>
  <c r="B36" i="105"/>
  <c r="T35" i="105"/>
  <c r="P35" i="105"/>
  <c r="X35" i="105" s="1"/>
  <c r="L35" i="105"/>
  <c r="H35" i="105"/>
  <c r="N35" i="105" s="1"/>
  <c r="D35" i="105"/>
  <c r="B35" i="105"/>
  <c r="X34" i="105"/>
  <c r="Z34" i="105" s="1"/>
  <c r="N34" i="105"/>
  <c r="L34" i="105"/>
  <c r="B34" i="105"/>
  <c r="T33" i="105"/>
  <c r="P33" i="105"/>
  <c r="X33" i="105" s="1"/>
  <c r="Z33" i="105" s="1"/>
  <c r="H33" i="105"/>
  <c r="D33" i="105"/>
  <c r="B33" i="105"/>
  <c r="Z32" i="105"/>
  <c r="X32" i="105"/>
  <c r="N32" i="105"/>
  <c r="L32" i="105"/>
  <c r="B32" i="105"/>
  <c r="Z31" i="105"/>
  <c r="X31" i="105"/>
  <c r="T31" i="105"/>
  <c r="P31" i="105"/>
  <c r="H31" i="105"/>
  <c r="D31" i="105"/>
  <c r="B31" i="105"/>
  <c r="X30" i="105"/>
  <c r="Z30" i="105" s="1"/>
  <c r="L30" i="105"/>
  <c r="N30" i="105" s="1"/>
  <c r="B30" i="105"/>
  <c r="X29" i="105"/>
  <c r="Z29" i="105" s="1"/>
  <c r="N29" i="105"/>
  <c r="L29" i="105"/>
  <c r="B29" i="105"/>
  <c r="V28" i="105"/>
  <c r="T28" i="105"/>
  <c r="R28" i="105"/>
  <c r="P28" i="105"/>
  <c r="X28" i="105" s="1"/>
  <c r="Z28" i="105" s="1"/>
  <c r="H28" i="105"/>
  <c r="D28" i="105"/>
  <c r="L28" i="105" s="1"/>
  <c r="N28" i="105" s="1"/>
  <c r="B28" i="105"/>
  <c r="X27" i="105"/>
  <c r="Z27" i="105" s="1"/>
  <c r="N27" i="105"/>
  <c r="L27" i="105"/>
  <c r="B27" i="105"/>
  <c r="X26" i="105"/>
  <c r="Z26" i="105" s="1"/>
  <c r="N26" i="105"/>
  <c r="L26" i="105"/>
  <c r="B26" i="105"/>
  <c r="Z25" i="105"/>
  <c r="X25" i="105"/>
  <c r="L25" i="105"/>
  <c r="N25" i="105" s="1"/>
  <c r="B25" i="105"/>
  <c r="Z24" i="105"/>
  <c r="X24" i="105"/>
  <c r="T24" i="105"/>
  <c r="P24" i="105"/>
  <c r="L24" i="105"/>
  <c r="H24" i="105"/>
  <c r="N24" i="105" s="1"/>
  <c r="D24" i="105"/>
  <c r="B24" i="105"/>
  <c r="Z23" i="105"/>
  <c r="X23" i="105"/>
  <c r="T23" i="105"/>
  <c r="P23" i="105"/>
  <c r="H23" i="105"/>
  <c r="D23" i="105"/>
  <c r="L23" i="105" s="1"/>
  <c r="Z19" i="105"/>
  <c r="X19" i="105"/>
  <c r="L19" i="105"/>
  <c r="N19" i="105" s="1"/>
  <c r="B19" i="105"/>
  <c r="Z18" i="105"/>
  <c r="X18" i="105"/>
  <c r="V18" i="105"/>
  <c r="R18" i="105"/>
  <c r="L18" i="105"/>
  <c r="N18" i="105" s="1"/>
  <c r="B18" i="105"/>
  <c r="T17" i="105"/>
  <c r="P17" i="105"/>
  <c r="X17" i="105" s="1"/>
  <c r="Z17" i="105" s="1"/>
  <c r="N17" i="105"/>
  <c r="L17" i="105"/>
  <c r="H17" i="105"/>
  <c r="D17" i="105"/>
  <c r="X15" i="105"/>
  <c r="Z15" i="105" s="1"/>
  <c r="T15" i="105"/>
  <c r="P15" i="105"/>
  <c r="L15" i="105"/>
  <c r="H15" i="105"/>
  <c r="D15" i="105"/>
  <c r="B15" i="105"/>
  <c r="Z14" i="105"/>
  <c r="T14" i="105"/>
  <c r="P14" i="105"/>
  <c r="X14" i="105" s="1"/>
  <c r="N14" i="105"/>
  <c r="H14" i="105"/>
  <c r="L14" i="105" s="1"/>
  <c r="D14" i="105"/>
  <c r="B14" i="105"/>
  <c r="Z13" i="105"/>
  <c r="T13" i="105"/>
  <c r="X13" i="105" s="1"/>
  <c r="P13" i="105"/>
  <c r="H13" i="105"/>
  <c r="D13" i="105"/>
  <c r="B13" i="105"/>
  <c r="T12" i="105"/>
  <c r="P12" i="105"/>
  <c r="D6" i="105"/>
  <c r="D4" i="105"/>
  <c r="Z85" i="104"/>
  <c r="X85" i="104"/>
  <c r="N85" i="104"/>
  <c r="L85" i="104"/>
  <c r="T81" i="104"/>
  <c r="Z81" i="104" s="1"/>
  <c r="P81" i="104"/>
  <c r="N81" i="104"/>
  <c r="H81" i="104"/>
  <c r="D81" i="104"/>
  <c r="L81" i="104" s="1"/>
  <c r="Z79" i="104"/>
  <c r="X79" i="104"/>
  <c r="N79" i="104"/>
  <c r="L79" i="104"/>
  <c r="B79" i="104"/>
  <c r="Z78" i="104"/>
  <c r="X78" i="104"/>
  <c r="N78" i="104"/>
  <c r="L78" i="104"/>
  <c r="B78" i="104"/>
  <c r="T77" i="104"/>
  <c r="P77" i="104"/>
  <c r="H77" i="104"/>
  <c r="D77" i="104"/>
  <c r="B77" i="104"/>
  <c r="X76" i="104"/>
  <c r="Z76" i="104" s="1"/>
  <c r="N76" i="104"/>
  <c r="L76" i="104"/>
  <c r="B76" i="104"/>
  <c r="Z75" i="104"/>
  <c r="V75" i="104"/>
  <c r="T75" i="104"/>
  <c r="P75" i="104"/>
  <c r="X75" i="104" s="1"/>
  <c r="N75" i="104"/>
  <c r="H75" i="104"/>
  <c r="D75" i="104"/>
  <c r="L75" i="104" s="1"/>
  <c r="B75" i="104"/>
  <c r="X74" i="104"/>
  <c r="Z74" i="104" s="1"/>
  <c r="N74" i="104"/>
  <c r="L74" i="104"/>
  <c r="B74" i="104"/>
  <c r="X73" i="104"/>
  <c r="T73" i="104"/>
  <c r="P73" i="104"/>
  <c r="N73" i="104"/>
  <c r="L73" i="104"/>
  <c r="H73" i="104"/>
  <c r="D73" i="104"/>
  <c r="B73" i="104"/>
  <c r="Z72" i="104"/>
  <c r="X72" i="104"/>
  <c r="L72" i="104"/>
  <c r="N72" i="104" s="1"/>
  <c r="B72" i="104"/>
  <c r="Z71" i="104"/>
  <c r="X71" i="104"/>
  <c r="N71" i="104"/>
  <c r="L71" i="104"/>
  <c r="B71" i="104"/>
  <c r="Z70" i="104"/>
  <c r="X70" i="104"/>
  <c r="L70" i="104"/>
  <c r="N70" i="104" s="1"/>
  <c r="B70" i="104"/>
  <c r="Z69" i="104"/>
  <c r="X69" i="104"/>
  <c r="V69" i="104"/>
  <c r="L69" i="104"/>
  <c r="N69" i="104" s="1"/>
  <c r="B69" i="104"/>
  <c r="Z68" i="104"/>
  <c r="X68" i="104"/>
  <c r="L68" i="104"/>
  <c r="N68" i="104" s="1"/>
  <c r="B68" i="104"/>
  <c r="Z67" i="104"/>
  <c r="X67" i="104"/>
  <c r="N67" i="104"/>
  <c r="L67" i="104"/>
  <c r="B67" i="104"/>
  <c r="Z66" i="104"/>
  <c r="X66" i="104"/>
  <c r="T66" i="104"/>
  <c r="P66" i="104"/>
  <c r="H66" i="104"/>
  <c r="D66" i="104"/>
  <c r="B66" i="104"/>
  <c r="X65" i="104"/>
  <c r="Z65" i="104" s="1"/>
  <c r="L65" i="104"/>
  <c r="N65" i="104" s="1"/>
  <c r="B65" i="104"/>
  <c r="X64" i="104"/>
  <c r="Z64" i="104" s="1"/>
  <c r="N64" i="104"/>
  <c r="L64" i="104"/>
  <c r="B64" i="104"/>
  <c r="Z63" i="104"/>
  <c r="X63" i="104"/>
  <c r="N63" i="104"/>
  <c r="L63" i="104"/>
  <c r="B63" i="104"/>
  <c r="T62" i="104"/>
  <c r="P62" i="104"/>
  <c r="H62" i="104"/>
  <c r="D62" i="104"/>
  <c r="B62" i="104"/>
  <c r="Z61" i="104"/>
  <c r="X61" i="104"/>
  <c r="N61" i="104"/>
  <c r="L61" i="104"/>
  <c r="B61" i="104"/>
  <c r="Z60" i="104"/>
  <c r="X60" i="104"/>
  <c r="N60" i="104"/>
  <c r="L60" i="104"/>
  <c r="B60" i="104"/>
  <c r="X59" i="104"/>
  <c r="Z59" i="104" s="1"/>
  <c r="N59" i="104"/>
  <c r="L59" i="104"/>
  <c r="B59" i="104"/>
  <c r="X58" i="104"/>
  <c r="T58" i="104"/>
  <c r="P58" i="104"/>
  <c r="H58" i="104"/>
  <c r="D58" i="104"/>
  <c r="L58" i="104" s="1"/>
  <c r="N58" i="104" s="1"/>
  <c r="B58" i="104"/>
  <c r="Z57" i="104"/>
  <c r="X57" i="104"/>
  <c r="L57" i="104"/>
  <c r="N57" i="104" s="1"/>
  <c r="B57" i="104"/>
  <c r="T56" i="104"/>
  <c r="P56" i="104"/>
  <c r="X56" i="104" s="1"/>
  <c r="L56" i="104"/>
  <c r="N56" i="104" s="1"/>
  <c r="H56" i="104"/>
  <c r="D56" i="104"/>
  <c r="B56" i="104"/>
  <c r="Z55" i="104"/>
  <c r="X55" i="104"/>
  <c r="L55" i="104"/>
  <c r="N55" i="104" s="1"/>
  <c r="B55" i="104"/>
  <c r="T54" i="104"/>
  <c r="P54" i="104"/>
  <c r="X54" i="104" s="1"/>
  <c r="H54" i="104"/>
  <c r="D54" i="104"/>
  <c r="L54" i="104" s="1"/>
  <c r="B54" i="104"/>
  <c r="Z53" i="104"/>
  <c r="X53" i="104"/>
  <c r="N53" i="104"/>
  <c r="L53" i="104"/>
  <c r="B53" i="104"/>
  <c r="Z52" i="104"/>
  <c r="X52" i="104"/>
  <c r="T52" i="104"/>
  <c r="P52" i="104"/>
  <c r="H52" i="104"/>
  <c r="N52" i="104" s="1"/>
  <c r="D52" i="104"/>
  <c r="L52" i="104" s="1"/>
  <c r="B52" i="104"/>
  <c r="Z51" i="104"/>
  <c r="X51" i="104"/>
  <c r="N51" i="104"/>
  <c r="L51" i="104"/>
  <c r="B51" i="104"/>
  <c r="T50" i="104"/>
  <c r="Z50" i="104" s="1"/>
  <c r="P50" i="104"/>
  <c r="N50" i="104"/>
  <c r="H50" i="104"/>
  <c r="D50" i="104"/>
  <c r="L50" i="104" s="1"/>
  <c r="B50" i="104"/>
  <c r="Z49" i="104"/>
  <c r="X49" i="104"/>
  <c r="N49" i="104"/>
  <c r="L49" i="104"/>
  <c r="B49" i="104"/>
  <c r="T48" i="104"/>
  <c r="P48" i="104"/>
  <c r="L48" i="104"/>
  <c r="N48" i="104" s="1"/>
  <c r="H48" i="104"/>
  <c r="D48" i="104"/>
  <c r="B48" i="104"/>
  <c r="X47" i="104"/>
  <c r="Z47" i="104" s="1"/>
  <c r="L47" i="104"/>
  <c r="N47" i="104" s="1"/>
  <c r="B47" i="104"/>
  <c r="T46" i="104"/>
  <c r="P46" i="104"/>
  <c r="X46" i="104" s="1"/>
  <c r="Z46" i="104" s="1"/>
  <c r="H46" i="104"/>
  <c r="D46" i="104"/>
  <c r="L46" i="104" s="1"/>
  <c r="B46" i="104"/>
  <c r="Z45" i="104"/>
  <c r="X45" i="104"/>
  <c r="N45" i="104"/>
  <c r="L45" i="104"/>
  <c r="B45" i="104"/>
  <c r="X44" i="104"/>
  <c r="Z44" i="104" s="1"/>
  <c r="T44" i="104"/>
  <c r="P44" i="104"/>
  <c r="H44" i="104"/>
  <c r="N44" i="104" s="1"/>
  <c r="D44" i="104"/>
  <c r="B44" i="104"/>
  <c r="Z43" i="104"/>
  <c r="X43" i="104"/>
  <c r="N43" i="104"/>
  <c r="L43" i="104"/>
  <c r="B43" i="104"/>
  <c r="T42" i="104"/>
  <c r="R42" i="104"/>
  <c r="P42" i="104"/>
  <c r="X42" i="104" s="1"/>
  <c r="L42" i="104"/>
  <c r="H42" i="104"/>
  <c r="D42" i="104"/>
  <c r="B42" i="104"/>
  <c r="Z41" i="104"/>
  <c r="X41" i="104"/>
  <c r="N41" i="104"/>
  <c r="L41" i="104"/>
  <c r="B41" i="104"/>
  <c r="X40" i="104"/>
  <c r="Z40" i="104" s="1"/>
  <c r="N40" i="104"/>
  <c r="L40" i="104"/>
  <c r="B40" i="104"/>
  <c r="Z39" i="104"/>
  <c r="X39" i="104"/>
  <c r="N39" i="104"/>
  <c r="L39" i="104"/>
  <c r="B39" i="104"/>
  <c r="X38" i="104"/>
  <c r="Z38" i="104" s="1"/>
  <c r="N38" i="104"/>
  <c r="L38" i="104"/>
  <c r="B38" i="104"/>
  <c r="X37" i="104"/>
  <c r="Z37" i="104" s="1"/>
  <c r="N37" i="104"/>
  <c r="L37" i="104"/>
  <c r="B37" i="104"/>
  <c r="Z36" i="104"/>
  <c r="X36" i="104"/>
  <c r="N36" i="104"/>
  <c r="L36" i="104"/>
  <c r="B36" i="104"/>
  <c r="Z35" i="104"/>
  <c r="X35" i="104"/>
  <c r="T35" i="104"/>
  <c r="P35" i="104"/>
  <c r="L35" i="104"/>
  <c r="N35" i="104" s="1"/>
  <c r="H35" i="104"/>
  <c r="D35" i="104"/>
  <c r="B35" i="104"/>
  <c r="Z34" i="104"/>
  <c r="X34" i="104"/>
  <c r="L34" i="104"/>
  <c r="N34" i="104" s="1"/>
  <c r="B34" i="104"/>
  <c r="Z33" i="104"/>
  <c r="X33" i="104"/>
  <c r="N33" i="104"/>
  <c r="L33" i="104"/>
  <c r="B33" i="104"/>
  <c r="Z32" i="104"/>
  <c r="X32" i="104"/>
  <c r="L32" i="104"/>
  <c r="N32" i="104" s="1"/>
  <c r="B32" i="104"/>
  <c r="Z31" i="104"/>
  <c r="X31" i="104"/>
  <c r="N31" i="104"/>
  <c r="L31" i="104"/>
  <c r="B31" i="104"/>
  <c r="Z30" i="104"/>
  <c r="X30" i="104"/>
  <c r="N30" i="104"/>
  <c r="L30" i="104"/>
  <c r="B30" i="104"/>
  <c r="Z29" i="104"/>
  <c r="X29" i="104"/>
  <c r="N29" i="104"/>
  <c r="L29" i="104"/>
  <c r="B29" i="104"/>
  <c r="X28" i="104"/>
  <c r="Z28" i="104" s="1"/>
  <c r="L28" i="104"/>
  <c r="N28" i="104" s="1"/>
  <c r="B28" i="104"/>
  <c r="Z27" i="104"/>
  <c r="X27" i="104"/>
  <c r="L27" i="104"/>
  <c r="N27" i="104" s="1"/>
  <c r="B27" i="104"/>
  <c r="X26" i="104"/>
  <c r="Z26" i="104" s="1"/>
  <c r="N26" i="104"/>
  <c r="L26" i="104"/>
  <c r="B26" i="104"/>
  <c r="T25" i="104"/>
  <c r="P25" i="104"/>
  <c r="X25" i="104" s="1"/>
  <c r="Z25" i="104" s="1"/>
  <c r="N25" i="104"/>
  <c r="L25" i="104"/>
  <c r="H25" i="104"/>
  <c r="D25" i="104"/>
  <c r="B25" i="104"/>
  <c r="T24" i="104"/>
  <c r="P24" i="104"/>
  <c r="H24" i="104"/>
  <c r="D24" i="104"/>
  <c r="L24" i="104" s="1"/>
  <c r="N24" i="104" s="1"/>
  <c r="Z20" i="104"/>
  <c r="X20" i="104"/>
  <c r="L20" i="104"/>
  <c r="N20" i="104" s="1"/>
  <c r="B20" i="104"/>
  <c r="X19" i="104"/>
  <c r="Z19" i="104" s="1"/>
  <c r="N19" i="104"/>
  <c r="L19" i="104"/>
  <c r="B19" i="104"/>
  <c r="T18" i="104"/>
  <c r="P18" i="104"/>
  <c r="X18" i="104" s="1"/>
  <c r="Z18" i="104" s="1"/>
  <c r="H18" i="104"/>
  <c r="D18" i="104"/>
  <c r="L18" i="104" s="1"/>
  <c r="Z16" i="104"/>
  <c r="X16" i="104"/>
  <c r="T16" i="104"/>
  <c r="P16" i="104"/>
  <c r="H16" i="104"/>
  <c r="N16" i="104" s="1"/>
  <c r="D16" i="104"/>
  <c r="B16" i="104"/>
  <c r="X15" i="104"/>
  <c r="T15" i="104"/>
  <c r="Z15" i="104" s="1"/>
  <c r="P15" i="104"/>
  <c r="N15" i="104"/>
  <c r="L15" i="104"/>
  <c r="H15" i="104"/>
  <c r="D15" i="104"/>
  <c r="B15" i="104"/>
  <c r="T14" i="104"/>
  <c r="P14" i="104"/>
  <c r="X14" i="104" s="1"/>
  <c r="Z14" i="104" s="1"/>
  <c r="N14" i="104"/>
  <c r="L14" i="104"/>
  <c r="H14" i="104"/>
  <c r="D14" i="104"/>
  <c r="B14" i="104"/>
  <c r="T13" i="104"/>
  <c r="T12" i="104" s="1"/>
  <c r="V77" i="104" s="1"/>
  <c r="P13" i="104"/>
  <c r="P12" i="104" s="1"/>
  <c r="R69" i="104" s="1"/>
  <c r="H13" i="104"/>
  <c r="D13" i="104"/>
  <c r="B13" i="104"/>
  <c r="D6" i="104"/>
  <c r="D4" i="104"/>
  <c r="J57" i="103"/>
  <c r="J54" i="103"/>
  <c r="Z52" i="103"/>
  <c r="X52" i="103"/>
  <c r="N52" i="103"/>
  <c r="L52" i="103"/>
  <c r="T48" i="103"/>
  <c r="Z48" i="103" s="1"/>
  <c r="P48" i="103"/>
  <c r="X48" i="103" s="1"/>
  <c r="N48" i="103"/>
  <c r="H48" i="103"/>
  <c r="D48" i="103"/>
  <c r="L48" i="103" s="1"/>
  <c r="Z46" i="103"/>
  <c r="X46" i="103"/>
  <c r="N46" i="103"/>
  <c r="L46" i="103"/>
  <c r="J46" i="103"/>
  <c r="B46" i="103"/>
  <c r="T45" i="103"/>
  <c r="P45" i="103"/>
  <c r="N45" i="103"/>
  <c r="L45" i="103"/>
  <c r="J45" i="103"/>
  <c r="H45" i="103"/>
  <c r="D45" i="103"/>
  <c r="B45" i="103"/>
  <c r="X44" i="103"/>
  <c r="Z44" i="103" s="1"/>
  <c r="L44" i="103"/>
  <c r="N44" i="103" s="1"/>
  <c r="J44" i="103"/>
  <c r="B44" i="103"/>
  <c r="T43" i="103"/>
  <c r="P43" i="103"/>
  <c r="X43" i="103" s="1"/>
  <c r="Z43" i="103" s="1"/>
  <c r="J43" i="103"/>
  <c r="H43" i="103"/>
  <c r="D43" i="103"/>
  <c r="B43" i="103"/>
  <c r="Z42" i="103"/>
  <c r="X42" i="103"/>
  <c r="N42" i="103"/>
  <c r="L42" i="103"/>
  <c r="B42" i="103"/>
  <c r="Z41" i="103"/>
  <c r="X41" i="103"/>
  <c r="T41" i="103"/>
  <c r="P41" i="103"/>
  <c r="H41" i="103"/>
  <c r="D41" i="103"/>
  <c r="L41" i="103" s="1"/>
  <c r="N41" i="103" s="1"/>
  <c r="B41" i="103"/>
  <c r="Z40" i="103"/>
  <c r="X40" i="103"/>
  <c r="N40" i="103"/>
  <c r="L40" i="103"/>
  <c r="J40" i="103"/>
  <c r="B40" i="103"/>
  <c r="Z39" i="103"/>
  <c r="X39" i="103"/>
  <c r="N39" i="103"/>
  <c r="L39" i="103"/>
  <c r="B39" i="103"/>
  <c r="T38" i="103"/>
  <c r="P38" i="103"/>
  <c r="X38" i="103" s="1"/>
  <c r="Z38" i="103" s="1"/>
  <c r="H38" i="103"/>
  <c r="D38" i="103"/>
  <c r="L38" i="103" s="1"/>
  <c r="N38" i="103" s="1"/>
  <c r="B38" i="103"/>
  <c r="Z37" i="103"/>
  <c r="X37" i="103"/>
  <c r="N37" i="103"/>
  <c r="L37" i="103"/>
  <c r="J37" i="103"/>
  <c r="B37" i="103"/>
  <c r="V36" i="103"/>
  <c r="T36" i="103"/>
  <c r="Z36" i="103" s="1"/>
  <c r="P36" i="103"/>
  <c r="X36" i="103" s="1"/>
  <c r="N36" i="103"/>
  <c r="L36" i="103"/>
  <c r="J36" i="103"/>
  <c r="H36" i="103"/>
  <c r="D36" i="103"/>
  <c r="B36" i="103"/>
  <c r="X35" i="103"/>
  <c r="Z35" i="103" s="1"/>
  <c r="N35" i="103"/>
  <c r="L35" i="103"/>
  <c r="J35" i="103"/>
  <c r="B35" i="103"/>
  <c r="T34" i="103"/>
  <c r="Z34" i="103" s="1"/>
  <c r="R34" i="103"/>
  <c r="P34" i="103"/>
  <c r="X34" i="103" s="1"/>
  <c r="J34" i="103"/>
  <c r="H34" i="103"/>
  <c r="N34" i="103" s="1"/>
  <c r="D34" i="103"/>
  <c r="B34" i="103"/>
  <c r="X33" i="103"/>
  <c r="Z33" i="103" s="1"/>
  <c r="N33" i="103"/>
  <c r="L33" i="103"/>
  <c r="J33" i="103"/>
  <c r="F33" i="103"/>
  <c r="B33" i="103"/>
  <c r="X32" i="103"/>
  <c r="Z32" i="103" s="1"/>
  <c r="T32" i="103"/>
  <c r="P32" i="103"/>
  <c r="H32" i="103"/>
  <c r="N32" i="103" s="1"/>
  <c r="D32" i="103"/>
  <c r="B32" i="103"/>
  <c r="Z31" i="103"/>
  <c r="X31" i="103"/>
  <c r="L31" i="103"/>
  <c r="N31" i="103" s="1"/>
  <c r="J31" i="103"/>
  <c r="B31" i="103"/>
  <c r="X30" i="103"/>
  <c r="Z30" i="103" s="1"/>
  <c r="T30" i="103"/>
  <c r="P30" i="103"/>
  <c r="J30" i="103"/>
  <c r="H30" i="103"/>
  <c r="D30" i="103"/>
  <c r="L30" i="103" s="1"/>
  <c r="B30" i="103"/>
  <c r="Z29" i="103"/>
  <c r="X29" i="103"/>
  <c r="L29" i="103"/>
  <c r="N29" i="103" s="1"/>
  <c r="J29" i="103"/>
  <c r="F29" i="103"/>
  <c r="B29" i="103"/>
  <c r="T28" i="103"/>
  <c r="P28" i="103"/>
  <c r="X28" i="103" s="1"/>
  <c r="H28" i="103"/>
  <c r="F28" i="103"/>
  <c r="D28" i="103"/>
  <c r="L28" i="103" s="1"/>
  <c r="B28" i="103"/>
  <c r="Z27" i="103"/>
  <c r="X27" i="103"/>
  <c r="V27" i="103"/>
  <c r="N27" i="103"/>
  <c r="L27" i="103"/>
  <c r="B27" i="103"/>
  <c r="Z26" i="103"/>
  <c r="X26" i="103"/>
  <c r="L26" i="103"/>
  <c r="N26" i="103" s="1"/>
  <c r="J26" i="103"/>
  <c r="F26" i="103"/>
  <c r="B26" i="103"/>
  <c r="X25" i="103"/>
  <c r="Z25" i="103" s="1"/>
  <c r="N25" i="103"/>
  <c r="L25" i="103"/>
  <c r="J25" i="103"/>
  <c r="F25" i="103"/>
  <c r="B25" i="103"/>
  <c r="Z24" i="103"/>
  <c r="X24" i="103"/>
  <c r="L24" i="103"/>
  <c r="N24" i="103" s="1"/>
  <c r="J24" i="103"/>
  <c r="B24" i="103"/>
  <c r="X23" i="103"/>
  <c r="Z23" i="103" s="1"/>
  <c r="N23" i="103"/>
  <c r="L23" i="103"/>
  <c r="B23" i="103"/>
  <c r="Z22" i="103"/>
  <c r="X22" i="103"/>
  <c r="L22" i="103"/>
  <c r="N22" i="103" s="1"/>
  <c r="J22" i="103"/>
  <c r="B22" i="103"/>
  <c r="X21" i="103"/>
  <c r="Z21" i="103" s="1"/>
  <c r="V21" i="103"/>
  <c r="N21" i="103"/>
  <c r="L21" i="103"/>
  <c r="J21" i="103"/>
  <c r="F21" i="103"/>
  <c r="B21" i="103"/>
  <c r="Z20" i="103"/>
  <c r="X20" i="103"/>
  <c r="L20" i="103"/>
  <c r="N20" i="103" s="1"/>
  <c r="J20" i="103"/>
  <c r="B20" i="103"/>
  <c r="T19" i="103"/>
  <c r="P19" i="103"/>
  <c r="J19" i="103"/>
  <c r="H19" i="103"/>
  <c r="D19" i="103"/>
  <c r="B19" i="103"/>
  <c r="V18" i="103"/>
  <c r="T18" i="103"/>
  <c r="P18" i="103"/>
  <c r="L18" i="103"/>
  <c r="J18" i="103"/>
  <c r="H18" i="103"/>
  <c r="D18" i="103"/>
  <c r="J16" i="103"/>
  <c r="H16" i="103"/>
  <c r="D16" i="103"/>
  <c r="D50" i="103" s="1"/>
  <c r="Z14" i="103"/>
  <c r="X14" i="103"/>
  <c r="T14" i="103"/>
  <c r="P14" i="103"/>
  <c r="J14" i="103"/>
  <c r="H14" i="103"/>
  <c r="N14" i="103" s="1"/>
  <c r="D14" i="103"/>
  <c r="L14" i="103" s="1"/>
  <c r="Z12" i="103"/>
  <c r="T12" i="103"/>
  <c r="V29" i="103" s="1"/>
  <c r="P12" i="103"/>
  <c r="N12" i="103"/>
  <c r="H12" i="103"/>
  <c r="J50" i="103" s="1"/>
  <c r="D12" i="103"/>
  <c r="F22" i="103" s="1"/>
  <c r="D6" i="103"/>
  <c r="D4" i="103"/>
  <c r="X84" i="102"/>
  <c r="Z84" i="102" s="1"/>
  <c r="R84" i="102"/>
  <c r="L84" i="102"/>
  <c r="N84" i="102" s="1"/>
  <c r="X80" i="102"/>
  <c r="T80" i="102"/>
  <c r="P80" i="102"/>
  <c r="P79" i="102" s="1"/>
  <c r="L80" i="102"/>
  <c r="H80" i="102"/>
  <c r="H79" i="102" s="1"/>
  <c r="L79" i="102" s="1"/>
  <c r="D80" i="102"/>
  <c r="B80" i="102"/>
  <c r="R79" i="102"/>
  <c r="N79" i="102"/>
  <c r="D79" i="102"/>
  <c r="Z77" i="102"/>
  <c r="X77" i="102"/>
  <c r="N77" i="102"/>
  <c r="L77" i="102"/>
  <c r="F77" i="102"/>
  <c r="B77" i="102"/>
  <c r="T76" i="102"/>
  <c r="P76" i="102"/>
  <c r="X76" i="102" s="1"/>
  <c r="H76" i="102"/>
  <c r="N76" i="102" s="1"/>
  <c r="D76" i="102"/>
  <c r="L76" i="102" s="1"/>
  <c r="B76" i="102"/>
  <c r="X75" i="102"/>
  <c r="Z75" i="102" s="1"/>
  <c r="N75" i="102"/>
  <c r="L75" i="102"/>
  <c r="B75" i="102"/>
  <c r="T74" i="102"/>
  <c r="P74" i="102"/>
  <c r="X74" i="102" s="1"/>
  <c r="Z74" i="102" s="1"/>
  <c r="N74" i="102"/>
  <c r="L74" i="102"/>
  <c r="H74" i="102"/>
  <c r="D74" i="102"/>
  <c r="B74" i="102"/>
  <c r="Z73" i="102"/>
  <c r="X73" i="102"/>
  <c r="L73" i="102"/>
  <c r="N73" i="102" s="1"/>
  <c r="B73" i="102"/>
  <c r="X72" i="102"/>
  <c r="T72" i="102"/>
  <c r="Z72" i="102" s="1"/>
  <c r="P72" i="102"/>
  <c r="L72" i="102"/>
  <c r="H72" i="102"/>
  <c r="D72" i="102"/>
  <c r="B72" i="102"/>
  <c r="Z71" i="102"/>
  <c r="X71" i="102"/>
  <c r="N71" i="102"/>
  <c r="L71" i="102"/>
  <c r="B71" i="102"/>
  <c r="X70" i="102"/>
  <c r="Z70" i="102" s="1"/>
  <c r="N70" i="102"/>
  <c r="L70" i="102"/>
  <c r="B70" i="102"/>
  <c r="X69" i="102"/>
  <c r="Z69" i="102" s="1"/>
  <c r="N69" i="102"/>
  <c r="L69" i="102"/>
  <c r="B69" i="102"/>
  <c r="Z68" i="102"/>
  <c r="X68" i="102"/>
  <c r="N68" i="102"/>
  <c r="L68" i="102"/>
  <c r="F68" i="102"/>
  <c r="B68" i="102"/>
  <c r="Z67" i="102"/>
  <c r="X67" i="102"/>
  <c r="L67" i="102"/>
  <c r="N67" i="102" s="1"/>
  <c r="B67" i="102"/>
  <c r="X66" i="102"/>
  <c r="Z66" i="102" s="1"/>
  <c r="N66" i="102"/>
  <c r="L66" i="102"/>
  <c r="B66" i="102"/>
  <c r="Z65" i="102"/>
  <c r="X65" i="102"/>
  <c r="N65" i="102"/>
  <c r="L65" i="102"/>
  <c r="F65" i="102"/>
  <c r="B65" i="102"/>
  <c r="T64" i="102"/>
  <c r="P64" i="102"/>
  <c r="H64" i="102"/>
  <c r="D64" i="102"/>
  <c r="B64" i="102"/>
  <c r="X63" i="102"/>
  <c r="Z63" i="102" s="1"/>
  <c r="N63" i="102"/>
  <c r="L63" i="102"/>
  <c r="B63" i="102"/>
  <c r="X62" i="102"/>
  <c r="Z62" i="102" s="1"/>
  <c r="L62" i="102"/>
  <c r="N62" i="102" s="1"/>
  <c r="B62" i="102"/>
  <c r="T61" i="102"/>
  <c r="X61" i="102" s="1"/>
  <c r="P61" i="102"/>
  <c r="H61" i="102"/>
  <c r="F61" i="102"/>
  <c r="D61" i="102"/>
  <c r="B61" i="102"/>
  <c r="X60" i="102"/>
  <c r="Z60" i="102" s="1"/>
  <c r="N60" i="102"/>
  <c r="L60" i="102"/>
  <c r="B60" i="102"/>
  <c r="T59" i="102"/>
  <c r="P59" i="102"/>
  <c r="L59" i="102"/>
  <c r="H59" i="102"/>
  <c r="N59" i="102" s="1"/>
  <c r="D59" i="102"/>
  <c r="B59" i="102"/>
  <c r="X58" i="102"/>
  <c r="Z58" i="102" s="1"/>
  <c r="N58" i="102"/>
  <c r="L58" i="102"/>
  <c r="B58" i="102"/>
  <c r="Z57" i="102"/>
  <c r="X57" i="102"/>
  <c r="L57" i="102"/>
  <c r="N57" i="102" s="1"/>
  <c r="F57" i="102"/>
  <c r="B57" i="102"/>
  <c r="Z56" i="102"/>
  <c r="X56" i="102"/>
  <c r="N56" i="102"/>
  <c r="L56" i="102"/>
  <c r="B56" i="102"/>
  <c r="T55" i="102"/>
  <c r="Z55" i="102" s="1"/>
  <c r="P55" i="102"/>
  <c r="X55" i="102" s="1"/>
  <c r="L55" i="102"/>
  <c r="N55" i="102" s="1"/>
  <c r="H55" i="102"/>
  <c r="D55" i="102"/>
  <c r="B55" i="102"/>
  <c r="X54" i="102"/>
  <c r="Z54" i="102" s="1"/>
  <c r="L54" i="102"/>
  <c r="N54" i="102" s="1"/>
  <c r="B54" i="102"/>
  <c r="T53" i="102"/>
  <c r="P53" i="102"/>
  <c r="X53" i="102" s="1"/>
  <c r="Z53" i="102" s="1"/>
  <c r="H53" i="102"/>
  <c r="D53" i="102"/>
  <c r="B53" i="102"/>
  <c r="Z52" i="102"/>
  <c r="X52" i="102"/>
  <c r="N52" i="102"/>
  <c r="L52" i="102"/>
  <c r="B52" i="102"/>
  <c r="Z51" i="102"/>
  <c r="T51" i="102"/>
  <c r="P51" i="102"/>
  <c r="X51" i="102" s="1"/>
  <c r="N51" i="102"/>
  <c r="H51" i="102"/>
  <c r="F51" i="102"/>
  <c r="D51" i="102"/>
  <c r="L51" i="102" s="1"/>
  <c r="B51" i="102"/>
  <c r="Z50" i="102"/>
  <c r="X50" i="102"/>
  <c r="N50" i="102"/>
  <c r="L50" i="102"/>
  <c r="B50" i="102"/>
  <c r="Z49" i="102"/>
  <c r="X49" i="102"/>
  <c r="T49" i="102"/>
  <c r="R49" i="102"/>
  <c r="P49" i="102"/>
  <c r="N49" i="102"/>
  <c r="H49" i="102"/>
  <c r="D49" i="102"/>
  <c r="L49" i="102" s="1"/>
  <c r="B49" i="102"/>
  <c r="Z48" i="102"/>
  <c r="X48" i="102"/>
  <c r="N48" i="102"/>
  <c r="L48" i="102"/>
  <c r="B48" i="102"/>
  <c r="X47" i="102"/>
  <c r="T47" i="102"/>
  <c r="Z47" i="102" s="1"/>
  <c r="P47" i="102"/>
  <c r="H47" i="102"/>
  <c r="D47" i="102"/>
  <c r="B47" i="102"/>
  <c r="Z46" i="102"/>
  <c r="X46" i="102"/>
  <c r="L46" i="102"/>
  <c r="N46" i="102" s="1"/>
  <c r="F46" i="102"/>
  <c r="B46" i="102"/>
  <c r="Z45" i="102"/>
  <c r="T45" i="102"/>
  <c r="P45" i="102"/>
  <c r="X45" i="102" s="1"/>
  <c r="H45" i="102"/>
  <c r="D45" i="102"/>
  <c r="L45" i="102" s="1"/>
  <c r="N45" i="102" s="1"/>
  <c r="B45" i="102"/>
  <c r="Z44" i="102"/>
  <c r="X44" i="102"/>
  <c r="L44" i="102"/>
  <c r="N44" i="102" s="1"/>
  <c r="B44" i="102"/>
  <c r="T43" i="102"/>
  <c r="Z43" i="102" s="1"/>
  <c r="P43" i="102"/>
  <c r="X43" i="102" s="1"/>
  <c r="N43" i="102"/>
  <c r="L43" i="102"/>
  <c r="H43" i="102"/>
  <c r="F43" i="102"/>
  <c r="D43" i="102"/>
  <c r="B43" i="102"/>
  <c r="X42" i="102"/>
  <c r="Z42" i="102" s="1"/>
  <c r="L42" i="102"/>
  <c r="N42" i="102" s="1"/>
  <c r="B42" i="102"/>
  <c r="T41" i="102"/>
  <c r="P41" i="102"/>
  <c r="X41" i="102" s="1"/>
  <c r="Z41" i="102" s="1"/>
  <c r="N41" i="102"/>
  <c r="L41" i="102"/>
  <c r="H41" i="102"/>
  <c r="D41" i="102"/>
  <c r="B41" i="102"/>
  <c r="Z40" i="102"/>
  <c r="X40" i="102"/>
  <c r="N40" i="102"/>
  <c r="L40" i="102"/>
  <c r="F40" i="102"/>
  <c r="B40" i="102"/>
  <c r="Z39" i="102"/>
  <c r="X39" i="102"/>
  <c r="N39" i="102"/>
  <c r="L39" i="102"/>
  <c r="F39" i="102"/>
  <c r="B39" i="102"/>
  <c r="Z38" i="102"/>
  <c r="X38" i="102"/>
  <c r="N38" i="102"/>
  <c r="L38" i="102"/>
  <c r="B38" i="102"/>
  <c r="X37" i="102"/>
  <c r="Z37" i="102" s="1"/>
  <c r="N37" i="102"/>
  <c r="L37" i="102"/>
  <c r="B37" i="102"/>
  <c r="X36" i="102"/>
  <c r="Z36" i="102" s="1"/>
  <c r="N36" i="102"/>
  <c r="L36" i="102"/>
  <c r="F36" i="102"/>
  <c r="B36" i="102"/>
  <c r="T35" i="102"/>
  <c r="P35" i="102"/>
  <c r="X35" i="102" s="1"/>
  <c r="Z35" i="102" s="1"/>
  <c r="L35" i="102"/>
  <c r="H35" i="102"/>
  <c r="N35" i="102" s="1"/>
  <c r="F35" i="102"/>
  <c r="D35" i="102"/>
  <c r="B35" i="102"/>
  <c r="X34" i="102"/>
  <c r="Z34" i="102" s="1"/>
  <c r="L34" i="102"/>
  <c r="N34" i="102" s="1"/>
  <c r="F34" i="102"/>
  <c r="B34" i="102"/>
  <c r="Z33" i="102"/>
  <c r="X33" i="102"/>
  <c r="N33" i="102"/>
  <c r="L33" i="102"/>
  <c r="B33" i="102"/>
  <c r="Z32" i="102"/>
  <c r="X32" i="102"/>
  <c r="R32" i="102"/>
  <c r="L32" i="102"/>
  <c r="N32" i="102" s="1"/>
  <c r="F32" i="102"/>
  <c r="B32" i="102"/>
  <c r="Z31" i="102"/>
  <c r="X31" i="102"/>
  <c r="N31" i="102"/>
  <c r="L31" i="102"/>
  <c r="B31" i="102"/>
  <c r="X30" i="102"/>
  <c r="Z30" i="102" s="1"/>
  <c r="L30" i="102"/>
  <c r="N30" i="102" s="1"/>
  <c r="F30" i="102"/>
  <c r="B30" i="102"/>
  <c r="Z29" i="102"/>
  <c r="X29" i="102"/>
  <c r="N29" i="102"/>
  <c r="L29" i="102"/>
  <c r="B29" i="102"/>
  <c r="Z28" i="102"/>
  <c r="X28" i="102"/>
  <c r="R28" i="102"/>
  <c r="L28" i="102"/>
  <c r="N28" i="102" s="1"/>
  <c r="F28" i="102"/>
  <c r="B28" i="102"/>
  <c r="Z27" i="102"/>
  <c r="X27" i="102"/>
  <c r="R27" i="102"/>
  <c r="N27" i="102"/>
  <c r="L27" i="102"/>
  <c r="B27" i="102"/>
  <c r="X26" i="102"/>
  <c r="T26" i="102"/>
  <c r="Z26" i="102" s="1"/>
  <c r="P26" i="102"/>
  <c r="H26" i="102"/>
  <c r="D26" i="102"/>
  <c r="B26" i="102"/>
  <c r="T25" i="102"/>
  <c r="P25" i="102"/>
  <c r="X25" i="102" s="1"/>
  <c r="Z25" i="102" s="1"/>
  <c r="N25" i="102"/>
  <c r="L25" i="102"/>
  <c r="H25" i="102"/>
  <c r="D25" i="102"/>
  <c r="P23" i="102"/>
  <c r="Z21" i="102"/>
  <c r="X21" i="102"/>
  <c r="L21" i="102"/>
  <c r="N21" i="102" s="1"/>
  <c r="B21" i="102"/>
  <c r="X20" i="102"/>
  <c r="Z20" i="102" s="1"/>
  <c r="L20" i="102"/>
  <c r="N20" i="102" s="1"/>
  <c r="B20" i="102"/>
  <c r="Z19" i="102"/>
  <c r="X19" i="102"/>
  <c r="T19" i="102"/>
  <c r="P19" i="102"/>
  <c r="H19" i="102"/>
  <c r="D19" i="102"/>
  <c r="L19" i="102" s="1"/>
  <c r="N19" i="102" s="1"/>
  <c r="T17" i="102"/>
  <c r="T12" i="102" s="1"/>
  <c r="P17" i="102"/>
  <c r="H17" i="102"/>
  <c r="D17" i="102"/>
  <c r="B17" i="102"/>
  <c r="T16" i="102"/>
  <c r="P16" i="102"/>
  <c r="X16" i="102" s="1"/>
  <c r="L16" i="102"/>
  <c r="N16" i="102" s="1"/>
  <c r="H16" i="102"/>
  <c r="D16" i="102"/>
  <c r="B16" i="102"/>
  <c r="T15" i="102"/>
  <c r="P15" i="102"/>
  <c r="X15" i="102" s="1"/>
  <c r="Z15" i="102" s="1"/>
  <c r="L15" i="102"/>
  <c r="H15" i="102"/>
  <c r="D15" i="102"/>
  <c r="B15" i="102"/>
  <c r="T14" i="102"/>
  <c r="P14" i="102"/>
  <c r="X14" i="102" s="1"/>
  <c r="L14" i="102"/>
  <c r="H14" i="102"/>
  <c r="N14" i="102" s="1"/>
  <c r="D14" i="102"/>
  <c r="B14" i="102"/>
  <c r="T13" i="102"/>
  <c r="P13" i="102"/>
  <c r="H13" i="102"/>
  <c r="N13" i="102" s="1"/>
  <c r="D13" i="102"/>
  <c r="B13" i="102"/>
  <c r="P12" i="102"/>
  <c r="R66" i="102" s="1"/>
  <c r="D12" i="102"/>
  <c r="F71" i="102" s="1"/>
  <c r="D6" i="102"/>
  <c r="D4" i="102"/>
  <c r="X63" i="101"/>
  <c r="Z63" i="101" s="1"/>
  <c r="N63" i="101"/>
  <c r="L63" i="101"/>
  <c r="J61" i="101"/>
  <c r="T59" i="101"/>
  <c r="T58" i="101" s="1"/>
  <c r="Z58" i="101" s="1"/>
  <c r="P59" i="101"/>
  <c r="X59" i="101" s="1"/>
  <c r="J59" i="101"/>
  <c r="H59" i="101"/>
  <c r="N59" i="101" s="1"/>
  <c r="D59" i="101"/>
  <c r="B59" i="101"/>
  <c r="Z56" i="101"/>
  <c r="X56" i="101"/>
  <c r="N56" i="101"/>
  <c r="L56" i="101"/>
  <c r="B56" i="101"/>
  <c r="X55" i="101"/>
  <c r="T55" i="101"/>
  <c r="P55" i="101"/>
  <c r="H55" i="101"/>
  <c r="N55" i="101" s="1"/>
  <c r="D55" i="101"/>
  <c r="L55" i="101" s="1"/>
  <c r="B55" i="101"/>
  <c r="Z54" i="101"/>
  <c r="X54" i="101"/>
  <c r="N54" i="101"/>
  <c r="L54" i="101"/>
  <c r="B54" i="101"/>
  <c r="Z53" i="101"/>
  <c r="X53" i="101"/>
  <c r="R53" i="101"/>
  <c r="N53" i="101"/>
  <c r="L53" i="101"/>
  <c r="B53" i="101"/>
  <c r="Z52" i="101"/>
  <c r="X52" i="101"/>
  <c r="R52" i="101"/>
  <c r="N52" i="101"/>
  <c r="L52" i="101"/>
  <c r="B52" i="101"/>
  <c r="X51" i="101"/>
  <c r="Z51" i="101" s="1"/>
  <c r="N51" i="101"/>
  <c r="L51" i="101"/>
  <c r="J51" i="101"/>
  <c r="B51" i="101"/>
  <c r="Z50" i="101"/>
  <c r="X50" i="101"/>
  <c r="N50" i="101"/>
  <c r="L50" i="101"/>
  <c r="B50" i="101"/>
  <c r="T49" i="101"/>
  <c r="P49" i="101"/>
  <c r="L49" i="101"/>
  <c r="H49" i="101"/>
  <c r="N49" i="101" s="1"/>
  <c r="D49" i="101"/>
  <c r="B49" i="101"/>
  <c r="Z48" i="101"/>
  <c r="X48" i="101"/>
  <c r="N48" i="101"/>
  <c r="L48" i="101"/>
  <c r="B48" i="101"/>
  <c r="T47" i="101"/>
  <c r="Z47" i="101" s="1"/>
  <c r="P47" i="101"/>
  <c r="X47" i="101" s="1"/>
  <c r="H47" i="101"/>
  <c r="N47" i="101" s="1"/>
  <c r="D47" i="101"/>
  <c r="B47" i="101"/>
  <c r="X46" i="101"/>
  <c r="Z46" i="101" s="1"/>
  <c r="N46" i="101"/>
  <c r="L46" i="101"/>
  <c r="B46" i="101"/>
  <c r="T45" i="101"/>
  <c r="Z45" i="101" s="1"/>
  <c r="R45" i="101"/>
  <c r="P45" i="101"/>
  <c r="X45" i="101" s="1"/>
  <c r="L45" i="101"/>
  <c r="H45" i="101"/>
  <c r="N45" i="101" s="1"/>
  <c r="D45" i="101"/>
  <c r="B45" i="101"/>
  <c r="Z44" i="101"/>
  <c r="X44" i="101"/>
  <c r="R44" i="101"/>
  <c r="N44" i="101"/>
  <c r="L44" i="101"/>
  <c r="B44" i="101"/>
  <c r="X43" i="101"/>
  <c r="Z43" i="101" s="1"/>
  <c r="N43" i="101"/>
  <c r="L43" i="101"/>
  <c r="J43" i="101"/>
  <c r="B43" i="101"/>
  <c r="T42" i="101"/>
  <c r="X42" i="101" s="1"/>
  <c r="Z42" i="101" s="1"/>
  <c r="R42" i="101"/>
  <c r="P42" i="101"/>
  <c r="H42" i="101"/>
  <c r="N42" i="101" s="1"/>
  <c r="D42" i="101"/>
  <c r="B42" i="101"/>
  <c r="X41" i="101"/>
  <c r="Z41" i="101" s="1"/>
  <c r="R41" i="101"/>
  <c r="L41" i="101"/>
  <c r="N41" i="101" s="1"/>
  <c r="B41" i="101"/>
  <c r="Z40" i="101"/>
  <c r="X40" i="101"/>
  <c r="T40" i="101"/>
  <c r="P40" i="101"/>
  <c r="N40" i="101"/>
  <c r="H40" i="101"/>
  <c r="D40" i="101"/>
  <c r="L40" i="101" s="1"/>
  <c r="B40" i="101"/>
  <c r="Z39" i="101"/>
  <c r="X39" i="101"/>
  <c r="N39" i="101"/>
  <c r="L39" i="101"/>
  <c r="B39" i="101"/>
  <c r="X38" i="101"/>
  <c r="T38" i="101"/>
  <c r="Z38" i="101" s="1"/>
  <c r="R38" i="101"/>
  <c r="P38" i="101"/>
  <c r="N38" i="101"/>
  <c r="J38" i="101"/>
  <c r="H38" i="101"/>
  <c r="D38" i="101"/>
  <c r="L38" i="101" s="1"/>
  <c r="B38" i="101"/>
  <c r="X37" i="101"/>
  <c r="Z37" i="101" s="1"/>
  <c r="R37" i="101"/>
  <c r="N37" i="101"/>
  <c r="L37" i="101"/>
  <c r="B37" i="101"/>
  <c r="T36" i="101"/>
  <c r="R36" i="101"/>
  <c r="P36" i="101"/>
  <c r="N36" i="101"/>
  <c r="H36" i="101"/>
  <c r="D36" i="101"/>
  <c r="L36" i="101" s="1"/>
  <c r="B36" i="101"/>
  <c r="Z35" i="101"/>
  <c r="X35" i="101"/>
  <c r="V35" i="101"/>
  <c r="R35" i="101"/>
  <c r="N35" i="101"/>
  <c r="L35" i="101"/>
  <c r="B35" i="101"/>
  <c r="T34" i="101"/>
  <c r="P34" i="101"/>
  <c r="X34" i="101" s="1"/>
  <c r="Z34" i="101" s="1"/>
  <c r="N34" i="101"/>
  <c r="L34" i="101"/>
  <c r="J34" i="101"/>
  <c r="H34" i="101"/>
  <c r="D34" i="101"/>
  <c r="B34" i="101"/>
  <c r="X33" i="101"/>
  <c r="Z33" i="101" s="1"/>
  <c r="N33" i="101"/>
  <c r="L33" i="101"/>
  <c r="B33" i="101"/>
  <c r="T32" i="101"/>
  <c r="R32" i="101"/>
  <c r="P32" i="101"/>
  <c r="X32" i="101" s="1"/>
  <c r="Z32" i="101" s="1"/>
  <c r="L32" i="101"/>
  <c r="J32" i="101"/>
  <c r="H32" i="101"/>
  <c r="N32" i="101" s="1"/>
  <c r="D32" i="101"/>
  <c r="B32" i="101"/>
  <c r="Z31" i="101"/>
  <c r="X31" i="101"/>
  <c r="R31" i="101"/>
  <c r="N31" i="101"/>
  <c r="L31" i="101"/>
  <c r="J31" i="101"/>
  <c r="B31" i="101"/>
  <c r="Z30" i="101"/>
  <c r="X30" i="101"/>
  <c r="N30" i="101"/>
  <c r="L30" i="101"/>
  <c r="B30" i="101"/>
  <c r="Z29" i="101"/>
  <c r="X29" i="101"/>
  <c r="R29" i="101"/>
  <c r="N29" i="101"/>
  <c r="L29" i="101"/>
  <c r="B29" i="101"/>
  <c r="Z28" i="101"/>
  <c r="X28" i="101"/>
  <c r="R28" i="101"/>
  <c r="N28" i="101"/>
  <c r="L28" i="101"/>
  <c r="B28" i="101"/>
  <c r="X27" i="101"/>
  <c r="T27" i="101"/>
  <c r="P27" i="101"/>
  <c r="H27" i="101"/>
  <c r="L27" i="101" s="1"/>
  <c r="N27" i="101" s="1"/>
  <c r="D27" i="101"/>
  <c r="B27" i="101"/>
  <c r="Z26" i="101"/>
  <c r="X26" i="101"/>
  <c r="L26" i="101"/>
  <c r="N26" i="101" s="1"/>
  <c r="J26" i="101"/>
  <c r="B26" i="101"/>
  <c r="X25" i="101"/>
  <c r="Z25" i="101" s="1"/>
  <c r="R25" i="101"/>
  <c r="L25" i="101"/>
  <c r="N25" i="101" s="1"/>
  <c r="B25" i="101"/>
  <c r="Z24" i="101"/>
  <c r="X24" i="101"/>
  <c r="N24" i="101"/>
  <c r="L24" i="101"/>
  <c r="J24" i="101"/>
  <c r="B24" i="101"/>
  <c r="T23" i="101"/>
  <c r="P23" i="101"/>
  <c r="X23" i="101" s="1"/>
  <c r="H23" i="101"/>
  <c r="D23" i="101"/>
  <c r="L23" i="101" s="1"/>
  <c r="B23" i="101"/>
  <c r="X22" i="101"/>
  <c r="T22" i="101"/>
  <c r="R22" i="101"/>
  <c r="P22" i="101"/>
  <c r="J22" i="101"/>
  <c r="H22" i="101"/>
  <c r="D22" i="101"/>
  <c r="L22" i="101" s="1"/>
  <c r="J20" i="101"/>
  <c r="X18" i="101"/>
  <c r="Z18" i="101" s="1"/>
  <c r="N18" i="101"/>
  <c r="L18" i="101"/>
  <c r="B18" i="101"/>
  <c r="X17" i="101"/>
  <c r="Z17" i="101" s="1"/>
  <c r="N17" i="101"/>
  <c r="L17" i="101"/>
  <c r="B17" i="101"/>
  <c r="T16" i="101"/>
  <c r="R16" i="101"/>
  <c r="P16" i="101"/>
  <c r="X16" i="101" s="1"/>
  <c r="L16" i="101"/>
  <c r="J16" i="101"/>
  <c r="H16" i="101"/>
  <c r="N16" i="101" s="1"/>
  <c r="D16" i="101"/>
  <c r="T14" i="101"/>
  <c r="P14" i="101"/>
  <c r="X14" i="101" s="1"/>
  <c r="N14" i="101"/>
  <c r="H14" i="101"/>
  <c r="D14" i="101"/>
  <c r="L14" i="101" s="1"/>
  <c r="B14" i="101"/>
  <c r="X13" i="101"/>
  <c r="Z13" i="101" s="1"/>
  <c r="T13" i="101"/>
  <c r="P13" i="101"/>
  <c r="H13" i="101"/>
  <c r="H12" i="101" s="1"/>
  <c r="D13" i="101"/>
  <c r="B13" i="101"/>
  <c r="X12" i="101"/>
  <c r="T12" i="101"/>
  <c r="V16" i="101" s="1"/>
  <c r="P12" i="101"/>
  <c r="R40" i="101" s="1"/>
  <c r="D6" i="101"/>
  <c r="D4" i="101"/>
  <c r="F47" i="100"/>
  <c r="Z45" i="100"/>
  <c r="X45" i="100"/>
  <c r="N45" i="100"/>
  <c r="L45" i="100"/>
  <c r="F43" i="100"/>
  <c r="T41" i="100"/>
  <c r="T40" i="100" s="1"/>
  <c r="R41" i="100"/>
  <c r="P41" i="100"/>
  <c r="H41" i="100"/>
  <c r="F41" i="100"/>
  <c r="D41" i="100"/>
  <c r="B41" i="100"/>
  <c r="V40" i="100"/>
  <c r="R40" i="100"/>
  <c r="N40" i="100"/>
  <c r="L40" i="100"/>
  <c r="H40" i="100"/>
  <c r="D40" i="100"/>
  <c r="X38" i="100"/>
  <c r="Z38" i="100" s="1"/>
  <c r="V38" i="100"/>
  <c r="R38" i="100"/>
  <c r="N38" i="100"/>
  <c r="L38" i="100"/>
  <c r="F38" i="100"/>
  <c r="B38" i="100"/>
  <c r="Z37" i="100"/>
  <c r="T37" i="100"/>
  <c r="P37" i="100"/>
  <c r="X37" i="100" s="1"/>
  <c r="H37" i="100"/>
  <c r="D37" i="100"/>
  <c r="L37" i="100" s="1"/>
  <c r="N37" i="100" s="1"/>
  <c r="B37" i="100"/>
  <c r="X36" i="100"/>
  <c r="Z36" i="100" s="1"/>
  <c r="R36" i="100"/>
  <c r="N36" i="100"/>
  <c r="L36" i="100"/>
  <c r="B36" i="100"/>
  <c r="X35" i="100"/>
  <c r="Z35" i="100" s="1"/>
  <c r="V35" i="100"/>
  <c r="T35" i="100"/>
  <c r="R35" i="100"/>
  <c r="P35" i="100"/>
  <c r="N35" i="100"/>
  <c r="L35" i="100"/>
  <c r="H35" i="100"/>
  <c r="D35" i="100"/>
  <c r="B35" i="100"/>
  <c r="X34" i="100"/>
  <c r="Z34" i="100" s="1"/>
  <c r="R34" i="100"/>
  <c r="L34" i="100"/>
  <c r="N34" i="100" s="1"/>
  <c r="J34" i="100"/>
  <c r="B34" i="100"/>
  <c r="X33" i="100"/>
  <c r="V33" i="100"/>
  <c r="T33" i="100"/>
  <c r="P33" i="100"/>
  <c r="J33" i="100"/>
  <c r="H33" i="100"/>
  <c r="D33" i="100"/>
  <c r="L33" i="100" s="1"/>
  <c r="N33" i="100" s="1"/>
  <c r="B33" i="100"/>
  <c r="Z32" i="100"/>
  <c r="X32" i="100"/>
  <c r="V32" i="100"/>
  <c r="N32" i="100"/>
  <c r="L32" i="100"/>
  <c r="F32" i="100"/>
  <c r="B32" i="100"/>
  <c r="T31" i="100"/>
  <c r="P31" i="100"/>
  <c r="X31" i="100" s="1"/>
  <c r="N31" i="100"/>
  <c r="H31" i="100"/>
  <c r="D31" i="100"/>
  <c r="L31" i="100" s="1"/>
  <c r="B31" i="100"/>
  <c r="Z30" i="100"/>
  <c r="X30" i="100"/>
  <c r="R30" i="100"/>
  <c r="L30" i="100"/>
  <c r="N30" i="100" s="1"/>
  <c r="F30" i="100"/>
  <c r="B30" i="100"/>
  <c r="T29" i="100"/>
  <c r="P29" i="100"/>
  <c r="X29" i="100" s="1"/>
  <c r="N29" i="100"/>
  <c r="L29" i="100"/>
  <c r="J29" i="100"/>
  <c r="H29" i="100"/>
  <c r="F29" i="100"/>
  <c r="D29" i="100"/>
  <c r="B29" i="100"/>
  <c r="X28" i="100"/>
  <c r="Z28" i="100" s="1"/>
  <c r="L28" i="100"/>
  <c r="N28" i="100" s="1"/>
  <c r="B28" i="100"/>
  <c r="Z27" i="100"/>
  <c r="X27" i="100"/>
  <c r="V27" i="100"/>
  <c r="R27" i="100"/>
  <c r="L27" i="100"/>
  <c r="N27" i="100" s="1"/>
  <c r="F27" i="100"/>
  <c r="B27" i="100"/>
  <c r="Z26" i="100"/>
  <c r="X26" i="100"/>
  <c r="L26" i="100"/>
  <c r="N26" i="100" s="1"/>
  <c r="F26" i="100"/>
  <c r="B26" i="100"/>
  <c r="X25" i="100"/>
  <c r="Z25" i="100" s="1"/>
  <c r="N25" i="100"/>
  <c r="L25" i="100"/>
  <c r="J25" i="100"/>
  <c r="F25" i="100"/>
  <c r="B25" i="100"/>
  <c r="Z24" i="100"/>
  <c r="X24" i="100"/>
  <c r="V24" i="100"/>
  <c r="N24" i="100"/>
  <c r="L24" i="100"/>
  <c r="B24" i="100"/>
  <c r="X23" i="100"/>
  <c r="Z23" i="100" s="1"/>
  <c r="V23" i="100"/>
  <c r="N23" i="100"/>
  <c r="L23" i="100"/>
  <c r="F23" i="100"/>
  <c r="B23" i="100"/>
  <c r="Z22" i="100"/>
  <c r="X22" i="100"/>
  <c r="L22" i="100"/>
  <c r="N22" i="100" s="1"/>
  <c r="B22" i="100"/>
  <c r="X21" i="100"/>
  <c r="Z21" i="100" s="1"/>
  <c r="V21" i="100"/>
  <c r="R21" i="100"/>
  <c r="N21" i="100"/>
  <c r="L21" i="100"/>
  <c r="F21" i="100"/>
  <c r="B21" i="100"/>
  <c r="T20" i="100"/>
  <c r="P20" i="100"/>
  <c r="X20" i="100" s="1"/>
  <c r="Z20" i="100" s="1"/>
  <c r="H20" i="100"/>
  <c r="F20" i="100"/>
  <c r="D20" i="100"/>
  <c r="L20" i="100" s="1"/>
  <c r="N20" i="100" s="1"/>
  <c r="B20" i="100"/>
  <c r="T19" i="100"/>
  <c r="P19" i="100"/>
  <c r="H19" i="100"/>
  <c r="F19" i="100"/>
  <c r="D19" i="100"/>
  <c r="L19" i="100" s="1"/>
  <c r="N19" i="100" s="1"/>
  <c r="R17" i="100"/>
  <c r="F17" i="100"/>
  <c r="Z15" i="100"/>
  <c r="X15" i="100"/>
  <c r="R15" i="100"/>
  <c r="N15" i="100"/>
  <c r="L15" i="100"/>
  <c r="F15" i="100"/>
  <c r="B15" i="100"/>
  <c r="Z14" i="100"/>
  <c r="T14" i="100"/>
  <c r="R14" i="100"/>
  <c r="P14" i="100"/>
  <c r="X14" i="100" s="1"/>
  <c r="N14" i="100"/>
  <c r="J14" i="100"/>
  <c r="H14" i="100"/>
  <c r="F14" i="100"/>
  <c r="D14" i="100"/>
  <c r="D17" i="100" s="1"/>
  <c r="Z12" i="100"/>
  <c r="T12" i="100"/>
  <c r="V29" i="100" s="1"/>
  <c r="P12" i="100"/>
  <c r="R50" i="100" s="1"/>
  <c r="N12" i="100"/>
  <c r="L12" i="100"/>
  <c r="H12" i="100"/>
  <c r="J38" i="100" s="1"/>
  <c r="D12" i="100"/>
  <c r="F50" i="100" s="1"/>
  <c r="D6" i="100"/>
  <c r="D4" i="100"/>
  <c r="Z43" i="99"/>
  <c r="X43" i="99"/>
  <c r="N43" i="99"/>
  <c r="L43" i="99"/>
  <c r="V41" i="99"/>
  <c r="Z39" i="99"/>
  <c r="T39" i="99"/>
  <c r="P39" i="99"/>
  <c r="X39" i="99" s="1"/>
  <c r="N39" i="99"/>
  <c r="H39" i="99"/>
  <c r="D39" i="99"/>
  <c r="L39" i="99" s="1"/>
  <c r="Z37" i="99"/>
  <c r="X37" i="99"/>
  <c r="V37" i="99"/>
  <c r="N37" i="99"/>
  <c r="L37" i="99"/>
  <c r="B37" i="99"/>
  <c r="T36" i="99"/>
  <c r="Z36" i="99" s="1"/>
  <c r="P36" i="99"/>
  <c r="X36" i="99" s="1"/>
  <c r="L36" i="99"/>
  <c r="H36" i="99"/>
  <c r="N36" i="99" s="1"/>
  <c r="D36" i="99"/>
  <c r="B36" i="99"/>
  <c r="Z35" i="99"/>
  <c r="X35" i="99"/>
  <c r="N35" i="99"/>
  <c r="L35" i="99"/>
  <c r="J35" i="99"/>
  <c r="B35" i="99"/>
  <c r="T34" i="99"/>
  <c r="Z34" i="99" s="1"/>
  <c r="P34" i="99"/>
  <c r="H34" i="99"/>
  <c r="N34" i="99" s="1"/>
  <c r="D34" i="99"/>
  <c r="B34" i="99"/>
  <c r="Z33" i="99"/>
  <c r="X33" i="99"/>
  <c r="V33" i="99"/>
  <c r="N33" i="99"/>
  <c r="L33" i="99"/>
  <c r="B33" i="99"/>
  <c r="Z32" i="99"/>
  <c r="X32" i="99"/>
  <c r="N32" i="99"/>
  <c r="L32" i="99"/>
  <c r="B32" i="99"/>
  <c r="Z31" i="99"/>
  <c r="X31" i="99"/>
  <c r="V31" i="99"/>
  <c r="N31" i="99"/>
  <c r="L31" i="99"/>
  <c r="B31" i="99"/>
  <c r="Z30" i="99"/>
  <c r="X30" i="99"/>
  <c r="N30" i="99"/>
  <c r="L30" i="99"/>
  <c r="B30" i="99"/>
  <c r="T29" i="99"/>
  <c r="Z29" i="99" s="1"/>
  <c r="P29" i="99"/>
  <c r="N29" i="99"/>
  <c r="J29" i="99"/>
  <c r="H29" i="99"/>
  <c r="L29" i="99" s="1"/>
  <c r="D29" i="99"/>
  <c r="B29" i="99"/>
  <c r="Z28" i="99"/>
  <c r="X28" i="99"/>
  <c r="N28" i="99"/>
  <c r="L28" i="99"/>
  <c r="B28" i="99"/>
  <c r="Z27" i="99"/>
  <c r="X27" i="99"/>
  <c r="N27" i="99"/>
  <c r="L27" i="99"/>
  <c r="B27" i="99"/>
  <c r="Z26" i="99"/>
  <c r="X26" i="99"/>
  <c r="N26" i="99"/>
  <c r="L26" i="99"/>
  <c r="B26" i="99"/>
  <c r="Z25" i="99"/>
  <c r="X25" i="99"/>
  <c r="V25" i="99"/>
  <c r="N25" i="99"/>
  <c r="L25" i="99"/>
  <c r="B25" i="99"/>
  <c r="Z24" i="99"/>
  <c r="X24" i="99"/>
  <c r="N24" i="99"/>
  <c r="L24" i="99"/>
  <c r="B24" i="99"/>
  <c r="Z23" i="99"/>
  <c r="X23" i="99"/>
  <c r="N23" i="99"/>
  <c r="L23" i="99"/>
  <c r="B23" i="99"/>
  <c r="Z22" i="99"/>
  <c r="X22" i="99"/>
  <c r="N22" i="99"/>
  <c r="L22" i="99"/>
  <c r="B22" i="99"/>
  <c r="Z21" i="99"/>
  <c r="V21" i="99"/>
  <c r="T21" i="99"/>
  <c r="P21" i="99"/>
  <c r="X21" i="99" s="1"/>
  <c r="N21" i="99"/>
  <c r="H21" i="99"/>
  <c r="D21" i="99"/>
  <c r="L21" i="99" s="1"/>
  <c r="B21" i="99"/>
  <c r="T20" i="99"/>
  <c r="Z20" i="99" s="1"/>
  <c r="P20" i="99"/>
  <c r="H20" i="99"/>
  <c r="N20" i="99" s="1"/>
  <c r="D20" i="99"/>
  <c r="T16" i="99"/>
  <c r="Z16" i="99" s="1"/>
  <c r="P16" i="99"/>
  <c r="H16" i="99"/>
  <c r="N16" i="99" s="1"/>
  <c r="D16" i="99"/>
  <c r="Z14" i="99"/>
  <c r="T14" i="99"/>
  <c r="P14" i="99"/>
  <c r="X14" i="99" s="1"/>
  <c r="N14" i="99"/>
  <c r="L14" i="99"/>
  <c r="H14" i="99"/>
  <c r="D14" i="99"/>
  <c r="B14" i="99"/>
  <c r="Z13" i="99"/>
  <c r="X13" i="99"/>
  <c r="T13" i="99"/>
  <c r="T12" i="99" s="1"/>
  <c r="T18" i="99" s="1"/>
  <c r="P13" i="99"/>
  <c r="H13" i="99"/>
  <c r="H12" i="99" s="1"/>
  <c r="D13" i="99"/>
  <c r="B13" i="99"/>
  <c r="D12" i="99"/>
  <c r="D6" i="99"/>
  <c r="D4" i="99"/>
  <c r="Z83" i="98"/>
  <c r="X83" i="98"/>
  <c r="L83" i="98"/>
  <c r="N83" i="98" s="1"/>
  <c r="T79" i="98"/>
  <c r="P79" i="98"/>
  <c r="P78" i="98" s="1"/>
  <c r="H79" i="98"/>
  <c r="D79" i="98"/>
  <c r="B79" i="98"/>
  <c r="Z76" i="98"/>
  <c r="X76" i="98"/>
  <c r="N76" i="98"/>
  <c r="L76" i="98"/>
  <c r="B76" i="98"/>
  <c r="T75" i="98"/>
  <c r="P75" i="98"/>
  <c r="N75" i="98"/>
  <c r="H75" i="98"/>
  <c r="D75" i="98"/>
  <c r="L75" i="98" s="1"/>
  <c r="B75" i="98"/>
  <c r="Z74" i="98"/>
  <c r="X74" i="98"/>
  <c r="N74" i="98"/>
  <c r="L74" i="98"/>
  <c r="B74" i="98"/>
  <c r="X73" i="98"/>
  <c r="T73" i="98"/>
  <c r="Z73" i="98" s="1"/>
  <c r="P73" i="98"/>
  <c r="L73" i="98"/>
  <c r="H73" i="98"/>
  <c r="N73" i="98" s="1"/>
  <c r="D73" i="98"/>
  <c r="B73" i="98"/>
  <c r="Z72" i="98"/>
  <c r="X72" i="98"/>
  <c r="N72" i="98"/>
  <c r="L72" i="98"/>
  <c r="B72" i="98"/>
  <c r="X71" i="98"/>
  <c r="Z71" i="98" s="1"/>
  <c r="N71" i="98"/>
  <c r="L71" i="98"/>
  <c r="B71" i="98"/>
  <c r="Z70" i="98"/>
  <c r="X70" i="98"/>
  <c r="N70" i="98"/>
  <c r="L70" i="98"/>
  <c r="B70" i="98"/>
  <c r="X69" i="98"/>
  <c r="Z69" i="98" s="1"/>
  <c r="N69" i="98"/>
  <c r="L69" i="98"/>
  <c r="B69" i="98"/>
  <c r="X68" i="98"/>
  <c r="Z68" i="98" s="1"/>
  <c r="N68" i="98"/>
  <c r="L68" i="98"/>
  <c r="B68" i="98"/>
  <c r="X67" i="98"/>
  <c r="Z67" i="98" s="1"/>
  <c r="N67" i="98"/>
  <c r="L67" i="98"/>
  <c r="B67" i="98"/>
  <c r="X66" i="98"/>
  <c r="Z66" i="98" s="1"/>
  <c r="N66" i="98"/>
  <c r="L66" i="98"/>
  <c r="B66" i="98"/>
  <c r="X65" i="98"/>
  <c r="T65" i="98"/>
  <c r="P65" i="98"/>
  <c r="H65" i="98"/>
  <c r="D65" i="98"/>
  <c r="L65" i="98" s="1"/>
  <c r="B65" i="98"/>
  <c r="Z64" i="98"/>
  <c r="X64" i="98"/>
  <c r="N64" i="98"/>
  <c r="L64" i="98"/>
  <c r="B64" i="98"/>
  <c r="Z63" i="98"/>
  <c r="T63" i="98"/>
  <c r="P63" i="98"/>
  <c r="X63" i="98" s="1"/>
  <c r="H63" i="98"/>
  <c r="D63" i="98"/>
  <c r="L63" i="98" s="1"/>
  <c r="N63" i="98" s="1"/>
  <c r="B63" i="98"/>
  <c r="Z62" i="98"/>
  <c r="X62" i="98"/>
  <c r="N62" i="98"/>
  <c r="L62" i="98"/>
  <c r="B62" i="98"/>
  <c r="Z61" i="98"/>
  <c r="X61" i="98"/>
  <c r="N61" i="98"/>
  <c r="L61" i="98"/>
  <c r="B61" i="98"/>
  <c r="Z60" i="98"/>
  <c r="X60" i="98"/>
  <c r="N60" i="98"/>
  <c r="L60" i="98"/>
  <c r="B60" i="98"/>
  <c r="X59" i="98"/>
  <c r="T59" i="98"/>
  <c r="Z59" i="98" s="1"/>
  <c r="P59" i="98"/>
  <c r="H59" i="98"/>
  <c r="D59" i="98"/>
  <c r="L59" i="98" s="1"/>
  <c r="B59" i="98"/>
  <c r="Z58" i="98"/>
  <c r="X58" i="98"/>
  <c r="L58" i="98"/>
  <c r="N58" i="98" s="1"/>
  <c r="B58" i="98"/>
  <c r="X57" i="98"/>
  <c r="Z57" i="98" s="1"/>
  <c r="N57" i="98"/>
  <c r="L57" i="98"/>
  <c r="B57" i="98"/>
  <c r="Z56" i="98"/>
  <c r="X56" i="98"/>
  <c r="N56" i="98"/>
  <c r="L56" i="98"/>
  <c r="B56" i="98"/>
  <c r="T55" i="98"/>
  <c r="P55" i="98"/>
  <c r="H55" i="98"/>
  <c r="D55" i="98"/>
  <c r="L55" i="98" s="1"/>
  <c r="B55" i="98"/>
  <c r="X54" i="98"/>
  <c r="Z54" i="98" s="1"/>
  <c r="N54" i="98"/>
  <c r="L54" i="98"/>
  <c r="B54" i="98"/>
  <c r="X53" i="98"/>
  <c r="Z53" i="98" s="1"/>
  <c r="L53" i="98"/>
  <c r="N53" i="98" s="1"/>
  <c r="B53" i="98"/>
  <c r="Z52" i="98"/>
  <c r="T52" i="98"/>
  <c r="X52" i="98" s="1"/>
  <c r="P52" i="98"/>
  <c r="H52" i="98"/>
  <c r="D52" i="98"/>
  <c r="B52" i="98"/>
  <c r="Z51" i="98"/>
  <c r="X51" i="98"/>
  <c r="N51" i="98"/>
  <c r="L51" i="98"/>
  <c r="B51" i="98"/>
  <c r="Z50" i="98"/>
  <c r="T50" i="98"/>
  <c r="P50" i="98"/>
  <c r="X50" i="98" s="1"/>
  <c r="N50" i="98"/>
  <c r="H50" i="98"/>
  <c r="D50" i="98"/>
  <c r="B50" i="98"/>
  <c r="Z49" i="98"/>
  <c r="X49" i="98"/>
  <c r="N49" i="98"/>
  <c r="L49" i="98"/>
  <c r="B49" i="98"/>
  <c r="Z48" i="98"/>
  <c r="X48" i="98"/>
  <c r="T48" i="98"/>
  <c r="P48" i="98"/>
  <c r="N48" i="98"/>
  <c r="H48" i="98"/>
  <c r="D48" i="98"/>
  <c r="L48" i="98" s="1"/>
  <c r="B48" i="98"/>
  <c r="Z47" i="98"/>
  <c r="X47" i="98"/>
  <c r="L47" i="98"/>
  <c r="N47" i="98" s="1"/>
  <c r="B47" i="98"/>
  <c r="X46" i="98"/>
  <c r="Z46" i="98" s="1"/>
  <c r="N46" i="98"/>
  <c r="L46" i="98"/>
  <c r="J46" i="98"/>
  <c r="B46" i="98"/>
  <c r="T45" i="98"/>
  <c r="P45" i="98"/>
  <c r="X45" i="98" s="1"/>
  <c r="Z45" i="98" s="1"/>
  <c r="H45" i="98"/>
  <c r="D45" i="98"/>
  <c r="L45" i="98" s="1"/>
  <c r="N45" i="98" s="1"/>
  <c r="B45" i="98"/>
  <c r="Z44" i="98"/>
  <c r="X44" i="98"/>
  <c r="L44" i="98"/>
  <c r="N44" i="98" s="1"/>
  <c r="B44" i="98"/>
  <c r="X43" i="98"/>
  <c r="T43" i="98"/>
  <c r="P43" i="98"/>
  <c r="N43" i="98"/>
  <c r="L43" i="98"/>
  <c r="H43" i="98"/>
  <c r="D43" i="98"/>
  <c r="B43" i="98"/>
  <c r="Z42" i="98"/>
  <c r="X42" i="98"/>
  <c r="L42" i="98"/>
  <c r="N42" i="98" s="1"/>
  <c r="F42" i="98"/>
  <c r="B42" i="98"/>
  <c r="X41" i="98"/>
  <c r="T41" i="98"/>
  <c r="P41" i="98"/>
  <c r="H41" i="98"/>
  <c r="D41" i="98"/>
  <c r="L41" i="98" s="1"/>
  <c r="B41" i="98"/>
  <c r="Z40" i="98"/>
  <c r="X40" i="98"/>
  <c r="N40" i="98"/>
  <c r="L40" i="98"/>
  <c r="B40" i="98"/>
  <c r="T39" i="98"/>
  <c r="P39" i="98"/>
  <c r="L39" i="98"/>
  <c r="N39" i="98" s="1"/>
  <c r="H39" i="98"/>
  <c r="F39" i="98"/>
  <c r="D39" i="98"/>
  <c r="B39" i="98"/>
  <c r="Z38" i="98"/>
  <c r="X38" i="98"/>
  <c r="L38" i="98"/>
  <c r="N38" i="98" s="1"/>
  <c r="B38" i="98"/>
  <c r="X37" i="98"/>
  <c r="Z37" i="98" s="1"/>
  <c r="L37" i="98"/>
  <c r="N37" i="98" s="1"/>
  <c r="B37" i="98"/>
  <c r="Z36" i="98"/>
  <c r="X36" i="98"/>
  <c r="N36" i="98"/>
  <c r="L36" i="98"/>
  <c r="B36" i="98"/>
  <c r="X35" i="98"/>
  <c r="Z35" i="98" s="1"/>
  <c r="L35" i="98"/>
  <c r="N35" i="98" s="1"/>
  <c r="B35" i="98"/>
  <c r="Z34" i="98"/>
  <c r="X34" i="98"/>
  <c r="L34" i="98"/>
  <c r="N34" i="98" s="1"/>
  <c r="B34" i="98"/>
  <c r="Z33" i="98"/>
  <c r="X33" i="98"/>
  <c r="L33" i="98"/>
  <c r="N33" i="98" s="1"/>
  <c r="B33" i="98"/>
  <c r="T32" i="98"/>
  <c r="P32" i="98"/>
  <c r="X32" i="98" s="1"/>
  <c r="N32" i="98"/>
  <c r="H32" i="98"/>
  <c r="D32" i="98"/>
  <c r="L32" i="98" s="1"/>
  <c r="B32" i="98"/>
  <c r="X31" i="98"/>
  <c r="Z31" i="98" s="1"/>
  <c r="L31" i="98"/>
  <c r="N31" i="98" s="1"/>
  <c r="F31" i="98"/>
  <c r="B31" i="98"/>
  <c r="Z30" i="98"/>
  <c r="X30" i="98"/>
  <c r="L30" i="98"/>
  <c r="N30" i="98" s="1"/>
  <c r="B30" i="98"/>
  <c r="X29" i="98"/>
  <c r="Z29" i="98" s="1"/>
  <c r="L29" i="98"/>
  <c r="N29" i="98" s="1"/>
  <c r="B29" i="98"/>
  <c r="Z28" i="98"/>
  <c r="X28" i="98"/>
  <c r="N28" i="98"/>
  <c r="L28" i="98"/>
  <c r="B28" i="98"/>
  <c r="X27" i="98"/>
  <c r="Z27" i="98" s="1"/>
  <c r="N27" i="98"/>
  <c r="L27" i="98"/>
  <c r="B27" i="98"/>
  <c r="Z26" i="98"/>
  <c r="X26" i="98"/>
  <c r="L26" i="98"/>
  <c r="N26" i="98" s="1"/>
  <c r="F26" i="98"/>
  <c r="B26" i="98"/>
  <c r="X25" i="98"/>
  <c r="Z25" i="98" s="1"/>
  <c r="L25" i="98"/>
  <c r="N25" i="98" s="1"/>
  <c r="B25" i="98"/>
  <c r="Z24" i="98"/>
  <c r="X24" i="98"/>
  <c r="N24" i="98"/>
  <c r="L24" i="98"/>
  <c r="B24" i="98"/>
  <c r="T23" i="98"/>
  <c r="P23" i="98"/>
  <c r="X23" i="98" s="1"/>
  <c r="H23" i="98"/>
  <c r="D23" i="98"/>
  <c r="B23" i="98"/>
  <c r="T22" i="98"/>
  <c r="P22" i="98"/>
  <c r="H22" i="98"/>
  <c r="N22" i="98" s="1"/>
  <c r="F22" i="98"/>
  <c r="D22" i="98"/>
  <c r="L22" i="98" s="1"/>
  <c r="X18" i="98"/>
  <c r="Z18" i="98" s="1"/>
  <c r="N18" i="98"/>
  <c r="L18" i="98"/>
  <c r="B18" i="98"/>
  <c r="X17" i="98"/>
  <c r="Z17" i="98" s="1"/>
  <c r="L17" i="98"/>
  <c r="N17" i="98" s="1"/>
  <c r="J17" i="98"/>
  <c r="F17" i="98"/>
  <c r="B17" i="98"/>
  <c r="T16" i="98"/>
  <c r="P16" i="98"/>
  <c r="H16" i="98"/>
  <c r="D16" i="98"/>
  <c r="L16" i="98" s="1"/>
  <c r="T14" i="98"/>
  <c r="P14" i="98"/>
  <c r="H14" i="98"/>
  <c r="D14" i="98"/>
  <c r="B14" i="98"/>
  <c r="T13" i="98"/>
  <c r="P13" i="98"/>
  <c r="L13" i="98"/>
  <c r="H13" i="98"/>
  <c r="D13" i="98"/>
  <c r="D12" i="98" s="1"/>
  <c r="F50" i="98" s="1"/>
  <c r="B13" i="98"/>
  <c r="H12" i="98"/>
  <c r="J53" i="98" s="1"/>
  <c r="D6" i="98"/>
  <c r="D4" i="98"/>
  <c r="Z89" i="96"/>
  <c r="X89" i="96"/>
  <c r="L89" i="96"/>
  <c r="N89" i="96" s="1"/>
  <c r="Z85" i="96"/>
  <c r="X85" i="96"/>
  <c r="T85" i="96"/>
  <c r="P85" i="96"/>
  <c r="N85" i="96"/>
  <c r="H85" i="96"/>
  <c r="D85" i="96"/>
  <c r="L85" i="96" s="1"/>
  <c r="X83" i="96"/>
  <c r="Z83" i="96" s="1"/>
  <c r="N83" i="96"/>
  <c r="L83" i="96"/>
  <c r="B83" i="96"/>
  <c r="T82" i="96"/>
  <c r="P82" i="96"/>
  <c r="H82" i="96"/>
  <c r="D82" i="96"/>
  <c r="L82" i="96" s="1"/>
  <c r="N82" i="96" s="1"/>
  <c r="B82" i="96"/>
  <c r="X81" i="96"/>
  <c r="Z81" i="96" s="1"/>
  <c r="R81" i="96"/>
  <c r="N81" i="96"/>
  <c r="L81" i="96"/>
  <c r="B81" i="96"/>
  <c r="T80" i="96"/>
  <c r="P80" i="96"/>
  <c r="X80" i="96" s="1"/>
  <c r="Z80" i="96" s="1"/>
  <c r="N80" i="96"/>
  <c r="L80" i="96"/>
  <c r="H80" i="96"/>
  <c r="D80" i="96"/>
  <c r="B80" i="96"/>
  <c r="X79" i="96"/>
  <c r="Z79" i="96" s="1"/>
  <c r="N79" i="96"/>
  <c r="L79" i="96"/>
  <c r="B79" i="96"/>
  <c r="X78" i="96"/>
  <c r="T78" i="96"/>
  <c r="Z78" i="96" s="1"/>
  <c r="P78" i="96"/>
  <c r="H78" i="96"/>
  <c r="D78" i="96"/>
  <c r="B78" i="96"/>
  <c r="Z77" i="96"/>
  <c r="X77" i="96"/>
  <c r="N77" i="96"/>
  <c r="L77" i="96"/>
  <c r="J77" i="96"/>
  <c r="B77" i="96"/>
  <c r="Z76" i="96"/>
  <c r="X76" i="96"/>
  <c r="N76" i="96"/>
  <c r="L76" i="96"/>
  <c r="B76" i="96"/>
  <c r="Z75" i="96"/>
  <c r="X75" i="96"/>
  <c r="N75" i="96"/>
  <c r="L75" i="96"/>
  <c r="B75" i="96"/>
  <c r="Z74" i="96"/>
  <c r="X74" i="96"/>
  <c r="L74" i="96"/>
  <c r="N74" i="96" s="1"/>
  <c r="B74" i="96"/>
  <c r="Z73" i="96"/>
  <c r="X73" i="96"/>
  <c r="L73" i="96"/>
  <c r="N73" i="96" s="1"/>
  <c r="B73" i="96"/>
  <c r="Z72" i="96"/>
  <c r="X72" i="96"/>
  <c r="L72" i="96"/>
  <c r="N72" i="96" s="1"/>
  <c r="B72" i="96"/>
  <c r="Z71" i="96"/>
  <c r="X71" i="96"/>
  <c r="N71" i="96"/>
  <c r="L71" i="96"/>
  <c r="B71" i="96"/>
  <c r="T70" i="96"/>
  <c r="P70" i="96"/>
  <c r="H70" i="96"/>
  <c r="N70" i="96" s="1"/>
  <c r="D70" i="96"/>
  <c r="L70" i="96" s="1"/>
  <c r="B70" i="96"/>
  <c r="X69" i="96"/>
  <c r="Z69" i="96" s="1"/>
  <c r="N69" i="96"/>
  <c r="L69" i="96"/>
  <c r="B69" i="96"/>
  <c r="T68" i="96"/>
  <c r="P68" i="96"/>
  <c r="X68" i="96" s="1"/>
  <c r="Z68" i="96" s="1"/>
  <c r="L68" i="96"/>
  <c r="N68" i="96" s="1"/>
  <c r="H68" i="96"/>
  <c r="D68" i="96"/>
  <c r="B68" i="96"/>
  <c r="Z67" i="96"/>
  <c r="X67" i="96"/>
  <c r="N67" i="96"/>
  <c r="L67" i="96"/>
  <c r="B67" i="96"/>
  <c r="X66" i="96"/>
  <c r="Z66" i="96" s="1"/>
  <c r="N66" i="96"/>
  <c r="L66" i="96"/>
  <c r="B66" i="96"/>
  <c r="Z65" i="96"/>
  <c r="X65" i="96"/>
  <c r="N65" i="96"/>
  <c r="L65" i="96"/>
  <c r="B65" i="96"/>
  <c r="X64" i="96"/>
  <c r="Z64" i="96" s="1"/>
  <c r="N64" i="96"/>
  <c r="L64" i="96"/>
  <c r="B64" i="96"/>
  <c r="Z63" i="96"/>
  <c r="X63" i="96"/>
  <c r="L63" i="96"/>
  <c r="N63" i="96" s="1"/>
  <c r="B63" i="96"/>
  <c r="X62" i="96"/>
  <c r="T62" i="96"/>
  <c r="Z62" i="96" s="1"/>
  <c r="P62" i="96"/>
  <c r="L62" i="96"/>
  <c r="J62" i="96"/>
  <c r="H62" i="96"/>
  <c r="D62" i="96"/>
  <c r="B62" i="96"/>
  <c r="Z61" i="96"/>
  <c r="X61" i="96"/>
  <c r="L61" i="96"/>
  <c r="N61" i="96" s="1"/>
  <c r="B61" i="96"/>
  <c r="X60" i="96"/>
  <c r="Z60" i="96" s="1"/>
  <c r="N60" i="96"/>
  <c r="L60" i="96"/>
  <c r="B60" i="96"/>
  <c r="Z59" i="96"/>
  <c r="X59" i="96"/>
  <c r="N59" i="96"/>
  <c r="L59" i="96"/>
  <c r="B59" i="96"/>
  <c r="T58" i="96"/>
  <c r="P58" i="96"/>
  <c r="X58" i="96" s="1"/>
  <c r="H58" i="96"/>
  <c r="D58" i="96"/>
  <c r="L58" i="96" s="1"/>
  <c r="B58" i="96"/>
  <c r="X57" i="96"/>
  <c r="Z57" i="96" s="1"/>
  <c r="N57" i="96"/>
  <c r="L57" i="96"/>
  <c r="B57" i="96"/>
  <c r="T56" i="96"/>
  <c r="P56" i="96"/>
  <c r="X56" i="96" s="1"/>
  <c r="Z56" i="96" s="1"/>
  <c r="N56" i="96"/>
  <c r="L56" i="96"/>
  <c r="H56" i="96"/>
  <c r="D56" i="96"/>
  <c r="B56" i="96"/>
  <c r="Z55" i="96"/>
  <c r="X55" i="96"/>
  <c r="N55" i="96"/>
  <c r="L55" i="96"/>
  <c r="B55" i="96"/>
  <c r="X54" i="96"/>
  <c r="T54" i="96"/>
  <c r="Z54" i="96" s="1"/>
  <c r="P54" i="96"/>
  <c r="H54" i="96"/>
  <c r="D54" i="96"/>
  <c r="B54" i="96"/>
  <c r="Z53" i="96"/>
  <c r="X53" i="96"/>
  <c r="L53" i="96"/>
  <c r="N53" i="96" s="1"/>
  <c r="B53" i="96"/>
  <c r="T52" i="96"/>
  <c r="P52" i="96"/>
  <c r="X52" i="96" s="1"/>
  <c r="H52" i="96"/>
  <c r="D52" i="96"/>
  <c r="B52" i="96"/>
  <c r="Z51" i="96"/>
  <c r="X51" i="96"/>
  <c r="N51" i="96"/>
  <c r="L51" i="96"/>
  <c r="B51" i="96"/>
  <c r="Z50" i="96"/>
  <c r="X50" i="96"/>
  <c r="T50" i="96"/>
  <c r="P50" i="96"/>
  <c r="H50" i="96"/>
  <c r="D50" i="96"/>
  <c r="L50" i="96" s="1"/>
  <c r="N50" i="96" s="1"/>
  <c r="B50" i="96"/>
  <c r="Z49" i="96"/>
  <c r="X49" i="96"/>
  <c r="N49" i="96"/>
  <c r="L49" i="96"/>
  <c r="B49" i="96"/>
  <c r="T48" i="96"/>
  <c r="P48" i="96"/>
  <c r="L48" i="96"/>
  <c r="H48" i="96"/>
  <c r="N48" i="96" s="1"/>
  <c r="D48" i="96"/>
  <c r="B48" i="96"/>
  <c r="Z47" i="96"/>
  <c r="X47" i="96"/>
  <c r="N47" i="96"/>
  <c r="L47" i="96"/>
  <c r="B47" i="96"/>
  <c r="Z46" i="96"/>
  <c r="X46" i="96"/>
  <c r="R46" i="96"/>
  <c r="L46" i="96"/>
  <c r="N46" i="96" s="1"/>
  <c r="B46" i="96"/>
  <c r="Z45" i="96"/>
  <c r="X45" i="96"/>
  <c r="T45" i="96"/>
  <c r="P45" i="96"/>
  <c r="N45" i="96"/>
  <c r="L45" i="96"/>
  <c r="J45" i="96"/>
  <c r="H45" i="96"/>
  <c r="D45" i="96"/>
  <c r="B45" i="96"/>
  <c r="X44" i="96"/>
  <c r="Z44" i="96" s="1"/>
  <c r="L44" i="96"/>
  <c r="N44" i="96" s="1"/>
  <c r="B44" i="96"/>
  <c r="T43" i="96"/>
  <c r="Z43" i="96" s="1"/>
  <c r="P43" i="96"/>
  <c r="X43" i="96" s="1"/>
  <c r="J43" i="96"/>
  <c r="H43" i="96"/>
  <c r="D43" i="96"/>
  <c r="L43" i="96" s="1"/>
  <c r="B43" i="96"/>
  <c r="X42" i="96"/>
  <c r="Z42" i="96" s="1"/>
  <c r="N42" i="96"/>
  <c r="L42" i="96"/>
  <c r="B42" i="96"/>
  <c r="Z41" i="96"/>
  <c r="T41" i="96"/>
  <c r="P41" i="96"/>
  <c r="X41" i="96" s="1"/>
  <c r="H41" i="96"/>
  <c r="D41" i="96"/>
  <c r="L41" i="96" s="1"/>
  <c r="N41" i="96" s="1"/>
  <c r="B41" i="96"/>
  <c r="Z40" i="96"/>
  <c r="X40" i="96"/>
  <c r="L40" i="96"/>
  <c r="N40" i="96" s="1"/>
  <c r="B40" i="96"/>
  <c r="X39" i="96"/>
  <c r="Z39" i="96" s="1"/>
  <c r="T39" i="96"/>
  <c r="P39" i="96"/>
  <c r="N39" i="96"/>
  <c r="L39" i="96"/>
  <c r="H39" i="96"/>
  <c r="D39" i="96"/>
  <c r="B39" i="96"/>
  <c r="Z38" i="96"/>
  <c r="X38" i="96"/>
  <c r="L38" i="96"/>
  <c r="N38" i="96" s="1"/>
  <c r="B38" i="96"/>
  <c r="X37" i="96"/>
  <c r="Z37" i="96" s="1"/>
  <c r="R37" i="96"/>
  <c r="N37" i="96"/>
  <c r="L37" i="96"/>
  <c r="B37" i="96"/>
  <c r="Z36" i="96"/>
  <c r="X36" i="96"/>
  <c r="N36" i="96"/>
  <c r="L36" i="96"/>
  <c r="B36" i="96"/>
  <c r="Z35" i="96"/>
  <c r="X35" i="96"/>
  <c r="N35" i="96"/>
  <c r="L35" i="96"/>
  <c r="B35" i="96"/>
  <c r="X34" i="96"/>
  <c r="Z34" i="96" s="1"/>
  <c r="L34" i="96"/>
  <c r="N34" i="96" s="1"/>
  <c r="B34" i="96"/>
  <c r="X33" i="96"/>
  <c r="Z33" i="96" s="1"/>
  <c r="R33" i="96"/>
  <c r="N33" i="96"/>
  <c r="L33" i="96"/>
  <c r="B33" i="96"/>
  <c r="T32" i="96"/>
  <c r="P32" i="96"/>
  <c r="X32" i="96" s="1"/>
  <c r="Z32" i="96" s="1"/>
  <c r="L32" i="96"/>
  <c r="N32" i="96" s="1"/>
  <c r="H32" i="96"/>
  <c r="D32" i="96"/>
  <c r="B32" i="96"/>
  <c r="Z31" i="96"/>
  <c r="X31" i="96"/>
  <c r="N31" i="96"/>
  <c r="L31" i="96"/>
  <c r="J31" i="96"/>
  <c r="B31" i="96"/>
  <c r="X30" i="96"/>
  <c r="Z30" i="96" s="1"/>
  <c r="N30" i="96"/>
  <c r="L30" i="96"/>
  <c r="B30" i="96"/>
  <c r="Z29" i="96"/>
  <c r="X29" i="96"/>
  <c r="N29" i="96"/>
  <c r="L29" i="96"/>
  <c r="B29" i="96"/>
  <c r="X28" i="96"/>
  <c r="Z28" i="96" s="1"/>
  <c r="L28" i="96"/>
  <c r="N28" i="96" s="1"/>
  <c r="B28" i="96"/>
  <c r="Z27" i="96"/>
  <c r="X27" i="96"/>
  <c r="L27" i="96"/>
  <c r="N27" i="96" s="1"/>
  <c r="J27" i="96"/>
  <c r="B27" i="96"/>
  <c r="X26" i="96"/>
  <c r="Z26" i="96" s="1"/>
  <c r="N26" i="96"/>
  <c r="L26" i="96"/>
  <c r="B26" i="96"/>
  <c r="Z25" i="96"/>
  <c r="X25" i="96"/>
  <c r="N25" i="96"/>
  <c r="L25" i="96"/>
  <c r="B25" i="96"/>
  <c r="X24" i="96"/>
  <c r="Z24" i="96" s="1"/>
  <c r="L24" i="96"/>
  <c r="N24" i="96" s="1"/>
  <c r="B24" i="96"/>
  <c r="T23" i="96"/>
  <c r="P23" i="96"/>
  <c r="X23" i="96" s="1"/>
  <c r="Z23" i="96" s="1"/>
  <c r="H23" i="96"/>
  <c r="D23" i="96"/>
  <c r="L23" i="96" s="1"/>
  <c r="N23" i="96" s="1"/>
  <c r="B23" i="96"/>
  <c r="T22" i="96"/>
  <c r="P22" i="96"/>
  <c r="H22" i="96"/>
  <c r="D22" i="96"/>
  <c r="L22" i="96" s="1"/>
  <c r="Z18" i="96"/>
  <c r="X18" i="96"/>
  <c r="N18" i="96"/>
  <c r="L18" i="96"/>
  <c r="B18" i="96"/>
  <c r="X17" i="96"/>
  <c r="Z17" i="96" s="1"/>
  <c r="N17" i="96"/>
  <c r="L17" i="96"/>
  <c r="B17" i="96"/>
  <c r="X16" i="96"/>
  <c r="T16" i="96"/>
  <c r="P16" i="96"/>
  <c r="H16" i="96"/>
  <c r="F16" i="96"/>
  <c r="D16" i="96"/>
  <c r="D20" i="96" s="1"/>
  <c r="X14" i="96"/>
  <c r="Z14" i="96" s="1"/>
  <c r="T14" i="96"/>
  <c r="P14" i="96"/>
  <c r="P12" i="96" s="1"/>
  <c r="R57" i="96" s="1"/>
  <c r="N14" i="96"/>
  <c r="L14" i="96"/>
  <c r="H14" i="96"/>
  <c r="D14" i="96"/>
  <c r="B14" i="96"/>
  <c r="T13" i="96"/>
  <c r="P13" i="96"/>
  <c r="H13" i="96"/>
  <c r="H12" i="96" s="1"/>
  <c r="J73" i="96" s="1"/>
  <c r="D13" i="96"/>
  <c r="B13" i="96"/>
  <c r="D12" i="96"/>
  <c r="F20" i="96" s="1"/>
  <c r="D6" i="96"/>
  <c r="D4" i="96"/>
  <c r="Z77" i="95"/>
  <c r="X77" i="95"/>
  <c r="L77" i="95"/>
  <c r="N77" i="95" s="1"/>
  <c r="T73" i="95"/>
  <c r="Z73" i="95" s="1"/>
  <c r="P73" i="95"/>
  <c r="N73" i="95"/>
  <c r="H73" i="95"/>
  <c r="D73" i="95"/>
  <c r="L73" i="95" s="1"/>
  <c r="Z71" i="95"/>
  <c r="X71" i="95"/>
  <c r="N71" i="95"/>
  <c r="L71" i="95"/>
  <c r="B71" i="95"/>
  <c r="Z70" i="95"/>
  <c r="X70" i="95"/>
  <c r="T70" i="95"/>
  <c r="P70" i="95"/>
  <c r="H70" i="95"/>
  <c r="N70" i="95" s="1"/>
  <c r="D70" i="95"/>
  <c r="B70" i="95"/>
  <c r="Z69" i="95"/>
  <c r="X69" i="95"/>
  <c r="L69" i="95"/>
  <c r="N69" i="95" s="1"/>
  <c r="B69" i="95"/>
  <c r="T68" i="95"/>
  <c r="P68" i="95"/>
  <c r="H68" i="95"/>
  <c r="N68" i="95" s="1"/>
  <c r="D68" i="95"/>
  <c r="L68" i="95" s="1"/>
  <c r="B68" i="95"/>
  <c r="Z67" i="95"/>
  <c r="X67" i="95"/>
  <c r="N67" i="95"/>
  <c r="L67" i="95"/>
  <c r="B67" i="95"/>
  <c r="Z66" i="95"/>
  <c r="X66" i="95"/>
  <c r="N66" i="95"/>
  <c r="L66" i="95"/>
  <c r="B66" i="95"/>
  <c r="Z65" i="95"/>
  <c r="X65" i="95"/>
  <c r="N65" i="95"/>
  <c r="L65" i="95"/>
  <c r="B65" i="95"/>
  <c r="Z64" i="95"/>
  <c r="X64" i="95"/>
  <c r="L64" i="95"/>
  <c r="N64" i="95" s="1"/>
  <c r="B64" i="95"/>
  <c r="X63" i="95"/>
  <c r="Z63" i="95" s="1"/>
  <c r="R63" i="95"/>
  <c r="N63" i="95"/>
  <c r="L63" i="95"/>
  <c r="B63" i="95"/>
  <c r="Z62" i="95"/>
  <c r="X62" i="95"/>
  <c r="N62" i="95"/>
  <c r="L62" i="95"/>
  <c r="B62" i="95"/>
  <c r="Z61" i="95"/>
  <c r="X61" i="95"/>
  <c r="N61" i="95"/>
  <c r="L61" i="95"/>
  <c r="B61" i="95"/>
  <c r="Z60" i="95"/>
  <c r="X60" i="95"/>
  <c r="T60" i="95"/>
  <c r="P60" i="95"/>
  <c r="H60" i="95"/>
  <c r="D60" i="95"/>
  <c r="L60" i="95" s="1"/>
  <c r="N60" i="95" s="1"/>
  <c r="B60" i="95"/>
  <c r="Z59" i="95"/>
  <c r="X59" i="95"/>
  <c r="N59" i="95"/>
  <c r="L59" i="95"/>
  <c r="B59" i="95"/>
  <c r="T58" i="95"/>
  <c r="X58" i="95" s="1"/>
  <c r="Z58" i="95" s="1"/>
  <c r="P58" i="95"/>
  <c r="N58" i="95"/>
  <c r="L58" i="95"/>
  <c r="H58" i="95"/>
  <c r="D58" i="95"/>
  <c r="B58" i="95"/>
  <c r="X57" i="95"/>
  <c r="Z57" i="95" s="1"/>
  <c r="N57" i="95"/>
  <c r="L57" i="95"/>
  <c r="B57" i="95"/>
  <c r="T56" i="95"/>
  <c r="R56" i="95"/>
  <c r="P56" i="95"/>
  <c r="H56" i="95"/>
  <c r="D56" i="95"/>
  <c r="B56" i="95"/>
  <c r="X55" i="95"/>
  <c r="Z55" i="95" s="1"/>
  <c r="N55" i="95"/>
  <c r="L55" i="95"/>
  <c r="B55" i="95"/>
  <c r="T54" i="95"/>
  <c r="R54" i="95"/>
  <c r="P54" i="95"/>
  <c r="X54" i="95" s="1"/>
  <c r="Z54" i="95" s="1"/>
  <c r="L54" i="95"/>
  <c r="N54" i="95" s="1"/>
  <c r="H54" i="95"/>
  <c r="D54" i="95"/>
  <c r="B54" i="95"/>
  <c r="X53" i="95"/>
  <c r="Z53" i="95" s="1"/>
  <c r="N53" i="95"/>
  <c r="L53" i="95"/>
  <c r="B53" i="95"/>
  <c r="X52" i="95"/>
  <c r="Z52" i="95" s="1"/>
  <c r="N52" i="95"/>
  <c r="L52" i="95"/>
  <c r="J52" i="95"/>
  <c r="B52" i="95"/>
  <c r="T51" i="95"/>
  <c r="P51" i="95"/>
  <c r="X51" i="95" s="1"/>
  <c r="Z51" i="95" s="1"/>
  <c r="H51" i="95"/>
  <c r="D51" i="95"/>
  <c r="L51" i="95" s="1"/>
  <c r="B51" i="95"/>
  <c r="X50" i="95"/>
  <c r="Z50" i="95" s="1"/>
  <c r="N50" i="95"/>
  <c r="L50" i="95"/>
  <c r="B50" i="95"/>
  <c r="Z49" i="95"/>
  <c r="X49" i="95"/>
  <c r="T49" i="95"/>
  <c r="P49" i="95"/>
  <c r="H49" i="95"/>
  <c r="D49" i="95"/>
  <c r="L49" i="95" s="1"/>
  <c r="N49" i="95" s="1"/>
  <c r="B49" i="95"/>
  <c r="X48" i="95"/>
  <c r="Z48" i="95" s="1"/>
  <c r="L48" i="95"/>
  <c r="N48" i="95" s="1"/>
  <c r="B48" i="95"/>
  <c r="X47" i="95"/>
  <c r="T47" i="95"/>
  <c r="P47" i="95"/>
  <c r="H47" i="95"/>
  <c r="D47" i="95"/>
  <c r="L47" i="95" s="1"/>
  <c r="B47" i="95"/>
  <c r="X46" i="95"/>
  <c r="Z46" i="95" s="1"/>
  <c r="V46" i="95"/>
  <c r="R46" i="95"/>
  <c r="L46" i="95"/>
  <c r="N46" i="95" s="1"/>
  <c r="B46" i="95"/>
  <c r="T45" i="95"/>
  <c r="P45" i="95"/>
  <c r="X45" i="95" s="1"/>
  <c r="H45" i="95"/>
  <c r="D45" i="95"/>
  <c r="L45" i="95" s="1"/>
  <c r="N45" i="95" s="1"/>
  <c r="B45" i="95"/>
  <c r="Z44" i="95"/>
  <c r="X44" i="95"/>
  <c r="V44" i="95"/>
  <c r="R44" i="95"/>
  <c r="N44" i="95"/>
  <c r="L44" i="95"/>
  <c r="B44" i="95"/>
  <c r="T43" i="95"/>
  <c r="P43" i="95"/>
  <c r="X43" i="95" s="1"/>
  <c r="Z43" i="95" s="1"/>
  <c r="N43" i="95"/>
  <c r="L43" i="95"/>
  <c r="H43" i="95"/>
  <c r="D43" i="95"/>
  <c r="B43" i="95"/>
  <c r="Z42" i="95"/>
  <c r="X42" i="95"/>
  <c r="L42" i="95"/>
  <c r="N42" i="95" s="1"/>
  <c r="B42" i="95"/>
  <c r="T41" i="95"/>
  <c r="P41" i="95"/>
  <c r="X41" i="95" s="1"/>
  <c r="H41" i="95"/>
  <c r="D41" i="95"/>
  <c r="B41" i="95"/>
  <c r="X40" i="95"/>
  <c r="Z40" i="95" s="1"/>
  <c r="N40" i="95"/>
  <c r="L40" i="95"/>
  <c r="J40" i="95"/>
  <c r="B40" i="95"/>
  <c r="T39" i="95"/>
  <c r="P39" i="95"/>
  <c r="X39" i="95" s="1"/>
  <c r="Z39" i="95" s="1"/>
  <c r="H39" i="95"/>
  <c r="D39" i="95"/>
  <c r="B39" i="95"/>
  <c r="X38" i="95"/>
  <c r="Z38" i="95" s="1"/>
  <c r="N38" i="95"/>
  <c r="L38" i="95"/>
  <c r="B38" i="95"/>
  <c r="X37" i="95"/>
  <c r="Z37" i="95" s="1"/>
  <c r="V37" i="95"/>
  <c r="N37" i="95"/>
  <c r="L37" i="95"/>
  <c r="B37" i="95"/>
  <c r="Z36" i="95"/>
  <c r="X36" i="95"/>
  <c r="V36" i="95"/>
  <c r="N36" i="95"/>
  <c r="L36" i="95"/>
  <c r="B36" i="95"/>
  <c r="Z35" i="95"/>
  <c r="X35" i="95"/>
  <c r="L35" i="95"/>
  <c r="N35" i="95" s="1"/>
  <c r="B35" i="95"/>
  <c r="Z34" i="95"/>
  <c r="X34" i="95"/>
  <c r="N34" i="95"/>
  <c r="L34" i="95"/>
  <c r="B34" i="95"/>
  <c r="Z33" i="95"/>
  <c r="X33" i="95"/>
  <c r="N33" i="95"/>
  <c r="L33" i="95"/>
  <c r="B33" i="95"/>
  <c r="V32" i="95"/>
  <c r="T32" i="95"/>
  <c r="P32" i="95"/>
  <c r="X32" i="95" s="1"/>
  <c r="H32" i="95"/>
  <c r="D32" i="95"/>
  <c r="B32" i="95"/>
  <c r="X31" i="95"/>
  <c r="Z31" i="95" s="1"/>
  <c r="N31" i="95"/>
  <c r="L31" i="95"/>
  <c r="B31" i="95"/>
  <c r="Z30" i="95"/>
  <c r="X30" i="95"/>
  <c r="L30" i="95"/>
  <c r="N30" i="95" s="1"/>
  <c r="J30" i="95"/>
  <c r="B30" i="95"/>
  <c r="Z29" i="95"/>
  <c r="X29" i="95"/>
  <c r="N29" i="95"/>
  <c r="L29" i="95"/>
  <c r="B29" i="95"/>
  <c r="X28" i="95"/>
  <c r="Z28" i="95" s="1"/>
  <c r="L28" i="95"/>
  <c r="N28" i="95" s="1"/>
  <c r="B28" i="95"/>
  <c r="X27" i="95"/>
  <c r="Z27" i="95" s="1"/>
  <c r="N27" i="95"/>
  <c r="L27" i="95"/>
  <c r="B27" i="95"/>
  <c r="Z26" i="95"/>
  <c r="X26" i="95"/>
  <c r="V26" i="95"/>
  <c r="N26" i="95"/>
  <c r="L26" i="95"/>
  <c r="J26" i="95"/>
  <c r="B26" i="95"/>
  <c r="Z25" i="95"/>
  <c r="X25" i="95"/>
  <c r="L25" i="95"/>
  <c r="N25" i="95" s="1"/>
  <c r="B25" i="95"/>
  <c r="X24" i="95"/>
  <c r="Z24" i="95" s="1"/>
  <c r="L24" i="95"/>
  <c r="N24" i="95" s="1"/>
  <c r="B24" i="95"/>
  <c r="T23" i="95"/>
  <c r="P23" i="95"/>
  <c r="J23" i="95"/>
  <c r="H23" i="95"/>
  <c r="D23" i="95"/>
  <c r="L23" i="95" s="1"/>
  <c r="B23" i="95"/>
  <c r="X22" i="95"/>
  <c r="Z22" i="95" s="1"/>
  <c r="V22" i="95"/>
  <c r="T22" i="95"/>
  <c r="P22" i="95"/>
  <c r="L22" i="95"/>
  <c r="N22" i="95" s="1"/>
  <c r="H22" i="95"/>
  <c r="D22" i="95"/>
  <c r="T20" i="95"/>
  <c r="Z18" i="95"/>
  <c r="X18" i="95"/>
  <c r="L18" i="95"/>
  <c r="N18" i="95" s="1"/>
  <c r="B18" i="95"/>
  <c r="X17" i="95"/>
  <c r="Z17" i="95" s="1"/>
  <c r="R17" i="95"/>
  <c r="L17" i="95"/>
  <c r="N17" i="95" s="1"/>
  <c r="J17" i="95"/>
  <c r="B17" i="95"/>
  <c r="X16" i="95"/>
  <c r="Z16" i="95" s="1"/>
  <c r="T16" i="95"/>
  <c r="P16" i="95"/>
  <c r="H16" i="95"/>
  <c r="D16" i="95"/>
  <c r="X14" i="95"/>
  <c r="T14" i="95"/>
  <c r="P14" i="95"/>
  <c r="H14" i="95"/>
  <c r="H12" i="95" s="1"/>
  <c r="J42" i="95" s="1"/>
  <c r="D14" i="95"/>
  <c r="B14" i="95"/>
  <c r="Z13" i="95"/>
  <c r="T13" i="95"/>
  <c r="P13" i="95"/>
  <c r="X13" i="95" s="1"/>
  <c r="H13" i="95"/>
  <c r="D13" i="95"/>
  <c r="B13" i="95"/>
  <c r="T12" i="95"/>
  <c r="V56" i="95" s="1"/>
  <c r="P12" i="95"/>
  <c r="R38" i="95" s="1"/>
  <c r="D6" i="95"/>
  <c r="D4" i="95"/>
  <c r="Z69" i="94"/>
  <c r="X69" i="94"/>
  <c r="L69" i="94"/>
  <c r="N69" i="94" s="1"/>
  <c r="X65" i="94"/>
  <c r="Z65" i="94" s="1"/>
  <c r="T65" i="94"/>
  <c r="P65" i="94"/>
  <c r="L65" i="94"/>
  <c r="N65" i="94" s="1"/>
  <c r="H65" i="94"/>
  <c r="H64" i="94" s="1"/>
  <c r="D65" i="94"/>
  <c r="D64" i="94" s="1"/>
  <c r="B65" i="94"/>
  <c r="T64" i="94"/>
  <c r="P64" i="94"/>
  <c r="X64" i="94" s="1"/>
  <c r="Z64" i="94" s="1"/>
  <c r="Z62" i="94"/>
  <c r="X62" i="94"/>
  <c r="L62" i="94"/>
  <c r="N62" i="94" s="1"/>
  <c r="B62" i="94"/>
  <c r="X61" i="94"/>
  <c r="T61" i="94"/>
  <c r="P61" i="94"/>
  <c r="H61" i="94"/>
  <c r="D61" i="94"/>
  <c r="B61" i="94"/>
  <c r="Z60" i="94"/>
  <c r="X60" i="94"/>
  <c r="N60" i="94"/>
  <c r="L60" i="94"/>
  <c r="B60" i="94"/>
  <c r="Z59" i="94"/>
  <c r="X59" i="94"/>
  <c r="L59" i="94"/>
  <c r="N59" i="94" s="1"/>
  <c r="B59" i="94"/>
  <c r="X58" i="94"/>
  <c r="Z58" i="94" s="1"/>
  <c r="N58" i="94"/>
  <c r="L58" i="94"/>
  <c r="B58" i="94"/>
  <c r="Z57" i="94"/>
  <c r="X57" i="94"/>
  <c r="L57" i="94"/>
  <c r="N57" i="94" s="1"/>
  <c r="B57" i="94"/>
  <c r="Z56" i="94"/>
  <c r="X56" i="94"/>
  <c r="V56" i="94"/>
  <c r="L56" i="94"/>
  <c r="N56" i="94" s="1"/>
  <c r="B56" i="94"/>
  <c r="T55" i="94"/>
  <c r="P55" i="94"/>
  <c r="H55" i="94"/>
  <c r="D55" i="94"/>
  <c r="L55" i="94" s="1"/>
  <c r="N55" i="94" s="1"/>
  <c r="B55" i="94"/>
  <c r="Z54" i="94"/>
  <c r="X54" i="94"/>
  <c r="L54" i="94"/>
  <c r="N54" i="94" s="1"/>
  <c r="B54" i="94"/>
  <c r="X53" i="94"/>
  <c r="Z53" i="94" s="1"/>
  <c r="L53" i="94"/>
  <c r="N53" i="94" s="1"/>
  <c r="B53" i="94"/>
  <c r="T52" i="94"/>
  <c r="P52" i="94"/>
  <c r="H52" i="94"/>
  <c r="D52" i="94"/>
  <c r="L52" i="94" s="1"/>
  <c r="N52" i="94" s="1"/>
  <c r="B52" i="94"/>
  <c r="Z51" i="94"/>
  <c r="X51" i="94"/>
  <c r="N51" i="94"/>
  <c r="L51" i="94"/>
  <c r="B51" i="94"/>
  <c r="X50" i="94"/>
  <c r="Z50" i="94" s="1"/>
  <c r="N50" i="94"/>
  <c r="L50" i="94"/>
  <c r="B50" i="94"/>
  <c r="Z49" i="94"/>
  <c r="X49" i="94"/>
  <c r="N49" i="94"/>
  <c r="L49" i="94"/>
  <c r="B49" i="94"/>
  <c r="X48" i="94"/>
  <c r="Z48" i="94" s="1"/>
  <c r="T48" i="94"/>
  <c r="P48" i="94"/>
  <c r="H48" i="94"/>
  <c r="D48" i="94"/>
  <c r="L48" i="94" s="1"/>
  <c r="B48" i="94"/>
  <c r="Z47" i="94"/>
  <c r="X47" i="94"/>
  <c r="N47" i="94"/>
  <c r="L47" i="94"/>
  <c r="B47" i="94"/>
  <c r="T46" i="94"/>
  <c r="P46" i="94"/>
  <c r="N46" i="94"/>
  <c r="H46" i="94"/>
  <c r="D46" i="94"/>
  <c r="L46" i="94" s="1"/>
  <c r="B46" i="94"/>
  <c r="X45" i="94"/>
  <c r="Z45" i="94" s="1"/>
  <c r="N45" i="94"/>
  <c r="L45" i="94"/>
  <c r="B45" i="94"/>
  <c r="T44" i="94"/>
  <c r="P44" i="94"/>
  <c r="X44" i="94" s="1"/>
  <c r="H44" i="94"/>
  <c r="D44" i="94"/>
  <c r="B44" i="94"/>
  <c r="Z43" i="94"/>
  <c r="X43" i="94"/>
  <c r="L43" i="94"/>
  <c r="N43" i="94" s="1"/>
  <c r="B43" i="94"/>
  <c r="T42" i="94"/>
  <c r="P42" i="94"/>
  <c r="X42" i="94" s="1"/>
  <c r="Z42" i="94" s="1"/>
  <c r="H42" i="94"/>
  <c r="D42" i="94"/>
  <c r="L42" i="94" s="1"/>
  <c r="B42" i="94"/>
  <c r="Z41" i="94"/>
  <c r="X41" i="94"/>
  <c r="L41" i="94"/>
  <c r="N41" i="94" s="1"/>
  <c r="B41" i="94"/>
  <c r="T40" i="94"/>
  <c r="P40" i="94"/>
  <c r="L40" i="94"/>
  <c r="H40" i="94"/>
  <c r="D40" i="94"/>
  <c r="B40" i="94"/>
  <c r="Z39" i="94"/>
  <c r="X39" i="94"/>
  <c r="N39" i="94"/>
  <c r="L39" i="94"/>
  <c r="B39" i="94"/>
  <c r="X38" i="94"/>
  <c r="T38" i="94"/>
  <c r="Z38" i="94" s="1"/>
  <c r="P38" i="94"/>
  <c r="H38" i="94"/>
  <c r="D38" i="94"/>
  <c r="L38" i="94" s="1"/>
  <c r="B38" i="94"/>
  <c r="Z37" i="94"/>
  <c r="X37" i="94"/>
  <c r="N37" i="94"/>
  <c r="L37" i="94"/>
  <c r="B37" i="94"/>
  <c r="X36" i="94"/>
  <c r="Z36" i="94" s="1"/>
  <c r="V36" i="94"/>
  <c r="N36" i="94"/>
  <c r="L36" i="94"/>
  <c r="B36" i="94"/>
  <c r="Z35" i="94"/>
  <c r="X35" i="94"/>
  <c r="L35" i="94"/>
  <c r="N35" i="94" s="1"/>
  <c r="B35" i="94"/>
  <c r="Z34" i="94"/>
  <c r="X34" i="94"/>
  <c r="L34" i="94"/>
  <c r="N34" i="94" s="1"/>
  <c r="B34" i="94"/>
  <c r="Z33" i="94"/>
  <c r="X33" i="94"/>
  <c r="N33" i="94"/>
  <c r="L33" i="94"/>
  <c r="B33" i="94"/>
  <c r="T32" i="94"/>
  <c r="P32" i="94"/>
  <c r="X32" i="94" s="1"/>
  <c r="H32" i="94"/>
  <c r="D32" i="94"/>
  <c r="L32" i="94" s="1"/>
  <c r="N32" i="94" s="1"/>
  <c r="B32" i="94"/>
  <c r="X31" i="94"/>
  <c r="Z31" i="94" s="1"/>
  <c r="L31" i="94"/>
  <c r="N31" i="94" s="1"/>
  <c r="J31" i="94"/>
  <c r="B31" i="94"/>
  <c r="X30" i="94"/>
  <c r="Z30" i="94" s="1"/>
  <c r="L30" i="94"/>
  <c r="N30" i="94" s="1"/>
  <c r="B30" i="94"/>
  <c r="Z29" i="94"/>
  <c r="X29" i="94"/>
  <c r="V29" i="94"/>
  <c r="N29" i="94"/>
  <c r="L29" i="94"/>
  <c r="B29" i="94"/>
  <c r="X28" i="94"/>
  <c r="Z28" i="94" s="1"/>
  <c r="L28" i="94"/>
  <c r="N28" i="94" s="1"/>
  <c r="B28" i="94"/>
  <c r="Z27" i="94"/>
  <c r="X27" i="94"/>
  <c r="L27" i="94"/>
  <c r="N27" i="94" s="1"/>
  <c r="B27" i="94"/>
  <c r="X26" i="94"/>
  <c r="Z26" i="94" s="1"/>
  <c r="N26" i="94"/>
  <c r="L26" i="94"/>
  <c r="B26" i="94"/>
  <c r="Z25" i="94"/>
  <c r="X25" i="94"/>
  <c r="L25" i="94"/>
  <c r="N25" i="94" s="1"/>
  <c r="B25" i="94"/>
  <c r="Z24" i="94"/>
  <c r="X24" i="94"/>
  <c r="L24" i="94"/>
  <c r="N24" i="94" s="1"/>
  <c r="B24" i="94"/>
  <c r="T23" i="94"/>
  <c r="R23" i="94"/>
  <c r="P23" i="94"/>
  <c r="X23" i="94" s="1"/>
  <c r="H23" i="94"/>
  <c r="D23" i="94"/>
  <c r="L23" i="94" s="1"/>
  <c r="N23" i="94" s="1"/>
  <c r="B23" i="94"/>
  <c r="T22" i="94"/>
  <c r="P22" i="94"/>
  <c r="H22" i="94"/>
  <c r="D22" i="94"/>
  <c r="L22" i="94" s="1"/>
  <c r="T20" i="94"/>
  <c r="X18" i="94"/>
  <c r="Z18" i="94" s="1"/>
  <c r="V18" i="94"/>
  <c r="R18" i="94"/>
  <c r="N18" i="94"/>
  <c r="L18" i="94"/>
  <c r="B18" i="94"/>
  <c r="X17" i="94"/>
  <c r="Z17" i="94" s="1"/>
  <c r="L17" i="94"/>
  <c r="N17" i="94" s="1"/>
  <c r="B17" i="94"/>
  <c r="T16" i="94"/>
  <c r="P16" i="94"/>
  <c r="X16" i="94" s="1"/>
  <c r="H16" i="94"/>
  <c r="D16" i="94"/>
  <c r="T14" i="94"/>
  <c r="Z14" i="94" s="1"/>
  <c r="P14" i="94"/>
  <c r="X14" i="94" s="1"/>
  <c r="L14" i="94"/>
  <c r="N14" i="94" s="1"/>
  <c r="H14" i="94"/>
  <c r="D14" i="94"/>
  <c r="B14" i="94"/>
  <c r="Z13" i="94"/>
  <c r="X13" i="94"/>
  <c r="T13" i="94"/>
  <c r="P13" i="94"/>
  <c r="H13" i="94"/>
  <c r="H12" i="94" s="1"/>
  <c r="J61" i="94" s="1"/>
  <c r="D13" i="94"/>
  <c r="D12" i="94" s="1"/>
  <c r="B13" i="94"/>
  <c r="T12" i="94"/>
  <c r="V22" i="94" s="1"/>
  <c r="P12" i="94"/>
  <c r="R32" i="94" s="1"/>
  <c r="D6" i="94"/>
  <c r="D4" i="94"/>
  <c r="X77" i="93"/>
  <c r="Z77" i="93" s="1"/>
  <c r="N77" i="93"/>
  <c r="L77" i="93"/>
  <c r="T73" i="93"/>
  <c r="Z73" i="93" s="1"/>
  <c r="P73" i="93"/>
  <c r="X73" i="93" s="1"/>
  <c r="H73" i="93"/>
  <c r="D73" i="93"/>
  <c r="X71" i="93"/>
  <c r="Z71" i="93" s="1"/>
  <c r="L71" i="93"/>
  <c r="N71" i="93" s="1"/>
  <c r="B71" i="93"/>
  <c r="Z70" i="93"/>
  <c r="X70" i="93"/>
  <c r="T70" i="93"/>
  <c r="P70" i="93"/>
  <c r="H70" i="93"/>
  <c r="D70" i="93"/>
  <c r="L70" i="93" s="1"/>
  <c r="N70" i="93" s="1"/>
  <c r="B70" i="93"/>
  <c r="Z69" i="93"/>
  <c r="X69" i="93"/>
  <c r="L69" i="93"/>
  <c r="N69" i="93" s="1"/>
  <c r="B69" i="93"/>
  <c r="X68" i="93"/>
  <c r="Z68" i="93" s="1"/>
  <c r="V68" i="93"/>
  <c r="T68" i="93"/>
  <c r="P68" i="93"/>
  <c r="H68" i="93"/>
  <c r="D68" i="93"/>
  <c r="L68" i="93" s="1"/>
  <c r="B68" i="93"/>
  <c r="X67" i="93"/>
  <c r="Z67" i="93" s="1"/>
  <c r="N67" i="93"/>
  <c r="L67" i="93"/>
  <c r="B67" i="93"/>
  <c r="Z66" i="93"/>
  <c r="X66" i="93"/>
  <c r="R66" i="93"/>
  <c r="N66" i="93"/>
  <c r="L66" i="93"/>
  <c r="B66" i="93"/>
  <c r="X65" i="93"/>
  <c r="Z65" i="93" s="1"/>
  <c r="L65" i="93"/>
  <c r="N65" i="93" s="1"/>
  <c r="F65" i="93"/>
  <c r="B65" i="93"/>
  <c r="Z64" i="93"/>
  <c r="X64" i="93"/>
  <c r="N64" i="93"/>
  <c r="L64" i="93"/>
  <c r="B64" i="93"/>
  <c r="X63" i="93"/>
  <c r="Z63" i="93" s="1"/>
  <c r="L63" i="93"/>
  <c r="N63" i="93" s="1"/>
  <c r="B63" i="93"/>
  <c r="Z62" i="93"/>
  <c r="X62" i="93"/>
  <c r="N62" i="93"/>
  <c r="L62" i="93"/>
  <c r="B62" i="93"/>
  <c r="X61" i="93"/>
  <c r="Z61" i="93" s="1"/>
  <c r="L61" i="93"/>
  <c r="N61" i="93" s="1"/>
  <c r="B61" i="93"/>
  <c r="T60" i="93"/>
  <c r="P60" i="93"/>
  <c r="X60" i="93" s="1"/>
  <c r="H60" i="93"/>
  <c r="D60" i="93"/>
  <c r="B60" i="93"/>
  <c r="X59" i="93"/>
  <c r="Z59" i="93" s="1"/>
  <c r="L59" i="93"/>
  <c r="N59" i="93" s="1"/>
  <c r="B59" i="93"/>
  <c r="Z58" i="93"/>
  <c r="X58" i="93"/>
  <c r="N58" i="93"/>
  <c r="L58" i="93"/>
  <c r="B58" i="93"/>
  <c r="X57" i="93"/>
  <c r="Z57" i="93" s="1"/>
  <c r="N57" i="93"/>
  <c r="L57" i="93"/>
  <c r="B57" i="93"/>
  <c r="T56" i="93"/>
  <c r="P56" i="93"/>
  <c r="X56" i="93" s="1"/>
  <c r="Z56" i="93" s="1"/>
  <c r="N56" i="93"/>
  <c r="L56" i="93"/>
  <c r="H56" i="93"/>
  <c r="D56" i="93"/>
  <c r="B56" i="93"/>
  <c r="X55" i="93"/>
  <c r="Z55" i="93" s="1"/>
  <c r="N55" i="93"/>
  <c r="L55" i="93"/>
  <c r="B55" i="93"/>
  <c r="T54" i="93"/>
  <c r="Z54" i="93" s="1"/>
  <c r="P54" i="93"/>
  <c r="X54" i="93" s="1"/>
  <c r="L54" i="93"/>
  <c r="H54" i="93"/>
  <c r="N54" i="93" s="1"/>
  <c r="D54" i="93"/>
  <c r="B54" i="93"/>
  <c r="X53" i="93"/>
  <c r="Z53" i="93" s="1"/>
  <c r="N53" i="93"/>
  <c r="L53" i="93"/>
  <c r="F53" i="93"/>
  <c r="B53" i="93"/>
  <c r="X52" i="93"/>
  <c r="Z52" i="93" s="1"/>
  <c r="N52" i="93"/>
  <c r="L52" i="93"/>
  <c r="B52" i="93"/>
  <c r="X51" i="93"/>
  <c r="Z51" i="93" s="1"/>
  <c r="T51" i="93"/>
  <c r="P51" i="93"/>
  <c r="H51" i="93"/>
  <c r="D51" i="93"/>
  <c r="B51" i="93"/>
  <c r="Z50" i="93"/>
  <c r="X50" i="93"/>
  <c r="N50" i="93"/>
  <c r="L50" i="93"/>
  <c r="B50" i="93"/>
  <c r="T49" i="93"/>
  <c r="P49" i="93"/>
  <c r="H49" i="93"/>
  <c r="D49" i="93"/>
  <c r="L49" i="93" s="1"/>
  <c r="B49" i="93"/>
  <c r="X48" i="93"/>
  <c r="Z48" i="93" s="1"/>
  <c r="V48" i="93"/>
  <c r="L48" i="93"/>
  <c r="N48" i="93" s="1"/>
  <c r="B48" i="93"/>
  <c r="T47" i="93"/>
  <c r="P47" i="93"/>
  <c r="X47" i="93" s="1"/>
  <c r="H47" i="93"/>
  <c r="D47" i="93"/>
  <c r="L47" i="93" s="1"/>
  <c r="B47" i="93"/>
  <c r="Z46" i="93"/>
  <c r="X46" i="93"/>
  <c r="R46" i="93"/>
  <c r="N46" i="93"/>
  <c r="L46" i="93"/>
  <c r="B46" i="93"/>
  <c r="T45" i="93"/>
  <c r="P45" i="93"/>
  <c r="L45" i="93"/>
  <c r="N45" i="93" s="1"/>
  <c r="H45" i="93"/>
  <c r="D45" i="93"/>
  <c r="B45" i="93"/>
  <c r="Z44" i="93"/>
  <c r="X44" i="93"/>
  <c r="L44" i="93"/>
  <c r="N44" i="93" s="1"/>
  <c r="B44" i="93"/>
  <c r="T43" i="93"/>
  <c r="Z43" i="93" s="1"/>
  <c r="P43" i="93"/>
  <c r="X43" i="93" s="1"/>
  <c r="H43" i="93"/>
  <c r="D43" i="93"/>
  <c r="L43" i="93" s="1"/>
  <c r="B43" i="93"/>
  <c r="Z42" i="93"/>
  <c r="X42" i="93"/>
  <c r="N42" i="93"/>
  <c r="L42" i="93"/>
  <c r="F42" i="93"/>
  <c r="B42" i="93"/>
  <c r="T41" i="93"/>
  <c r="Z41" i="93" s="1"/>
  <c r="P41" i="93"/>
  <c r="X41" i="93" s="1"/>
  <c r="H41" i="93"/>
  <c r="D41" i="93"/>
  <c r="L41" i="93" s="1"/>
  <c r="B41" i="93"/>
  <c r="Z40" i="93"/>
  <c r="X40" i="93"/>
  <c r="N40" i="93"/>
  <c r="L40" i="93"/>
  <c r="B40" i="93"/>
  <c r="Z39" i="93"/>
  <c r="X39" i="93"/>
  <c r="T39" i="93"/>
  <c r="P39" i="93"/>
  <c r="H39" i="93"/>
  <c r="D39" i="93"/>
  <c r="B39" i="93"/>
  <c r="Z38" i="93"/>
  <c r="X38" i="93"/>
  <c r="N38" i="93"/>
  <c r="L38" i="93"/>
  <c r="B38" i="93"/>
  <c r="X37" i="93"/>
  <c r="Z37" i="93" s="1"/>
  <c r="N37" i="93"/>
  <c r="L37" i="93"/>
  <c r="B37" i="93"/>
  <c r="Z36" i="93"/>
  <c r="X36" i="93"/>
  <c r="L36" i="93"/>
  <c r="N36" i="93" s="1"/>
  <c r="J36" i="93"/>
  <c r="B36" i="93"/>
  <c r="X35" i="93"/>
  <c r="Z35" i="93" s="1"/>
  <c r="L35" i="93"/>
  <c r="N35" i="93" s="1"/>
  <c r="B35" i="93"/>
  <c r="Z34" i="93"/>
  <c r="X34" i="93"/>
  <c r="N34" i="93"/>
  <c r="L34" i="93"/>
  <c r="B34" i="93"/>
  <c r="X33" i="93"/>
  <c r="Z33" i="93" s="1"/>
  <c r="R33" i="93"/>
  <c r="L33" i="93"/>
  <c r="N33" i="93" s="1"/>
  <c r="B33" i="93"/>
  <c r="T32" i="93"/>
  <c r="P32" i="93"/>
  <c r="X32" i="93" s="1"/>
  <c r="Z32" i="93" s="1"/>
  <c r="H32" i="93"/>
  <c r="D32" i="93"/>
  <c r="L32" i="93" s="1"/>
  <c r="N32" i="93" s="1"/>
  <c r="B32" i="93"/>
  <c r="X31" i="93"/>
  <c r="Z31" i="93" s="1"/>
  <c r="N31" i="93"/>
  <c r="L31" i="93"/>
  <c r="B31" i="93"/>
  <c r="Z30" i="93"/>
  <c r="X30" i="93"/>
  <c r="N30" i="93"/>
  <c r="L30" i="93"/>
  <c r="B30" i="93"/>
  <c r="X29" i="93"/>
  <c r="Z29" i="93" s="1"/>
  <c r="L29" i="93"/>
  <c r="N29" i="93" s="1"/>
  <c r="B29" i="93"/>
  <c r="X28" i="93"/>
  <c r="Z28" i="93" s="1"/>
  <c r="V28" i="93"/>
  <c r="L28" i="93"/>
  <c r="N28" i="93" s="1"/>
  <c r="B28" i="93"/>
  <c r="X27" i="93"/>
  <c r="Z27" i="93" s="1"/>
  <c r="L27" i="93"/>
  <c r="N27" i="93" s="1"/>
  <c r="B27" i="93"/>
  <c r="Z26" i="93"/>
  <c r="X26" i="93"/>
  <c r="N26" i="93"/>
  <c r="L26" i="93"/>
  <c r="F26" i="93"/>
  <c r="B26" i="93"/>
  <c r="X25" i="93"/>
  <c r="Z25" i="93" s="1"/>
  <c r="L25" i="93"/>
  <c r="N25" i="93" s="1"/>
  <c r="B25" i="93"/>
  <c r="X24" i="93"/>
  <c r="Z24" i="93" s="1"/>
  <c r="V24" i="93"/>
  <c r="L24" i="93"/>
  <c r="N24" i="93" s="1"/>
  <c r="B24" i="93"/>
  <c r="T23" i="93"/>
  <c r="Z23" i="93" s="1"/>
  <c r="R23" i="93"/>
  <c r="P23" i="93"/>
  <c r="X23" i="93" s="1"/>
  <c r="H23" i="93"/>
  <c r="N23" i="93" s="1"/>
  <c r="D23" i="93"/>
  <c r="L23" i="93" s="1"/>
  <c r="B23" i="93"/>
  <c r="V22" i="93"/>
  <c r="T22" i="93"/>
  <c r="P22" i="93"/>
  <c r="H22" i="93"/>
  <c r="D22" i="93"/>
  <c r="T20" i="93"/>
  <c r="Z18" i="93"/>
  <c r="X18" i="93"/>
  <c r="V18" i="93"/>
  <c r="R18" i="93"/>
  <c r="N18" i="93"/>
  <c r="L18" i="93"/>
  <c r="B18" i="93"/>
  <c r="T17" i="93"/>
  <c r="P17" i="93"/>
  <c r="X17" i="93" s="1"/>
  <c r="L17" i="93"/>
  <c r="N17" i="93" s="1"/>
  <c r="H17" i="93"/>
  <c r="D17" i="93"/>
  <c r="T15" i="93"/>
  <c r="P15" i="93"/>
  <c r="X15" i="93" s="1"/>
  <c r="Z15" i="93" s="1"/>
  <c r="L15" i="93"/>
  <c r="H15" i="93"/>
  <c r="D15" i="93"/>
  <c r="D12" i="93" s="1"/>
  <c r="F61" i="93" s="1"/>
  <c r="B15" i="93"/>
  <c r="T14" i="93"/>
  <c r="P14" i="93"/>
  <c r="X14" i="93" s="1"/>
  <c r="H14" i="93"/>
  <c r="D14" i="93"/>
  <c r="B14" i="93"/>
  <c r="Z13" i="93"/>
  <c r="X13" i="93"/>
  <c r="T13" i="93"/>
  <c r="P13" i="93"/>
  <c r="H13" i="93"/>
  <c r="H12" i="93" s="1"/>
  <c r="J61" i="93" s="1"/>
  <c r="D13" i="93"/>
  <c r="L13" i="93" s="1"/>
  <c r="B13" i="93"/>
  <c r="T12" i="93"/>
  <c r="V49" i="93" s="1"/>
  <c r="P12" i="93"/>
  <c r="D6" i="93"/>
  <c r="D4" i="93"/>
  <c r="R91" i="92"/>
  <c r="Z89" i="92"/>
  <c r="X89" i="92"/>
  <c r="N89" i="92"/>
  <c r="L89" i="92"/>
  <c r="T85" i="92"/>
  <c r="P85" i="92"/>
  <c r="H85" i="92"/>
  <c r="N85" i="92" s="1"/>
  <c r="D85" i="92"/>
  <c r="B85" i="92"/>
  <c r="T84" i="92"/>
  <c r="P84" i="92"/>
  <c r="X84" i="92" s="1"/>
  <c r="Z84" i="92" s="1"/>
  <c r="H84" i="92"/>
  <c r="D84" i="92"/>
  <c r="B84" i="92"/>
  <c r="D83" i="92"/>
  <c r="X81" i="92"/>
  <c r="Z81" i="92" s="1"/>
  <c r="N81" i="92"/>
  <c r="L81" i="92"/>
  <c r="B81" i="92"/>
  <c r="T80" i="92"/>
  <c r="P80" i="92"/>
  <c r="X80" i="92" s="1"/>
  <c r="H80" i="92"/>
  <c r="D80" i="92"/>
  <c r="B80" i="92"/>
  <c r="X79" i="92"/>
  <c r="Z79" i="92" s="1"/>
  <c r="L79" i="92"/>
  <c r="N79" i="92" s="1"/>
  <c r="B79" i="92"/>
  <c r="Z78" i="92"/>
  <c r="X78" i="92"/>
  <c r="N78" i="92"/>
  <c r="L78" i="92"/>
  <c r="B78" i="92"/>
  <c r="Z77" i="92"/>
  <c r="X77" i="92"/>
  <c r="N77" i="92"/>
  <c r="L77" i="92"/>
  <c r="B77" i="92"/>
  <c r="T76" i="92"/>
  <c r="P76" i="92"/>
  <c r="X76" i="92" s="1"/>
  <c r="Z76" i="92" s="1"/>
  <c r="L76" i="92"/>
  <c r="N76" i="92" s="1"/>
  <c r="H76" i="92"/>
  <c r="D76" i="92"/>
  <c r="B76" i="92"/>
  <c r="Z75" i="92"/>
  <c r="X75" i="92"/>
  <c r="N75" i="92"/>
  <c r="L75" i="92"/>
  <c r="B75" i="92"/>
  <c r="Z74" i="92"/>
  <c r="T74" i="92"/>
  <c r="P74" i="92"/>
  <c r="X74" i="92" s="1"/>
  <c r="L74" i="92"/>
  <c r="H74" i="92"/>
  <c r="N74" i="92" s="1"/>
  <c r="D74" i="92"/>
  <c r="B74" i="92"/>
  <c r="X73" i="92"/>
  <c r="Z73" i="92" s="1"/>
  <c r="N73" i="92"/>
  <c r="L73" i="92"/>
  <c r="B73" i="92"/>
  <c r="T72" i="92"/>
  <c r="P72" i="92"/>
  <c r="X72" i="92" s="1"/>
  <c r="H72" i="92"/>
  <c r="D72" i="92"/>
  <c r="B72" i="92"/>
  <c r="X71" i="92"/>
  <c r="Z71" i="92" s="1"/>
  <c r="N71" i="92"/>
  <c r="L71" i="92"/>
  <c r="B71" i="92"/>
  <c r="Z70" i="92"/>
  <c r="X70" i="92"/>
  <c r="N70" i="92"/>
  <c r="L70" i="92"/>
  <c r="B70" i="92"/>
  <c r="Z69" i="92"/>
  <c r="X69" i="92"/>
  <c r="N69" i="92"/>
  <c r="L69" i="92"/>
  <c r="B69" i="92"/>
  <c r="Z68" i="92"/>
  <c r="X68" i="92"/>
  <c r="L68" i="92"/>
  <c r="N68" i="92" s="1"/>
  <c r="B68" i="92"/>
  <c r="X67" i="92"/>
  <c r="Z67" i="92" s="1"/>
  <c r="L67" i="92"/>
  <c r="N67" i="92" s="1"/>
  <c r="B67" i="92"/>
  <c r="X66" i="92"/>
  <c r="Z66" i="92" s="1"/>
  <c r="N66" i="92"/>
  <c r="L66" i="92"/>
  <c r="J66" i="92"/>
  <c r="B66" i="92"/>
  <c r="Z65" i="92"/>
  <c r="X65" i="92"/>
  <c r="N65" i="92"/>
  <c r="L65" i="92"/>
  <c r="B65" i="92"/>
  <c r="T64" i="92"/>
  <c r="P64" i="92"/>
  <c r="X64" i="92" s="1"/>
  <c r="Z64" i="92" s="1"/>
  <c r="H64" i="92"/>
  <c r="D64" i="92"/>
  <c r="L64" i="92" s="1"/>
  <c r="N64" i="92" s="1"/>
  <c r="B64" i="92"/>
  <c r="X63" i="92"/>
  <c r="Z63" i="92" s="1"/>
  <c r="L63" i="92"/>
  <c r="N63" i="92" s="1"/>
  <c r="B63" i="92"/>
  <c r="Z62" i="92"/>
  <c r="X62" i="92"/>
  <c r="L62" i="92"/>
  <c r="N62" i="92" s="1"/>
  <c r="B62" i="92"/>
  <c r="Z61" i="92"/>
  <c r="X61" i="92"/>
  <c r="N61" i="92"/>
  <c r="L61" i="92"/>
  <c r="B61" i="92"/>
  <c r="X60" i="92"/>
  <c r="Z60" i="92" s="1"/>
  <c r="V60" i="92"/>
  <c r="N60" i="92"/>
  <c r="L60" i="92"/>
  <c r="B60" i="92"/>
  <c r="X59" i="92"/>
  <c r="Z59" i="92" s="1"/>
  <c r="L59" i="92"/>
  <c r="N59" i="92" s="1"/>
  <c r="J59" i="92"/>
  <c r="B59" i="92"/>
  <c r="T58" i="92"/>
  <c r="P58" i="92"/>
  <c r="X58" i="92" s="1"/>
  <c r="Z58" i="92" s="1"/>
  <c r="H58" i="92"/>
  <c r="D58" i="92"/>
  <c r="B58" i="92"/>
  <c r="Z57" i="92"/>
  <c r="X57" i="92"/>
  <c r="N57" i="92"/>
  <c r="L57" i="92"/>
  <c r="B57" i="92"/>
  <c r="Z56" i="92"/>
  <c r="X56" i="92"/>
  <c r="V56" i="92"/>
  <c r="R56" i="92"/>
  <c r="N56" i="92"/>
  <c r="L56" i="92"/>
  <c r="B56" i="92"/>
  <c r="X55" i="92"/>
  <c r="Z55" i="92" s="1"/>
  <c r="L55" i="92"/>
  <c r="N55" i="92" s="1"/>
  <c r="F55" i="92"/>
  <c r="B55" i="92"/>
  <c r="T54" i="92"/>
  <c r="P54" i="92"/>
  <c r="X54" i="92" s="1"/>
  <c r="Z54" i="92" s="1"/>
  <c r="H54" i="92"/>
  <c r="D54" i="92"/>
  <c r="B54" i="92"/>
  <c r="Z53" i="92"/>
  <c r="X53" i="92"/>
  <c r="V53" i="92"/>
  <c r="N53" i="92"/>
  <c r="L53" i="92"/>
  <c r="B53" i="92"/>
  <c r="Z52" i="92"/>
  <c r="T52" i="92"/>
  <c r="P52" i="92"/>
  <c r="X52" i="92" s="1"/>
  <c r="N52" i="92"/>
  <c r="L52" i="92"/>
  <c r="H52" i="92"/>
  <c r="D52" i="92"/>
  <c r="B52" i="92"/>
  <c r="X51" i="92"/>
  <c r="Z51" i="92" s="1"/>
  <c r="N51" i="92"/>
  <c r="L51" i="92"/>
  <c r="J51" i="92"/>
  <c r="B51" i="92"/>
  <c r="T50" i="92"/>
  <c r="P50" i="92"/>
  <c r="X50" i="92" s="1"/>
  <c r="Z50" i="92" s="1"/>
  <c r="L50" i="92"/>
  <c r="H50" i="92"/>
  <c r="D50" i="92"/>
  <c r="B50" i="92"/>
  <c r="Z49" i="92"/>
  <c r="X49" i="92"/>
  <c r="N49" i="92"/>
  <c r="L49" i="92"/>
  <c r="B49" i="92"/>
  <c r="T48" i="92"/>
  <c r="Z48" i="92" s="1"/>
  <c r="R48" i="92"/>
  <c r="P48" i="92"/>
  <c r="N48" i="92"/>
  <c r="H48" i="92"/>
  <c r="D48" i="92"/>
  <c r="L48" i="92" s="1"/>
  <c r="B48" i="92"/>
  <c r="X47" i="92"/>
  <c r="Z47" i="92" s="1"/>
  <c r="L47" i="92"/>
  <c r="N47" i="92" s="1"/>
  <c r="B47" i="92"/>
  <c r="T46" i="92"/>
  <c r="Z46" i="92" s="1"/>
  <c r="P46" i="92"/>
  <c r="X46" i="92" s="1"/>
  <c r="J46" i="92"/>
  <c r="H46" i="92"/>
  <c r="D46" i="92"/>
  <c r="L46" i="92" s="1"/>
  <c r="B46" i="92"/>
  <c r="Z45" i="92"/>
  <c r="X45" i="92"/>
  <c r="N45" i="92"/>
  <c r="L45" i="92"/>
  <c r="B45" i="92"/>
  <c r="X44" i="92"/>
  <c r="V44" i="92"/>
  <c r="T44" i="92"/>
  <c r="P44" i="92"/>
  <c r="L44" i="92"/>
  <c r="N44" i="92" s="1"/>
  <c r="H44" i="92"/>
  <c r="D44" i="92"/>
  <c r="B44" i="92"/>
  <c r="Z43" i="92"/>
  <c r="X43" i="92"/>
  <c r="L43" i="92"/>
  <c r="N43" i="92" s="1"/>
  <c r="B43" i="92"/>
  <c r="T42" i="92"/>
  <c r="R42" i="92"/>
  <c r="P42" i="92"/>
  <c r="H42" i="92"/>
  <c r="N42" i="92" s="1"/>
  <c r="D42" i="92"/>
  <c r="L42" i="92" s="1"/>
  <c r="B42" i="92"/>
  <c r="Z41" i="92"/>
  <c r="X41" i="92"/>
  <c r="V41" i="92"/>
  <c r="R41" i="92"/>
  <c r="N41" i="92"/>
  <c r="L41" i="92"/>
  <c r="B41" i="92"/>
  <c r="X40" i="92"/>
  <c r="Z40" i="92" s="1"/>
  <c r="L40" i="92"/>
  <c r="N40" i="92" s="1"/>
  <c r="J40" i="92"/>
  <c r="F40" i="92"/>
  <c r="B40" i="92"/>
  <c r="X39" i="92"/>
  <c r="Z39" i="92" s="1"/>
  <c r="L39" i="92"/>
  <c r="N39" i="92" s="1"/>
  <c r="B39" i="92"/>
  <c r="X38" i="92"/>
  <c r="V38" i="92"/>
  <c r="T38" i="92"/>
  <c r="Z38" i="92" s="1"/>
  <c r="P38" i="92"/>
  <c r="H38" i="92"/>
  <c r="D38" i="92"/>
  <c r="B38" i="92"/>
  <c r="X37" i="92"/>
  <c r="Z37" i="92" s="1"/>
  <c r="V37" i="92"/>
  <c r="R37" i="92"/>
  <c r="L37" i="92"/>
  <c r="N37" i="92" s="1"/>
  <c r="B37" i="92"/>
  <c r="T36" i="92"/>
  <c r="P36" i="92"/>
  <c r="X36" i="92" s="1"/>
  <c r="N36" i="92"/>
  <c r="L36" i="92"/>
  <c r="H36" i="92"/>
  <c r="D36" i="92"/>
  <c r="B36" i="92"/>
  <c r="Z35" i="92"/>
  <c r="X35" i="92"/>
  <c r="L35" i="92"/>
  <c r="N35" i="92" s="1"/>
  <c r="B35" i="92"/>
  <c r="X34" i="92"/>
  <c r="Z34" i="92" s="1"/>
  <c r="V34" i="92"/>
  <c r="L34" i="92"/>
  <c r="N34" i="92" s="1"/>
  <c r="F34" i="92"/>
  <c r="B34" i="92"/>
  <c r="Z33" i="92"/>
  <c r="X33" i="92"/>
  <c r="L33" i="92"/>
  <c r="N33" i="92" s="1"/>
  <c r="B33" i="92"/>
  <c r="X32" i="92"/>
  <c r="Z32" i="92" s="1"/>
  <c r="V32" i="92"/>
  <c r="R32" i="92"/>
  <c r="L32" i="92"/>
  <c r="N32" i="92" s="1"/>
  <c r="B32" i="92"/>
  <c r="Z31" i="92"/>
  <c r="X31" i="92"/>
  <c r="V31" i="92"/>
  <c r="L31" i="92"/>
  <c r="N31" i="92" s="1"/>
  <c r="B31" i="92"/>
  <c r="X30" i="92"/>
  <c r="Z30" i="92" s="1"/>
  <c r="V30" i="92"/>
  <c r="L30" i="92"/>
  <c r="N30" i="92" s="1"/>
  <c r="F30" i="92"/>
  <c r="B30" i="92"/>
  <c r="V29" i="92"/>
  <c r="T29" i="92"/>
  <c r="P29" i="92"/>
  <c r="X29" i="92" s="1"/>
  <c r="Z29" i="92" s="1"/>
  <c r="H29" i="92"/>
  <c r="F29" i="92"/>
  <c r="D29" i="92"/>
  <c r="L29" i="92" s="1"/>
  <c r="N29" i="92" s="1"/>
  <c r="B29" i="92"/>
  <c r="X28" i="92"/>
  <c r="Z28" i="92" s="1"/>
  <c r="V28" i="92"/>
  <c r="N28" i="92"/>
  <c r="L28" i="92"/>
  <c r="B28" i="92"/>
  <c r="X27" i="92"/>
  <c r="Z27" i="92" s="1"/>
  <c r="V27" i="92"/>
  <c r="L27" i="92"/>
  <c r="N27" i="92" s="1"/>
  <c r="B27" i="92"/>
  <c r="X26" i="92"/>
  <c r="Z26" i="92" s="1"/>
  <c r="R26" i="92"/>
  <c r="N26" i="92"/>
  <c r="L26" i="92"/>
  <c r="B26" i="92"/>
  <c r="X25" i="92"/>
  <c r="Z25" i="92" s="1"/>
  <c r="V25" i="92"/>
  <c r="N25" i="92"/>
  <c r="L25" i="92"/>
  <c r="J25" i="92"/>
  <c r="F25" i="92"/>
  <c r="B25" i="92"/>
  <c r="X24" i="92"/>
  <c r="Z24" i="92" s="1"/>
  <c r="V24" i="92"/>
  <c r="N24" i="92"/>
  <c r="L24" i="92"/>
  <c r="B24" i="92"/>
  <c r="Z23" i="92"/>
  <c r="X23" i="92"/>
  <c r="V23" i="92"/>
  <c r="L23" i="92"/>
  <c r="N23" i="92" s="1"/>
  <c r="B23" i="92"/>
  <c r="X22" i="92"/>
  <c r="Z22" i="92" s="1"/>
  <c r="V22" i="92"/>
  <c r="R22" i="92"/>
  <c r="N22" i="92"/>
  <c r="L22" i="92"/>
  <c r="B22" i="92"/>
  <c r="X21" i="92"/>
  <c r="Z21" i="92" s="1"/>
  <c r="V21" i="92"/>
  <c r="N21" i="92"/>
  <c r="L21" i="92"/>
  <c r="J21" i="92"/>
  <c r="F21" i="92"/>
  <c r="B21" i="92"/>
  <c r="X20" i="92"/>
  <c r="Z20" i="92" s="1"/>
  <c r="V20" i="92"/>
  <c r="N20" i="92"/>
  <c r="L20" i="92"/>
  <c r="B20" i="92"/>
  <c r="X19" i="92"/>
  <c r="Z19" i="92" s="1"/>
  <c r="V19" i="92"/>
  <c r="T19" i="92"/>
  <c r="P19" i="92"/>
  <c r="L19" i="92"/>
  <c r="N19" i="92" s="1"/>
  <c r="H19" i="92"/>
  <c r="D19" i="92"/>
  <c r="B19" i="92"/>
  <c r="Z18" i="92"/>
  <c r="X18" i="92"/>
  <c r="T18" i="92"/>
  <c r="R18" i="92"/>
  <c r="P18" i="92"/>
  <c r="H18" i="92"/>
  <c r="D18" i="92"/>
  <c r="L18" i="92" s="1"/>
  <c r="N18" i="92" s="1"/>
  <c r="Z16" i="92"/>
  <c r="R16" i="92"/>
  <c r="D16" i="92"/>
  <c r="Z14" i="92"/>
  <c r="X14" i="92"/>
  <c r="T14" i="92"/>
  <c r="T16" i="92" s="1"/>
  <c r="R14" i="92"/>
  <c r="P14" i="92"/>
  <c r="P16" i="92" s="1"/>
  <c r="N14" i="92"/>
  <c r="H14" i="92"/>
  <c r="D14" i="92"/>
  <c r="L14" i="92" s="1"/>
  <c r="Z12" i="92"/>
  <c r="X12" i="92"/>
  <c r="T12" i="92"/>
  <c r="V77" i="92" s="1"/>
  <c r="P12" i="92"/>
  <c r="R77" i="92" s="1"/>
  <c r="H12" i="92"/>
  <c r="J89" i="92" s="1"/>
  <c r="D12" i="92"/>
  <c r="F69" i="92" s="1"/>
  <c r="D6" i="92"/>
  <c r="D4" i="92"/>
  <c r="X73" i="89"/>
  <c r="Z73" i="89" s="1"/>
  <c r="L73" i="89"/>
  <c r="N73" i="89" s="1"/>
  <c r="Z69" i="89"/>
  <c r="T69" i="89"/>
  <c r="P69" i="89"/>
  <c r="X69" i="89" s="1"/>
  <c r="N69" i="89"/>
  <c r="L69" i="89"/>
  <c r="H69" i="89"/>
  <c r="D69" i="89"/>
  <c r="Z67" i="89"/>
  <c r="X67" i="89"/>
  <c r="N67" i="89"/>
  <c r="L67" i="89"/>
  <c r="B67" i="89"/>
  <c r="T66" i="89"/>
  <c r="Z66" i="89" s="1"/>
  <c r="P66" i="89"/>
  <c r="H66" i="89"/>
  <c r="D66" i="89"/>
  <c r="B66" i="89"/>
  <c r="X65" i="89"/>
  <c r="Z65" i="89" s="1"/>
  <c r="L65" i="89"/>
  <c r="N65" i="89" s="1"/>
  <c r="B65" i="89"/>
  <c r="T64" i="89"/>
  <c r="P64" i="89"/>
  <c r="X64" i="89" s="1"/>
  <c r="Z64" i="89" s="1"/>
  <c r="H64" i="89"/>
  <c r="D64" i="89"/>
  <c r="L64" i="89" s="1"/>
  <c r="N64" i="89" s="1"/>
  <c r="B64" i="89"/>
  <c r="X63" i="89"/>
  <c r="Z63" i="89" s="1"/>
  <c r="N63" i="89"/>
  <c r="L63" i="89"/>
  <c r="B63" i="89"/>
  <c r="X62" i="89"/>
  <c r="Z62" i="89" s="1"/>
  <c r="N62" i="89"/>
  <c r="L62" i="89"/>
  <c r="B62" i="89"/>
  <c r="X61" i="89"/>
  <c r="Z61" i="89" s="1"/>
  <c r="R61" i="89"/>
  <c r="N61" i="89"/>
  <c r="L61" i="89"/>
  <c r="B61" i="89"/>
  <c r="Z60" i="89"/>
  <c r="X60" i="89"/>
  <c r="N60" i="89"/>
  <c r="L60" i="89"/>
  <c r="B60" i="89"/>
  <c r="X59" i="89"/>
  <c r="Z59" i="89" s="1"/>
  <c r="N59" i="89"/>
  <c r="L59" i="89"/>
  <c r="B59" i="89"/>
  <c r="Z58" i="89"/>
  <c r="X58" i="89"/>
  <c r="N58" i="89"/>
  <c r="L58" i="89"/>
  <c r="B58" i="89"/>
  <c r="T57" i="89"/>
  <c r="P57" i="89"/>
  <c r="H57" i="89"/>
  <c r="D57" i="89"/>
  <c r="L57" i="89" s="1"/>
  <c r="B57" i="89"/>
  <c r="Z56" i="89"/>
  <c r="X56" i="89"/>
  <c r="R56" i="89"/>
  <c r="N56" i="89"/>
  <c r="L56" i="89"/>
  <c r="B56" i="89"/>
  <c r="Z55" i="89"/>
  <c r="X55" i="89"/>
  <c r="L55" i="89"/>
  <c r="N55" i="89" s="1"/>
  <c r="J55" i="89"/>
  <c r="B55" i="89"/>
  <c r="T54" i="89"/>
  <c r="P54" i="89"/>
  <c r="H54" i="89"/>
  <c r="D54" i="89"/>
  <c r="B54" i="89"/>
  <c r="X53" i="89"/>
  <c r="Z53" i="89" s="1"/>
  <c r="N53" i="89"/>
  <c r="L53" i="89"/>
  <c r="B53" i="89"/>
  <c r="Z52" i="89"/>
  <c r="X52" i="89"/>
  <c r="N52" i="89"/>
  <c r="L52" i="89"/>
  <c r="B52" i="89"/>
  <c r="Z51" i="89"/>
  <c r="X51" i="89"/>
  <c r="N51" i="89"/>
  <c r="L51" i="89"/>
  <c r="B51" i="89"/>
  <c r="T50" i="89"/>
  <c r="R50" i="89"/>
  <c r="P50" i="89"/>
  <c r="X50" i="89" s="1"/>
  <c r="Z50" i="89" s="1"/>
  <c r="N50" i="89"/>
  <c r="H50" i="89"/>
  <c r="D50" i="89"/>
  <c r="L50" i="89" s="1"/>
  <c r="B50" i="89"/>
  <c r="X49" i="89"/>
  <c r="Z49" i="89" s="1"/>
  <c r="N49" i="89"/>
  <c r="L49" i="89"/>
  <c r="B49" i="89"/>
  <c r="Z48" i="89"/>
  <c r="X48" i="89"/>
  <c r="T48" i="89"/>
  <c r="P48" i="89"/>
  <c r="N48" i="89"/>
  <c r="L48" i="89"/>
  <c r="H48" i="89"/>
  <c r="D48" i="89"/>
  <c r="B48" i="89"/>
  <c r="Z47" i="89"/>
  <c r="X47" i="89"/>
  <c r="N47" i="89"/>
  <c r="L47" i="89"/>
  <c r="J47" i="89"/>
  <c r="B47" i="89"/>
  <c r="T46" i="89"/>
  <c r="Z46" i="89" s="1"/>
  <c r="P46" i="89"/>
  <c r="J46" i="89"/>
  <c r="H46" i="89"/>
  <c r="N46" i="89" s="1"/>
  <c r="D46" i="89"/>
  <c r="L46" i="89" s="1"/>
  <c r="B46" i="89"/>
  <c r="X45" i="89"/>
  <c r="Z45" i="89" s="1"/>
  <c r="L45" i="89"/>
  <c r="N45" i="89" s="1"/>
  <c r="B45" i="89"/>
  <c r="T44" i="89"/>
  <c r="P44" i="89"/>
  <c r="X44" i="89" s="1"/>
  <c r="Z44" i="89" s="1"/>
  <c r="H44" i="89"/>
  <c r="D44" i="89"/>
  <c r="L44" i="89" s="1"/>
  <c r="N44" i="89" s="1"/>
  <c r="B44" i="89"/>
  <c r="X43" i="89"/>
  <c r="Z43" i="89" s="1"/>
  <c r="N43" i="89"/>
  <c r="L43" i="89"/>
  <c r="B43" i="89"/>
  <c r="X42" i="89"/>
  <c r="Z42" i="89" s="1"/>
  <c r="T42" i="89"/>
  <c r="P42" i="89"/>
  <c r="N42" i="89"/>
  <c r="L42" i="89"/>
  <c r="H42" i="89"/>
  <c r="D42" i="89"/>
  <c r="B42" i="89"/>
  <c r="Z41" i="89"/>
  <c r="X41" i="89"/>
  <c r="L41" i="89"/>
  <c r="N41" i="89" s="1"/>
  <c r="B41" i="89"/>
  <c r="T40" i="89"/>
  <c r="P40" i="89"/>
  <c r="H40" i="89"/>
  <c r="D40" i="89"/>
  <c r="B40" i="89"/>
  <c r="X39" i="89"/>
  <c r="Z39" i="89" s="1"/>
  <c r="L39" i="89"/>
  <c r="N39" i="89" s="1"/>
  <c r="B39" i="89"/>
  <c r="T38" i="89"/>
  <c r="P38" i="89"/>
  <c r="X38" i="89" s="1"/>
  <c r="Z38" i="89" s="1"/>
  <c r="H38" i="89"/>
  <c r="D38" i="89"/>
  <c r="L38" i="89" s="1"/>
  <c r="N38" i="89" s="1"/>
  <c r="B38" i="89"/>
  <c r="X37" i="89"/>
  <c r="Z37" i="89" s="1"/>
  <c r="R37" i="89"/>
  <c r="N37" i="89"/>
  <c r="L37" i="89"/>
  <c r="B37" i="89"/>
  <c r="Z36" i="89"/>
  <c r="X36" i="89"/>
  <c r="N36" i="89"/>
  <c r="L36" i="89"/>
  <c r="J36" i="89"/>
  <c r="F36" i="89"/>
  <c r="B36" i="89"/>
  <c r="Z35" i="89"/>
  <c r="X35" i="89"/>
  <c r="N35" i="89"/>
  <c r="L35" i="89"/>
  <c r="B35" i="89"/>
  <c r="X34" i="89"/>
  <c r="Z34" i="89" s="1"/>
  <c r="N34" i="89"/>
  <c r="L34" i="89"/>
  <c r="B34" i="89"/>
  <c r="X33" i="89"/>
  <c r="Z33" i="89" s="1"/>
  <c r="R33" i="89"/>
  <c r="N33" i="89"/>
  <c r="L33" i="89"/>
  <c r="B33" i="89"/>
  <c r="Z32" i="89"/>
  <c r="X32" i="89"/>
  <c r="T32" i="89"/>
  <c r="P32" i="89"/>
  <c r="L32" i="89"/>
  <c r="N32" i="89" s="1"/>
  <c r="H32" i="89"/>
  <c r="D32" i="89"/>
  <c r="B32" i="89"/>
  <c r="Z31" i="89"/>
  <c r="X31" i="89"/>
  <c r="L31" i="89"/>
  <c r="N31" i="89" s="1"/>
  <c r="J31" i="89"/>
  <c r="B31" i="89"/>
  <c r="X30" i="89"/>
  <c r="Z30" i="89" s="1"/>
  <c r="N30" i="89"/>
  <c r="L30" i="89"/>
  <c r="B30" i="89"/>
  <c r="Z29" i="89"/>
  <c r="X29" i="89"/>
  <c r="L29" i="89"/>
  <c r="N29" i="89" s="1"/>
  <c r="B29" i="89"/>
  <c r="Z28" i="89"/>
  <c r="X28" i="89"/>
  <c r="N28" i="89"/>
  <c r="L28" i="89"/>
  <c r="B28" i="89"/>
  <c r="Z27" i="89"/>
  <c r="X27" i="89"/>
  <c r="L27" i="89"/>
  <c r="N27" i="89" s="1"/>
  <c r="J27" i="89"/>
  <c r="B27" i="89"/>
  <c r="X26" i="89"/>
  <c r="Z26" i="89" s="1"/>
  <c r="N26" i="89"/>
  <c r="L26" i="89"/>
  <c r="B26" i="89"/>
  <c r="Z25" i="89"/>
  <c r="X25" i="89"/>
  <c r="L25" i="89"/>
  <c r="N25" i="89" s="1"/>
  <c r="B25" i="89"/>
  <c r="Z24" i="89"/>
  <c r="X24" i="89"/>
  <c r="N24" i="89"/>
  <c r="L24" i="89"/>
  <c r="B24" i="89"/>
  <c r="T23" i="89"/>
  <c r="P23" i="89"/>
  <c r="X23" i="89" s="1"/>
  <c r="Z23" i="89" s="1"/>
  <c r="H23" i="89"/>
  <c r="D23" i="89"/>
  <c r="L23" i="89" s="1"/>
  <c r="N23" i="89" s="1"/>
  <c r="B23" i="89"/>
  <c r="T22" i="89"/>
  <c r="R22" i="89"/>
  <c r="P22" i="89"/>
  <c r="X22" i="89" s="1"/>
  <c r="Z22" i="89" s="1"/>
  <c r="H22" i="89"/>
  <c r="N22" i="89" s="1"/>
  <c r="D22" i="89"/>
  <c r="L22" i="89" s="1"/>
  <c r="Z18" i="89"/>
  <c r="X18" i="89"/>
  <c r="L18" i="89"/>
  <c r="N18" i="89" s="1"/>
  <c r="B18" i="89"/>
  <c r="Z17" i="89"/>
  <c r="X17" i="89"/>
  <c r="L17" i="89"/>
  <c r="N17" i="89" s="1"/>
  <c r="F17" i="89"/>
  <c r="B17" i="89"/>
  <c r="T16" i="89"/>
  <c r="P16" i="89"/>
  <c r="X16" i="89" s="1"/>
  <c r="H16" i="89"/>
  <c r="D16" i="89"/>
  <c r="L16" i="89" s="1"/>
  <c r="N16" i="89" s="1"/>
  <c r="T14" i="89"/>
  <c r="P14" i="89"/>
  <c r="X14" i="89" s="1"/>
  <c r="Z14" i="89" s="1"/>
  <c r="L14" i="89"/>
  <c r="N14" i="89" s="1"/>
  <c r="H14" i="89"/>
  <c r="D14" i="89"/>
  <c r="B14" i="89"/>
  <c r="T13" i="89"/>
  <c r="P13" i="89"/>
  <c r="P12" i="89" s="1"/>
  <c r="R57" i="89" s="1"/>
  <c r="H13" i="89"/>
  <c r="H12" i="89" s="1"/>
  <c r="D13" i="89"/>
  <c r="D12" i="89" s="1"/>
  <c r="F64" i="89" s="1"/>
  <c r="B13" i="89"/>
  <c r="L12" i="89"/>
  <c r="N12" i="89" s="1"/>
  <c r="D6" i="89"/>
  <c r="D4" i="89"/>
  <c r="X84" i="88"/>
  <c r="Z84" i="88" s="1"/>
  <c r="N84" i="88"/>
  <c r="L84" i="88"/>
  <c r="J84" i="88"/>
  <c r="T80" i="88"/>
  <c r="Z80" i="88" s="1"/>
  <c r="P80" i="88"/>
  <c r="X80" i="88" s="1"/>
  <c r="N80" i="88"/>
  <c r="H80" i="88"/>
  <c r="D80" i="88"/>
  <c r="L80" i="88" s="1"/>
  <c r="Z78" i="88"/>
  <c r="X78" i="88"/>
  <c r="L78" i="88"/>
  <c r="N78" i="88" s="1"/>
  <c r="B78" i="88"/>
  <c r="X77" i="88"/>
  <c r="T77" i="88"/>
  <c r="P77" i="88"/>
  <c r="N77" i="88"/>
  <c r="L77" i="88"/>
  <c r="H77" i="88"/>
  <c r="D77" i="88"/>
  <c r="B77" i="88"/>
  <c r="Z76" i="88"/>
  <c r="X76" i="88"/>
  <c r="N76" i="88"/>
  <c r="L76" i="88"/>
  <c r="B76" i="88"/>
  <c r="T75" i="88"/>
  <c r="P75" i="88"/>
  <c r="J75" i="88"/>
  <c r="H75" i="88"/>
  <c r="N75" i="88" s="1"/>
  <c r="D75" i="88"/>
  <c r="L75" i="88" s="1"/>
  <c r="B75" i="88"/>
  <c r="Z74" i="88"/>
  <c r="X74" i="88"/>
  <c r="V74" i="88"/>
  <c r="R74" i="88"/>
  <c r="N74" i="88"/>
  <c r="L74" i="88"/>
  <c r="B74" i="88"/>
  <c r="T73" i="88"/>
  <c r="P73" i="88"/>
  <c r="X73" i="88" s="1"/>
  <c r="Z73" i="88" s="1"/>
  <c r="N73" i="88"/>
  <c r="H73" i="88"/>
  <c r="D73" i="88"/>
  <c r="L73" i="88" s="1"/>
  <c r="B73" i="88"/>
  <c r="Z72" i="88"/>
  <c r="X72" i="88"/>
  <c r="N72" i="88"/>
  <c r="L72" i="88"/>
  <c r="B72" i="88"/>
  <c r="Z71" i="88"/>
  <c r="X71" i="88"/>
  <c r="N71" i="88"/>
  <c r="L71" i="88"/>
  <c r="B71" i="88"/>
  <c r="Z70" i="88"/>
  <c r="X70" i="88"/>
  <c r="N70" i="88"/>
  <c r="L70" i="88"/>
  <c r="B70" i="88"/>
  <c r="X69" i="88"/>
  <c r="Z69" i="88" s="1"/>
  <c r="L69" i="88"/>
  <c r="N69" i="88" s="1"/>
  <c r="J69" i="88"/>
  <c r="B69" i="88"/>
  <c r="Z68" i="88"/>
  <c r="X68" i="88"/>
  <c r="N68" i="88"/>
  <c r="L68" i="88"/>
  <c r="B68" i="88"/>
  <c r="Z67" i="88"/>
  <c r="X67" i="88"/>
  <c r="L67" i="88"/>
  <c r="N67" i="88" s="1"/>
  <c r="B67" i="88"/>
  <c r="Z66" i="88"/>
  <c r="X66" i="88"/>
  <c r="L66" i="88"/>
  <c r="N66" i="88" s="1"/>
  <c r="B66" i="88"/>
  <c r="X65" i="88"/>
  <c r="T65" i="88"/>
  <c r="Z65" i="88" s="1"/>
  <c r="P65" i="88"/>
  <c r="N65" i="88"/>
  <c r="L65" i="88"/>
  <c r="J65" i="88"/>
  <c r="H65" i="88"/>
  <c r="D65" i="88"/>
  <c r="B65" i="88"/>
  <c r="Z64" i="88"/>
  <c r="X64" i="88"/>
  <c r="N64" i="88"/>
  <c r="L64" i="88"/>
  <c r="B64" i="88"/>
  <c r="T63" i="88"/>
  <c r="P63" i="88"/>
  <c r="J63" i="88"/>
  <c r="H63" i="88"/>
  <c r="N63" i="88" s="1"/>
  <c r="D63" i="88"/>
  <c r="B63" i="88"/>
  <c r="Z62" i="88"/>
  <c r="X62" i="88"/>
  <c r="N62" i="88"/>
  <c r="L62" i="88"/>
  <c r="B62" i="88"/>
  <c r="Z61" i="88"/>
  <c r="X61" i="88"/>
  <c r="L61" i="88"/>
  <c r="N61" i="88" s="1"/>
  <c r="J61" i="88"/>
  <c r="B61" i="88"/>
  <c r="X60" i="88"/>
  <c r="Z60" i="88" s="1"/>
  <c r="N60" i="88"/>
  <c r="L60" i="88"/>
  <c r="B60" i="88"/>
  <c r="Z59" i="88"/>
  <c r="T59" i="88"/>
  <c r="P59" i="88"/>
  <c r="X59" i="88" s="1"/>
  <c r="H59" i="88"/>
  <c r="D59" i="88"/>
  <c r="L59" i="88" s="1"/>
  <c r="N59" i="88" s="1"/>
  <c r="B59" i="88"/>
  <c r="Z58" i="88"/>
  <c r="X58" i="88"/>
  <c r="L58" i="88"/>
  <c r="N58" i="88" s="1"/>
  <c r="B58" i="88"/>
  <c r="X57" i="88"/>
  <c r="T57" i="88"/>
  <c r="Z57" i="88" s="1"/>
  <c r="P57" i="88"/>
  <c r="N57" i="88"/>
  <c r="L57" i="88"/>
  <c r="J57" i="88"/>
  <c r="H57" i="88"/>
  <c r="D57" i="88"/>
  <c r="B57" i="88"/>
  <c r="Z56" i="88"/>
  <c r="X56" i="88"/>
  <c r="L56" i="88"/>
  <c r="N56" i="88" s="1"/>
  <c r="J56" i="88"/>
  <c r="B56" i="88"/>
  <c r="X55" i="88"/>
  <c r="Z55" i="88" s="1"/>
  <c r="N55" i="88"/>
  <c r="L55" i="88"/>
  <c r="B55" i="88"/>
  <c r="X54" i="88"/>
  <c r="Z54" i="88" s="1"/>
  <c r="T54" i="88"/>
  <c r="P54" i="88"/>
  <c r="H54" i="88"/>
  <c r="D54" i="88"/>
  <c r="L54" i="88" s="1"/>
  <c r="N54" i="88" s="1"/>
  <c r="B54" i="88"/>
  <c r="Z53" i="88"/>
  <c r="X53" i="88"/>
  <c r="L53" i="88"/>
  <c r="N53" i="88" s="1"/>
  <c r="J53" i="88"/>
  <c r="B53" i="88"/>
  <c r="X52" i="88"/>
  <c r="T52" i="88"/>
  <c r="Z52" i="88" s="1"/>
  <c r="P52" i="88"/>
  <c r="H52" i="88"/>
  <c r="D52" i="88"/>
  <c r="B52" i="88"/>
  <c r="Z51" i="88"/>
  <c r="X51" i="88"/>
  <c r="L51" i="88"/>
  <c r="N51" i="88" s="1"/>
  <c r="B51" i="88"/>
  <c r="T50" i="88"/>
  <c r="Z50" i="88" s="1"/>
  <c r="P50" i="88"/>
  <c r="X50" i="88" s="1"/>
  <c r="H50" i="88"/>
  <c r="D50" i="88"/>
  <c r="L50" i="88" s="1"/>
  <c r="N50" i="88" s="1"/>
  <c r="B50" i="88"/>
  <c r="X49" i="88"/>
  <c r="Z49" i="88" s="1"/>
  <c r="N49" i="88"/>
  <c r="L49" i="88"/>
  <c r="B49" i="88"/>
  <c r="X48" i="88"/>
  <c r="Z48" i="88" s="1"/>
  <c r="T48" i="88"/>
  <c r="P48" i="88"/>
  <c r="L48" i="88"/>
  <c r="N48" i="88" s="1"/>
  <c r="H48" i="88"/>
  <c r="D48" i="88"/>
  <c r="B48" i="88"/>
  <c r="Z47" i="88"/>
  <c r="X47" i="88"/>
  <c r="N47" i="88"/>
  <c r="L47" i="88"/>
  <c r="J47" i="88"/>
  <c r="B47" i="88"/>
  <c r="T46" i="88"/>
  <c r="P46" i="88"/>
  <c r="L46" i="88"/>
  <c r="H46" i="88"/>
  <c r="N46" i="88" s="1"/>
  <c r="D46" i="88"/>
  <c r="B46" i="88"/>
  <c r="X45" i="88"/>
  <c r="Z45" i="88" s="1"/>
  <c r="L45" i="88"/>
  <c r="N45" i="88" s="1"/>
  <c r="J45" i="88"/>
  <c r="B45" i="88"/>
  <c r="Z44" i="88"/>
  <c r="X44" i="88"/>
  <c r="L44" i="88"/>
  <c r="N44" i="88" s="1"/>
  <c r="B44" i="88"/>
  <c r="Z43" i="88"/>
  <c r="X43" i="88"/>
  <c r="V43" i="88"/>
  <c r="T43" i="88"/>
  <c r="P43" i="88"/>
  <c r="L43" i="88"/>
  <c r="J43" i="88"/>
  <c r="H43" i="88"/>
  <c r="N43" i="88" s="1"/>
  <c r="D43" i="88"/>
  <c r="B43" i="88"/>
  <c r="X42" i="88"/>
  <c r="Z42" i="88" s="1"/>
  <c r="N42" i="88"/>
  <c r="L42" i="88"/>
  <c r="J42" i="88"/>
  <c r="B42" i="88"/>
  <c r="V41" i="88"/>
  <c r="T41" i="88"/>
  <c r="P41" i="88"/>
  <c r="H41" i="88"/>
  <c r="D41" i="88"/>
  <c r="L41" i="88" s="1"/>
  <c r="B41" i="88"/>
  <c r="X40" i="88"/>
  <c r="Z40" i="88" s="1"/>
  <c r="R40" i="88"/>
  <c r="N40" i="88"/>
  <c r="L40" i="88"/>
  <c r="B40" i="88"/>
  <c r="Z39" i="88"/>
  <c r="T39" i="88"/>
  <c r="P39" i="88"/>
  <c r="X39" i="88" s="1"/>
  <c r="H39" i="88"/>
  <c r="D39" i="88"/>
  <c r="L39" i="88" s="1"/>
  <c r="N39" i="88" s="1"/>
  <c r="B39" i="88"/>
  <c r="Z38" i="88"/>
  <c r="X38" i="88"/>
  <c r="R38" i="88"/>
  <c r="L38" i="88"/>
  <c r="N38" i="88" s="1"/>
  <c r="B38" i="88"/>
  <c r="X37" i="88"/>
  <c r="T37" i="88"/>
  <c r="Z37" i="88" s="1"/>
  <c r="P37" i="88"/>
  <c r="N37" i="88"/>
  <c r="L37" i="88"/>
  <c r="J37" i="88"/>
  <c r="H37" i="88"/>
  <c r="D37" i="88"/>
  <c r="B37" i="88"/>
  <c r="Z36" i="88"/>
  <c r="X36" i="88"/>
  <c r="L36" i="88"/>
  <c r="N36" i="88" s="1"/>
  <c r="J36" i="88"/>
  <c r="B36" i="88"/>
  <c r="X35" i="88"/>
  <c r="Z35" i="88" s="1"/>
  <c r="N35" i="88"/>
  <c r="L35" i="88"/>
  <c r="B35" i="88"/>
  <c r="Z34" i="88"/>
  <c r="X34" i="88"/>
  <c r="N34" i="88"/>
  <c r="L34" i="88"/>
  <c r="J34" i="88"/>
  <c r="B34" i="88"/>
  <c r="X33" i="88"/>
  <c r="Z33" i="88" s="1"/>
  <c r="R33" i="88"/>
  <c r="N33" i="88"/>
  <c r="L33" i="88"/>
  <c r="B33" i="88"/>
  <c r="Z32" i="88"/>
  <c r="X32" i="88"/>
  <c r="T32" i="88"/>
  <c r="P32" i="88"/>
  <c r="L32" i="88"/>
  <c r="N32" i="88" s="1"/>
  <c r="H32" i="88"/>
  <c r="D32" i="88"/>
  <c r="B32" i="88"/>
  <c r="Z31" i="88"/>
  <c r="X31" i="88"/>
  <c r="L31" i="88"/>
  <c r="N31" i="88" s="1"/>
  <c r="J31" i="88"/>
  <c r="B31" i="88"/>
  <c r="Z30" i="88"/>
  <c r="X30" i="88"/>
  <c r="V30" i="88"/>
  <c r="R30" i="88"/>
  <c r="N30" i="88"/>
  <c r="L30" i="88"/>
  <c r="J30" i="88"/>
  <c r="B30" i="88"/>
  <c r="Z29" i="88"/>
  <c r="X29" i="88"/>
  <c r="L29" i="88"/>
  <c r="N29" i="88" s="1"/>
  <c r="J29" i="88"/>
  <c r="B29" i="88"/>
  <c r="X28" i="88"/>
  <c r="Z28" i="88" s="1"/>
  <c r="V28" i="88"/>
  <c r="N28" i="88"/>
  <c r="L28" i="88"/>
  <c r="B28" i="88"/>
  <c r="Z27" i="88"/>
  <c r="X27" i="88"/>
  <c r="N27" i="88"/>
  <c r="L27" i="88"/>
  <c r="J27" i="88"/>
  <c r="B27" i="88"/>
  <c r="Z26" i="88"/>
  <c r="X26" i="88"/>
  <c r="R26" i="88"/>
  <c r="N26" i="88"/>
  <c r="L26" i="88"/>
  <c r="J26" i="88"/>
  <c r="B26" i="88"/>
  <c r="Z25" i="88"/>
  <c r="X25" i="88"/>
  <c r="L25" i="88"/>
  <c r="N25" i="88" s="1"/>
  <c r="J25" i="88"/>
  <c r="B25" i="88"/>
  <c r="X24" i="88"/>
  <c r="Z24" i="88" s="1"/>
  <c r="V24" i="88"/>
  <c r="N24" i="88"/>
  <c r="L24" i="88"/>
  <c r="B24" i="88"/>
  <c r="Z23" i="88"/>
  <c r="T23" i="88"/>
  <c r="P23" i="88"/>
  <c r="X23" i="88" s="1"/>
  <c r="N23" i="88"/>
  <c r="H23" i="88"/>
  <c r="D23" i="88"/>
  <c r="L23" i="88" s="1"/>
  <c r="B23" i="88"/>
  <c r="T22" i="88"/>
  <c r="R22" i="88"/>
  <c r="P22" i="88"/>
  <c r="X22" i="88" s="1"/>
  <c r="H22" i="88"/>
  <c r="D22" i="88"/>
  <c r="L22" i="88" s="1"/>
  <c r="N22" i="88" s="1"/>
  <c r="P20" i="88"/>
  <c r="Z18" i="88"/>
  <c r="X18" i="88"/>
  <c r="R18" i="88"/>
  <c r="L18" i="88"/>
  <c r="N18" i="88" s="1"/>
  <c r="B18" i="88"/>
  <c r="X17" i="88"/>
  <c r="Z17" i="88" s="1"/>
  <c r="L17" i="88"/>
  <c r="N17" i="88" s="1"/>
  <c r="J17" i="88"/>
  <c r="B17" i="88"/>
  <c r="T16" i="88"/>
  <c r="P16" i="88"/>
  <c r="X16" i="88" s="1"/>
  <c r="Z16" i="88" s="1"/>
  <c r="H16" i="88"/>
  <c r="D16" i="88"/>
  <c r="T14" i="88"/>
  <c r="P14" i="88"/>
  <c r="X14" i="88" s="1"/>
  <c r="Z14" i="88" s="1"/>
  <c r="L14" i="88"/>
  <c r="N14" i="88" s="1"/>
  <c r="H14" i="88"/>
  <c r="D14" i="88"/>
  <c r="B14" i="88"/>
  <c r="X13" i="88"/>
  <c r="T13" i="88"/>
  <c r="T12" i="88" s="1"/>
  <c r="V46" i="88" s="1"/>
  <c r="P13" i="88"/>
  <c r="H13" i="88"/>
  <c r="D13" i="88"/>
  <c r="B13" i="88"/>
  <c r="P12" i="88"/>
  <c r="R63" i="88" s="1"/>
  <c r="H12" i="88"/>
  <c r="D6" i="88"/>
  <c r="D4" i="88"/>
  <c r="Z32" i="86"/>
  <c r="X32" i="86"/>
  <c r="L32" i="86"/>
  <c r="N32" i="86" s="1"/>
  <c r="J32" i="86"/>
  <c r="T28" i="86"/>
  <c r="Z28" i="86" s="1"/>
  <c r="P28" i="86"/>
  <c r="N28" i="86"/>
  <c r="H28" i="86"/>
  <c r="D28" i="86"/>
  <c r="L28" i="86" s="1"/>
  <c r="Z26" i="86"/>
  <c r="X26" i="86"/>
  <c r="N26" i="86"/>
  <c r="L26" i="86"/>
  <c r="B26" i="86"/>
  <c r="X25" i="86"/>
  <c r="T25" i="86"/>
  <c r="P25" i="86"/>
  <c r="N25" i="86"/>
  <c r="L25" i="86"/>
  <c r="J25" i="86"/>
  <c r="H25" i="86"/>
  <c r="D25" i="86"/>
  <c r="B25" i="86"/>
  <c r="Z24" i="86"/>
  <c r="X24" i="86"/>
  <c r="N24" i="86"/>
  <c r="L24" i="86"/>
  <c r="J24" i="86"/>
  <c r="B24" i="86"/>
  <c r="T23" i="86"/>
  <c r="Z23" i="86" s="1"/>
  <c r="P23" i="86"/>
  <c r="J23" i="86"/>
  <c r="H23" i="86"/>
  <c r="D23" i="86"/>
  <c r="B23" i="86"/>
  <c r="X22" i="86"/>
  <c r="Z22" i="86" s="1"/>
  <c r="R22" i="86"/>
  <c r="N22" i="86"/>
  <c r="L22" i="86"/>
  <c r="J22" i="86"/>
  <c r="B22" i="86"/>
  <c r="T21" i="86"/>
  <c r="P21" i="86"/>
  <c r="X21" i="86" s="1"/>
  <c r="Z21" i="86" s="1"/>
  <c r="H21" i="86"/>
  <c r="D21" i="86"/>
  <c r="B21" i="86"/>
  <c r="T20" i="86"/>
  <c r="P20" i="86"/>
  <c r="X20" i="86" s="1"/>
  <c r="Z20" i="86" s="1"/>
  <c r="H20" i="86"/>
  <c r="D20" i="86"/>
  <c r="P18" i="86"/>
  <c r="P30" i="86" s="1"/>
  <c r="H18" i="86"/>
  <c r="Z16" i="86"/>
  <c r="X16" i="86"/>
  <c r="N16" i="86"/>
  <c r="L16" i="86"/>
  <c r="B16" i="86"/>
  <c r="Z15" i="86"/>
  <c r="X15" i="86"/>
  <c r="V15" i="86"/>
  <c r="T15" i="86"/>
  <c r="P15" i="86"/>
  <c r="J15" i="86"/>
  <c r="H15" i="86"/>
  <c r="D15" i="86"/>
  <c r="L15" i="86" s="1"/>
  <c r="Z13" i="86"/>
  <c r="X13" i="86"/>
  <c r="T13" i="86"/>
  <c r="P13" i="86"/>
  <c r="H13" i="86"/>
  <c r="D13" i="86"/>
  <c r="B13" i="86"/>
  <c r="T12" i="86"/>
  <c r="V26" i="86" s="1"/>
  <c r="P12" i="86"/>
  <c r="R23" i="86" s="1"/>
  <c r="H12" i="86"/>
  <c r="D6" i="86"/>
  <c r="D4" i="86"/>
  <c r="X120" i="85"/>
  <c r="Z120" i="85" s="1"/>
  <c r="L120" i="85"/>
  <c r="N120" i="85" s="1"/>
  <c r="Z116" i="85"/>
  <c r="T116" i="85"/>
  <c r="P116" i="85"/>
  <c r="X116" i="85" s="1"/>
  <c r="H116" i="85"/>
  <c r="N116" i="85" s="1"/>
  <c r="D116" i="85"/>
  <c r="Z114" i="85"/>
  <c r="X114" i="85"/>
  <c r="L114" i="85"/>
  <c r="N114" i="85" s="1"/>
  <c r="B114" i="85"/>
  <c r="Z113" i="85"/>
  <c r="X113" i="85"/>
  <c r="T113" i="85"/>
  <c r="P113" i="85"/>
  <c r="L113" i="85"/>
  <c r="N113" i="85" s="1"/>
  <c r="H113" i="85"/>
  <c r="D113" i="85"/>
  <c r="B113" i="85"/>
  <c r="Z112" i="85"/>
  <c r="X112" i="85"/>
  <c r="L112" i="85"/>
  <c r="N112" i="85" s="1"/>
  <c r="B112" i="85"/>
  <c r="T111" i="85"/>
  <c r="P111" i="85"/>
  <c r="X111" i="85" s="1"/>
  <c r="H111" i="85"/>
  <c r="D111" i="85"/>
  <c r="L111" i="85" s="1"/>
  <c r="B111" i="85"/>
  <c r="Z110" i="85"/>
  <c r="X110" i="85"/>
  <c r="N110" i="85"/>
  <c r="L110" i="85"/>
  <c r="B110" i="85"/>
  <c r="T109" i="85"/>
  <c r="P109" i="85"/>
  <c r="X109" i="85" s="1"/>
  <c r="Z109" i="85" s="1"/>
  <c r="L109" i="85"/>
  <c r="N109" i="85" s="1"/>
  <c r="H109" i="85"/>
  <c r="D109" i="85"/>
  <c r="B109" i="85"/>
  <c r="Z108" i="85"/>
  <c r="X108" i="85"/>
  <c r="L108" i="85"/>
  <c r="N108" i="85" s="1"/>
  <c r="B108" i="85"/>
  <c r="X107" i="85"/>
  <c r="Z107" i="85" s="1"/>
  <c r="N107" i="85"/>
  <c r="L107" i="85"/>
  <c r="B107" i="85"/>
  <c r="Z106" i="85"/>
  <c r="X106" i="85"/>
  <c r="L106" i="85"/>
  <c r="N106" i="85" s="1"/>
  <c r="B106" i="85"/>
  <c r="X105" i="85"/>
  <c r="Z105" i="85" s="1"/>
  <c r="L105" i="85"/>
  <c r="N105" i="85" s="1"/>
  <c r="B105" i="85"/>
  <c r="Z104" i="85"/>
  <c r="X104" i="85"/>
  <c r="L104" i="85"/>
  <c r="N104" i="85" s="1"/>
  <c r="B104" i="85"/>
  <c r="X103" i="85"/>
  <c r="T103" i="85"/>
  <c r="Z103" i="85" s="1"/>
  <c r="P103" i="85"/>
  <c r="H103" i="85"/>
  <c r="D103" i="85"/>
  <c r="L103" i="85" s="1"/>
  <c r="N103" i="85" s="1"/>
  <c r="B103" i="85"/>
  <c r="Z102" i="85"/>
  <c r="X102" i="85"/>
  <c r="L102" i="85"/>
  <c r="N102" i="85" s="1"/>
  <c r="B102" i="85"/>
  <c r="T101" i="85"/>
  <c r="P101" i="85"/>
  <c r="X101" i="85" s="1"/>
  <c r="H101" i="85"/>
  <c r="D101" i="85"/>
  <c r="L101" i="85" s="1"/>
  <c r="B101" i="85"/>
  <c r="X100" i="85"/>
  <c r="Z100" i="85" s="1"/>
  <c r="N100" i="85"/>
  <c r="L100" i="85"/>
  <c r="B100" i="85"/>
  <c r="Z99" i="85"/>
  <c r="X99" i="85"/>
  <c r="L99" i="85"/>
  <c r="N99" i="85" s="1"/>
  <c r="B99" i="85"/>
  <c r="Z98" i="85"/>
  <c r="X98" i="85"/>
  <c r="N98" i="85"/>
  <c r="L98" i="85"/>
  <c r="B98" i="85"/>
  <c r="T97" i="85"/>
  <c r="P97" i="85"/>
  <c r="L97" i="85"/>
  <c r="H97" i="85"/>
  <c r="N97" i="85" s="1"/>
  <c r="D97" i="85"/>
  <c r="B97" i="85"/>
  <c r="X96" i="85"/>
  <c r="Z96" i="85" s="1"/>
  <c r="N96" i="85"/>
  <c r="L96" i="85"/>
  <c r="B96" i="85"/>
  <c r="X95" i="85"/>
  <c r="Z95" i="85" s="1"/>
  <c r="N95" i="85"/>
  <c r="L95" i="85"/>
  <c r="B95" i="85"/>
  <c r="Z94" i="85"/>
  <c r="X94" i="85"/>
  <c r="T94" i="85"/>
  <c r="P94" i="85"/>
  <c r="N94" i="85"/>
  <c r="L94" i="85"/>
  <c r="H94" i="85"/>
  <c r="D94" i="85"/>
  <c r="B94" i="85"/>
  <c r="X93" i="85"/>
  <c r="Z93" i="85" s="1"/>
  <c r="L93" i="85"/>
  <c r="N93" i="85" s="1"/>
  <c r="B93" i="85"/>
  <c r="T92" i="85"/>
  <c r="X92" i="85" s="1"/>
  <c r="Z92" i="85" s="1"/>
  <c r="P92" i="85"/>
  <c r="H92" i="85"/>
  <c r="D92" i="85"/>
  <c r="L92" i="85" s="1"/>
  <c r="B92" i="85"/>
  <c r="X91" i="85"/>
  <c r="Z91" i="85" s="1"/>
  <c r="N91" i="85"/>
  <c r="L91" i="85"/>
  <c r="B91" i="85"/>
  <c r="Z90" i="85"/>
  <c r="T90" i="85"/>
  <c r="P90" i="85"/>
  <c r="X90" i="85" s="1"/>
  <c r="N90" i="85"/>
  <c r="H90" i="85"/>
  <c r="D90" i="85"/>
  <c r="L90" i="85" s="1"/>
  <c r="B90" i="85"/>
  <c r="X89" i="85"/>
  <c r="Z89" i="85" s="1"/>
  <c r="L89" i="85"/>
  <c r="N89" i="85" s="1"/>
  <c r="B89" i="85"/>
  <c r="X88" i="85"/>
  <c r="Z88" i="85" s="1"/>
  <c r="T88" i="85"/>
  <c r="P88" i="85"/>
  <c r="N88" i="85"/>
  <c r="L88" i="85"/>
  <c r="H88" i="85"/>
  <c r="D88" i="85"/>
  <c r="B88" i="85"/>
  <c r="X87" i="85"/>
  <c r="Z87" i="85" s="1"/>
  <c r="L87" i="85"/>
  <c r="N87" i="85" s="1"/>
  <c r="B87" i="85"/>
  <c r="T86" i="85"/>
  <c r="P86" i="85"/>
  <c r="X86" i="85" s="1"/>
  <c r="N86" i="85"/>
  <c r="H86" i="85"/>
  <c r="D86" i="85"/>
  <c r="L86" i="85" s="1"/>
  <c r="B86" i="85"/>
  <c r="X85" i="85"/>
  <c r="Z85" i="85" s="1"/>
  <c r="N85" i="85"/>
  <c r="L85" i="85"/>
  <c r="B85" i="85"/>
  <c r="T84" i="85"/>
  <c r="P84" i="85"/>
  <c r="X84" i="85" s="1"/>
  <c r="Z84" i="85" s="1"/>
  <c r="N84" i="85"/>
  <c r="H84" i="85"/>
  <c r="D84" i="85"/>
  <c r="L84" i="85" s="1"/>
  <c r="B84" i="85"/>
  <c r="X83" i="85"/>
  <c r="Z83" i="85" s="1"/>
  <c r="N83" i="85"/>
  <c r="L83" i="85"/>
  <c r="B83" i="85"/>
  <c r="Z82" i="85"/>
  <c r="X82" i="85"/>
  <c r="T82" i="85"/>
  <c r="P82" i="85"/>
  <c r="N82" i="85"/>
  <c r="L82" i="85"/>
  <c r="H82" i="85"/>
  <c r="D82" i="85"/>
  <c r="B82" i="85"/>
  <c r="X81" i="85"/>
  <c r="Z81" i="85" s="1"/>
  <c r="L81" i="85"/>
  <c r="N81" i="85" s="1"/>
  <c r="B81" i="85"/>
  <c r="T80" i="85"/>
  <c r="P80" i="85"/>
  <c r="X80" i="85" s="1"/>
  <c r="Z80" i="85" s="1"/>
  <c r="H80" i="85"/>
  <c r="D80" i="85"/>
  <c r="L80" i="85" s="1"/>
  <c r="B80" i="85"/>
  <c r="X79" i="85"/>
  <c r="Z79" i="85" s="1"/>
  <c r="L79" i="85"/>
  <c r="N79" i="85" s="1"/>
  <c r="B79" i="85"/>
  <c r="T78" i="85"/>
  <c r="P78" i="85"/>
  <c r="X78" i="85" s="1"/>
  <c r="Z78" i="85" s="1"/>
  <c r="H78" i="85"/>
  <c r="D78" i="85"/>
  <c r="L78" i="85" s="1"/>
  <c r="N78" i="85" s="1"/>
  <c r="B78" i="85"/>
  <c r="X77" i="85"/>
  <c r="Z77" i="85" s="1"/>
  <c r="L77" i="85"/>
  <c r="N77" i="85" s="1"/>
  <c r="B77" i="85"/>
  <c r="X76" i="85"/>
  <c r="T76" i="85"/>
  <c r="Z76" i="85" s="1"/>
  <c r="P76" i="85"/>
  <c r="N76" i="85"/>
  <c r="L76" i="85"/>
  <c r="H76" i="85"/>
  <c r="D76" i="85"/>
  <c r="B76" i="85"/>
  <c r="Z75" i="85"/>
  <c r="X75" i="85"/>
  <c r="L75" i="85"/>
  <c r="N75" i="85" s="1"/>
  <c r="B75" i="85"/>
  <c r="T74" i="85"/>
  <c r="P74" i="85"/>
  <c r="N74" i="85"/>
  <c r="H74" i="85"/>
  <c r="D74" i="85"/>
  <c r="L74" i="85" s="1"/>
  <c r="B74" i="85"/>
  <c r="X73" i="85"/>
  <c r="Z73" i="85" s="1"/>
  <c r="L73" i="85"/>
  <c r="N73" i="85" s="1"/>
  <c r="B73" i="85"/>
  <c r="T72" i="85"/>
  <c r="P72" i="85"/>
  <c r="X72" i="85" s="1"/>
  <c r="Z72" i="85" s="1"/>
  <c r="N72" i="85"/>
  <c r="H72" i="85"/>
  <c r="D72" i="85"/>
  <c r="L72" i="85" s="1"/>
  <c r="B72" i="85"/>
  <c r="X71" i="85"/>
  <c r="Z71" i="85" s="1"/>
  <c r="N71" i="85"/>
  <c r="L71" i="85"/>
  <c r="B71" i="85"/>
  <c r="Z70" i="85"/>
  <c r="X70" i="85"/>
  <c r="N70" i="85"/>
  <c r="L70" i="85"/>
  <c r="B70" i="85"/>
  <c r="X69" i="85"/>
  <c r="Z69" i="85" s="1"/>
  <c r="L69" i="85"/>
  <c r="N69" i="85" s="1"/>
  <c r="B69" i="85"/>
  <c r="X68" i="85"/>
  <c r="Z68" i="85" s="1"/>
  <c r="N68" i="85"/>
  <c r="L68" i="85"/>
  <c r="B68" i="85"/>
  <c r="T67" i="85"/>
  <c r="P67" i="85"/>
  <c r="X67" i="85" s="1"/>
  <c r="Z67" i="85" s="1"/>
  <c r="H67" i="85"/>
  <c r="D67" i="85"/>
  <c r="B67" i="85"/>
  <c r="Z66" i="85"/>
  <c r="X66" i="85"/>
  <c r="N66" i="85"/>
  <c r="L66" i="85"/>
  <c r="B66" i="85"/>
  <c r="X65" i="85"/>
  <c r="Z65" i="85" s="1"/>
  <c r="L65" i="85"/>
  <c r="N65" i="85" s="1"/>
  <c r="B65" i="85"/>
  <c r="Z64" i="85"/>
  <c r="X64" i="85"/>
  <c r="N64" i="85"/>
  <c r="L64" i="85"/>
  <c r="B64" i="85"/>
  <c r="Z63" i="85"/>
  <c r="X63" i="85"/>
  <c r="L63" i="85"/>
  <c r="N63" i="85" s="1"/>
  <c r="B63" i="85"/>
  <c r="Z62" i="85"/>
  <c r="X62" i="85"/>
  <c r="N62" i="85"/>
  <c r="L62" i="85"/>
  <c r="B62" i="85"/>
  <c r="X61" i="85"/>
  <c r="Z61" i="85" s="1"/>
  <c r="L61" i="85"/>
  <c r="N61" i="85" s="1"/>
  <c r="B61" i="85"/>
  <c r="Z60" i="85"/>
  <c r="X60" i="85"/>
  <c r="N60" i="85"/>
  <c r="L60" i="85"/>
  <c r="B60" i="85"/>
  <c r="Z59" i="85"/>
  <c r="X59" i="85"/>
  <c r="L59" i="85"/>
  <c r="N59" i="85" s="1"/>
  <c r="B59" i="85"/>
  <c r="T58" i="85"/>
  <c r="P58" i="85"/>
  <c r="N58" i="85"/>
  <c r="H58" i="85"/>
  <c r="D58" i="85"/>
  <c r="L58" i="85" s="1"/>
  <c r="B58" i="85"/>
  <c r="T57" i="85"/>
  <c r="P57" i="85"/>
  <c r="X57" i="85" s="1"/>
  <c r="L57" i="85"/>
  <c r="H57" i="85"/>
  <c r="D57" i="85"/>
  <c r="X53" i="85"/>
  <c r="Z53" i="85" s="1"/>
  <c r="L53" i="85"/>
  <c r="N53" i="85" s="1"/>
  <c r="B53" i="85"/>
  <c r="Z52" i="85"/>
  <c r="X52" i="85"/>
  <c r="N52" i="85"/>
  <c r="L52" i="85"/>
  <c r="B52" i="85"/>
  <c r="X51" i="85"/>
  <c r="Z51" i="85" s="1"/>
  <c r="L51" i="85"/>
  <c r="N51" i="85" s="1"/>
  <c r="B51" i="85"/>
  <c r="Z50" i="85"/>
  <c r="X50" i="85"/>
  <c r="N50" i="85"/>
  <c r="L50" i="85"/>
  <c r="B50" i="85"/>
  <c r="X49" i="85"/>
  <c r="Z49" i="85" s="1"/>
  <c r="L49" i="85"/>
  <c r="N49" i="85" s="1"/>
  <c r="B49" i="85"/>
  <c r="Z48" i="85"/>
  <c r="X48" i="85"/>
  <c r="N48" i="85"/>
  <c r="L48" i="85"/>
  <c r="B48" i="85"/>
  <c r="X47" i="85"/>
  <c r="Z47" i="85" s="1"/>
  <c r="N47" i="85"/>
  <c r="L47" i="85"/>
  <c r="B47" i="85"/>
  <c r="Z46" i="85"/>
  <c r="X46" i="85"/>
  <c r="N46" i="85"/>
  <c r="L46" i="85"/>
  <c r="B46" i="85"/>
  <c r="X45" i="85"/>
  <c r="Z45" i="85" s="1"/>
  <c r="L45" i="85"/>
  <c r="N45" i="85" s="1"/>
  <c r="B45" i="85"/>
  <c r="Z44" i="85"/>
  <c r="X44" i="85"/>
  <c r="L44" i="85"/>
  <c r="N44" i="85" s="1"/>
  <c r="B44" i="85"/>
  <c r="X43" i="85"/>
  <c r="Z43" i="85" s="1"/>
  <c r="L43" i="85"/>
  <c r="N43" i="85" s="1"/>
  <c r="B43" i="85"/>
  <c r="Z42" i="85"/>
  <c r="X42" i="85"/>
  <c r="N42" i="85"/>
  <c r="L42" i="85"/>
  <c r="B42" i="85"/>
  <c r="X41" i="85"/>
  <c r="Z41" i="85" s="1"/>
  <c r="N41" i="85"/>
  <c r="L41" i="85"/>
  <c r="B41" i="85"/>
  <c r="Z40" i="85"/>
  <c r="X40" i="85"/>
  <c r="L40" i="85"/>
  <c r="N40" i="85" s="1"/>
  <c r="B40" i="85"/>
  <c r="X39" i="85"/>
  <c r="Z39" i="85" s="1"/>
  <c r="N39" i="85"/>
  <c r="L39" i="85"/>
  <c r="B39" i="85"/>
  <c r="Z38" i="85"/>
  <c r="X38" i="85"/>
  <c r="N38" i="85"/>
  <c r="L38" i="85"/>
  <c r="B38" i="85"/>
  <c r="X37" i="85"/>
  <c r="Z37" i="85" s="1"/>
  <c r="N37" i="85"/>
  <c r="L37" i="85"/>
  <c r="B37" i="85"/>
  <c r="T36" i="85"/>
  <c r="P36" i="85"/>
  <c r="X36" i="85" s="1"/>
  <c r="Z36" i="85" s="1"/>
  <c r="N36" i="85"/>
  <c r="H36" i="85"/>
  <c r="D36" i="85"/>
  <c r="L36" i="85" s="1"/>
  <c r="Z34" i="85"/>
  <c r="T34" i="85"/>
  <c r="X34" i="85" s="1"/>
  <c r="P34" i="85"/>
  <c r="L34" i="85"/>
  <c r="H34" i="85"/>
  <c r="N34" i="85" s="1"/>
  <c r="D34" i="85"/>
  <c r="B34" i="85"/>
  <c r="X33" i="85"/>
  <c r="T33" i="85"/>
  <c r="P33" i="85"/>
  <c r="N33" i="85"/>
  <c r="L33" i="85"/>
  <c r="H33" i="85"/>
  <c r="D33" i="85"/>
  <c r="B33" i="85"/>
  <c r="Z32" i="85"/>
  <c r="T32" i="85"/>
  <c r="X32" i="85" s="1"/>
  <c r="P32" i="85"/>
  <c r="H32" i="85"/>
  <c r="L32" i="85" s="1"/>
  <c r="D32" i="85"/>
  <c r="B32" i="85"/>
  <c r="T31" i="85"/>
  <c r="P31" i="85"/>
  <c r="L31" i="85"/>
  <c r="N31" i="85" s="1"/>
  <c r="H31" i="85"/>
  <c r="D31" i="85"/>
  <c r="B31" i="85"/>
  <c r="Z30" i="85"/>
  <c r="T30" i="85"/>
  <c r="X30" i="85" s="1"/>
  <c r="P30" i="85"/>
  <c r="L30" i="85"/>
  <c r="H30" i="85"/>
  <c r="D30" i="85"/>
  <c r="B30" i="85"/>
  <c r="T29" i="85"/>
  <c r="P29" i="85"/>
  <c r="X29" i="85" s="1"/>
  <c r="L29" i="85"/>
  <c r="N29" i="85" s="1"/>
  <c r="H29" i="85"/>
  <c r="D29" i="85"/>
  <c r="B29" i="85"/>
  <c r="T28" i="85"/>
  <c r="X28" i="85" s="1"/>
  <c r="P28" i="85"/>
  <c r="N28" i="85"/>
  <c r="H28" i="85"/>
  <c r="L28" i="85" s="1"/>
  <c r="D28" i="85"/>
  <c r="B28" i="85"/>
  <c r="T27" i="85"/>
  <c r="Z27" i="85" s="1"/>
  <c r="P27" i="85"/>
  <c r="N27" i="85"/>
  <c r="H27" i="85"/>
  <c r="D27" i="85"/>
  <c r="L27" i="85" s="1"/>
  <c r="B27" i="85"/>
  <c r="T26" i="85"/>
  <c r="X26" i="85" s="1"/>
  <c r="P26" i="85"/>
  <c r="H26" i="85"/>
  <c r="D26" i="85"/>
  <c r="B26" i="85"/>
  <c r="X25" i="85"/>
  <c r="T25" i="85"/>
  <c r="P25" i="85"/>
  <c r="L25" i="85"/>
  <c r="N25" i="85" s="1"/>
  <c r="H25" i="85"/>
  <c r="D25" i="85"/>
  <c r="B25" i="85"/>
  <c r="Z24" i="85"/>
  <c r="T24" i="85"/>
  <c r="X24" i="85" s="1"/>
  <c r="P24" i="85"/>
  <c r="H24" i="85"/>
  <c r="L24" i="85" s="1"/>
  <c r="N24" i="85" s="1"/>
  <c r="D24" i="85"/>
  <c r="B24" i="85"/>
  <c r="T23" i="85"/>
  <c r="Z23" i="85" s="1"/>
  <c r="P23" i="85"/>
  <c r="X23" i="85" s="1"/>
  <c r="N23" i="85"/>
  <c r="L23" i="85"/>
  <c r="H23" i="85"/>
  <c r="D23" i="85"/>
  <c r="B23" i="85"/>
  <c r="Z22" i="85"/>
  <c r="T22" i="85"/>
  <c r="X22" i="85" s="1"/>
  <c r="P22" i="85"/>
  <c r="L22" i="85"/>
  <c r="H22" i="85"/>
  <c r="D22" i="85"/>
  <c r="B22" i="85"/>
  <c r="T21" i="85"/>
  <c r="P21" i="85"/>
  <c r="L21" i="85"/>
  <c r="N21" i="85" s="1"/>
  <c r="H21" i="85"/>
  <c r="D21" i="85"/>
  <c r="B21" i="85"/>
  <c r="Z20" i="85"/>
  <c r="T20" i="85"/>
  <c r="X20" i="85" s="1"/>
  <c r="P20" i="85"/>
  <c r="L20" i="85"/>
  <c r="N20" i="85" s="1"/>
  <c r="H20" i="85"/>
  <c r="D20" i="85"/>
  <c r="B20" i="85"/>
  <c r="T19" i="85"/>
  <c r="P19" i="85"/>
  <c r="X19" i="85" s="1"/>
  <c r="L19" i="85"/>
  <c r="N19" i="85" s="1"/>
  <c r="H19" i="85"/>
  <c r="D19" i="85"/>
  <c r="B19" i="85"/>
  <c r="T18" i="85"/>
  <c r="X18" i="85" s="1"/>
  <c r="P18" i="85"/>
  <c r="H18" i="85"/>
  <c r="D18" i="85"/>
  <c r="B18" i="85"/>
  <c r="X17" i="85"/>
  <c r="T17" i="85"/>
  <c r="P17" i="85"/>
  <c r="L17" i="85"/>
  <c r="N17" i="85" s="1"/>
  <c r="H17" i="85"/>
  <c r="D17" i="85"/>
  <c r="B17" i="85"/>
  <c r="Z16" i="85"/>
  <c r="T16" i="85"/>
  <c r="X16" i="85" s="1"/>
  <c r="P16" i="85"/>
  <c r="H16" i="85"/>
  <c r="D16" i="85"/>
  <c r="B16" i="85"/>
  <c r="T15" i="85"/>
  <c r="P15" i="85"/>
  <c r="N15" i="85"/>
  <c r="L15" i="85"/>
  <c r="H15" i="85"/>
  <c r="D15" i="85"/>
  <c r="B15" i="85"/>
  <c r="Z14" i="85"/>
  <c r="T14" i="85"/>
  <c r="X14" i="85" s="1"/>
  <c r="P14" i="85"/>
  <c r="L14" i="85"/>
  <c r="H14" i="85"/>
  <c r="D14" i="85"/>
  <c r="B14" i="85"/>
  <c r="T13" i="85"/>
  <c r="P13" i="85"/>
  <c r="N13" i="85"/>
  <c r="L13" i="85"/>
  <c r="H13" i="85"/>
  <c r="D13" i="85"/>
  <c r="B13" i="85"/>
  <c r="D6" i="85"/>
  <c r="D4" i="85"/>
  <c r="X84" i="84"/>
  <c r="Z84" i="84" s="1"/>
  <c r="N84" i="84"/>
  <c r="L84" i="84"/>
  <c r="Z80" i="84"/>
  <c r="T80" i="84"/>
  <c r="P80" i="84"/>
  <c r="X80" i="84" s="1"/>
  <c r="N80" i="84"/>
  <c r="H80" i="84"/>
  <c r="D80" i="84"/>
  <c r="L80" i="84" s="1"/>
  <c r="Z78" i="84"/>
  <c r="X78" i="84"/>
  <c r="L78" i="84"/>
  <c r="N78" i="84" s="1"/>
  <c r="J78" i="84"/>
  <c r="B78" i="84"/>
  <c r="T77" i="84"/>
  <c r="P77" i="84"/>
  <c r="X77" i="84" s="1"/>
  <c r="H77" i="84"/>
  <c r="D77" i="84"/>
  <c r="B77" i="84"/>
  <c r="Z76" i="84"/>
  <c r="X76" i="84"/>
  <c r="N76" i="84"/>
  <c r="L76" i="84"/>
  <c r="B76" i="84"/>
  <c r="T75" i="84"/>
  <c r="P75" i="84"/>
  <c r="X75" i="84" s="1"/>
  <c r="H75" i="84"/>
  <c r="D75" i="84"/>
  <c r="L75" i="84" s="1"/>
  <c r="N75" i="84" s="1"/>
  <c r="B75" i="84"/>
  <c r="Z74" i="84"/>
  <c r="X74" i="84"/>
  <c r="N74" i="84"/>
  <c r="L74" i="84"/>
  <c r="B74" i="84"/>
  <c r="Z73" i="84"/>
  <c r="X73" i="84"/>
  <c r="L73" i="84"/>
  <c r="N73" i="84" s="1"/>
  <c r="B73" i="84"/>
  <c r="Z72" i="84"/>
  <c r="X72" i="84"/>
  <c r="N72" i="84"/>
  <c r="L72" i="84"/>
  <c r="B72" i="84"/>
  <c r="Z71" i="84"/>
  <c r="X71" i="84"/>
  <c r="L71" i="84"/>
  <c r="N71" i="84" s="1"/>
  <c r="B71" i="84"/>
  <c r="Z70" i="84"/>
  <c r="X70" i="84"/>
  <c r="N70" i="84"/>
  <c r="L70" i="84"/>
  <c r="B70" i="84"/>
  <c r="Z69" i="84"/>
  <c r="X69" i="84"/>
  <c r="N69" i="84"/>
  <c r="L69" i="84"/>
  <c r="B69" i="84"/>
  <c r="T68" i="84"/>
  <c r="P68" i="84"/>
  <c r="H68" i="84"/>
  <c r="D68" i="84"/>
  <c r="B68" i="84"/>
  <c r="X67" i="84"/>
  <c r="Z67" i="84" s="1"/>
  <c r="L67" i="84"/>
  <c r="N67" i="84" s="1"/>
  <c r="B67" i="84"/>
  <c r="T66" i="84"/>
  <c r="P66" i="84"/>
  <c r="X66" i="84" s="1"/>
  <c r="Z66" i="84" s="1"/>
  <c r="H66" i="84"/>
  <c r="D66" i="84"/>
  <c r="L66" i="84" s="1"/>
  <c r="N66" i="84" s="1"/>
  <c r="B66" i="84"/>
  <c r="Z65" i="84"/>
  <c r="X65" i="84"/>
  <c r="L65" i="84"/>
  <c r="N65" i="84" s="1"/>
  <c r="B65" i="84"/>
  <c r="Z64" i="84"/>
  <c r="X64" i="84"/>
  <c r="N64" i="84"/>
  <c r="L64" i="84"/>
  <c r="B64" i="84"/>
  <c r="X63" i="84"/>
  <c r="Z63" i="84" s="1"/>
  <c r="N63" i="84"/>
  <c r="L63" i="84"/>
  <c r="B63" i="84"/>
  <c r="X62" i="84"/>
  <c r="T62" i="84"/>
  <c r="P62" i="84"/>
  <c r="L62" i="84"/>
  <c r="H62" i="84"/>
  <c r="N62" i="84" s="1"/>
  <c r="D62" i="84"/>
  <c r="B62" i="84"/>
  <c r="Z61" i="84"/>
  <c r="X61" i="84"/>
  <c r="L61" i="84"/>
  <c r="N61" i="84" s="1"/>
  <c r="B61" i="84"/>
  <c r="X60" i="84"/>
  <c r="Z60" i="84" s="1"/>
  <c r="N60" i="84"/>
  <c r="L60" i="84"/>
  <c r="B60" i="84"/>
  <c r="Z59" i="84"/>
  <c r="X59" i="84"/>
  <c r="N59" i="84"/>
  <c r="L59" i="84"/>
  <c r="B59" i="84"/>
  <c r="T58" i="84"/>
  <c r="P58" i="84"/>
  <c r="X58" i="84" s="1"/>
  <c r="H58" i="84"/>
  <c r="D58" i="84"/>
  <c r="L58" i="84" s="1"/>
  <c r="N58" i="84" s="1"/>
  <c r="B58" i="84"/>
  <c r="Z57" i="84"/>
  <c r="X57" i="84"/>
  <c r="N57" i="84"/>
  <c r="L57" i="84"/>
  <c r="B57" i="84"/>
  <c r="Z56" i="84"/>
  <c r="X56" i="84"/>
  <c r="T56" i="84"/>
  <c r="P56" i="84"/>
  <c r="L56" i="84"/>
  <c r="N56" i="84" s="1"/>
  <c r="H56" i="84"/>
  <c r="D56" i="84"/>
  <c r="B56" i="84"/>
  <c r="Z55" i="84"/>
  <c r="X55" i="84"/>
  <c r="L55" i="84"/>
  <c r="N55" i="84" s="1"/>
  <c r="J55" i="84"/>
  <c r="B55" i="84"/>
  <c r="T54" i="84"/>
  <c r="Z54" i="84" s="1"/>
  <c r="P54" i="84"/>
  <c r="X54" i="84" s="1"/>
  <c r="H54" i="84"/>
  <c r="D54" i="84"/>
  <c r="L54" i="84" s="1"/>
  <c r="B54" i="84"/>
  <c r="X53" i="84"/>
  <c r="Z53" i="84" s="1"/>
  <c r="N53" i="84"/>
  <c r="L53" i="84"/>
  <c r="B53" i="84"/>
  <c r="T52" i="84"/>
  <c r="P52" i="84"/>
  <c r="X52" i="84" s="1"/>
  <c r="Z52" i="84" s="1"/>
  <c r="H52" i="84"/>
  <c r="N52" i="84" s="1"/>
  <c r="D52" i="84"/>
  <c r="L52" i="84" s="1"/>
  <c r="B52" i="84"/>
  <c r="Z51" i="84"/>
  <c r="X51" i="84"/>
  <c r="N51" i="84"/>
  <c r="L51" i="84"/>
  <c r="B51" i="84"/>
  <c r="X50" i="84"/>
  <c r="Z50" i="84" s="1"/>
  <c r="T50" i="84"/>
  <c r="P50" i="84"/>
  <c r="N50" i="84"/>
  <c r="L50" i="84"/>
  <c r="H50" i="84"/>
  <c r="D50" i="84"/>
  <c r="B50" i="84"/>
  <c r="Z49" i="84"/>
  <c r="X49" i="84"/>
  <c r="L49" i="84"/>
  <c r="N49" i="84" s="1"/>
  <c r="J49" i="84"/>
  <c r="B49" i="84"/>
  <c r="T48" i="84"/>
  <c r="P48" i="84"/>
  <c r="X48" i="84" s="1"/>
  <c r="J48" i="84"/>
  <c r="H48" i="84"/>
  <c r="D48" i="84"/>
  <c r="L48" i="84" s="1"/>
  <c r="B48" i="84"/>
  <c r="X47" i="84"/>
  <c r="Z47" i="84" s="1"/>
  <c r="N47" i="84"/>
  <c r="L47" i="84"/>
  <c r="B47" i="84"/>
  <c r="X46" i="84"/>
  <c r="Z46" i="84" s="1"/>
  <c r="L46" i="84"/>
  <c r="N46" i="84" s="1"/>
  <c r="B46" i="84"/>
  <c r="X45" i="84"/>
  <c r="Z45" i="84" s="1"/>
  <c r="T45" i="84"/>
  <c r="P45" i="84"/>
  <c r="L45" i="84"/>
  <c r="J45" i="84"/>
  <c r="H45" i="84"/>
  <c r="N45" i="84" s="1"/>
  <c r="D45" i="84"/>
  <c r="B45" i="84"/>
  <c r="Z44" i="84"/>
  <c r="X44" i="84"/>
  <c r="N44" i="84"/>
  <c r="L44" i="84"/>
  <c r="B44" i="84"/>
  <c r="T43" i="84"/>
  <c r="P43" i="84"/>
  <c r="H43" i="84"/>
  <c r="D43" i="84"/>
  <c r="L43" i="84" s="1"/>
  <c r="B43" i="84"/>
  <c r="Z42" i="84"/>
  <c r="X42" i="84"/>
  <c r="V42" i="84"/>
  <c r="L42" i="84"/>
  <c r="N42" i="84" s="1"/>
  <c r="B42" i="84"/>
  <c r="T41" i="84"/>
  <c r="P41" i="84"/>
  <c r="X41" i="84" s="1"/>
  <c r="Z41" i="84" s="1"/>
  <c r="H41" i="84"/>
  <c r="D41" i="84"/>
  <c r="L41" i="84" s="1"/>
  <c r="N41" i="84" s="1"/>
  <c r="B41" i="84"/>
  <c r="X40" i="84"/>
  <c r="Z40" i="84" s="1"/>
  <c r="N40" i="84"/>
  <c r="L40" i="84"/>
  <c r="B40" i="84"/>
  <c r="X39" i="84"/>
  <c r="T39" i="84"/>
  <c r="Z39" i="84" s="1"/>
  <c r="P39" i="84"/>
  <c r="L39" i="84"/>
  <c r="N39" i="84" s="1"/>
  <c r="J39" i="84"/>
  <c r="H39" i="84"/>
  <c r="D39" i="84"/>
  <c r="B39" i="84"/>
  <c r="X38" i="84"/>
  <c r="Z38" i="84" s="1"/>
  <c r="N38" i="84"/>
  <c r="L38" i="84"/>
  <c r="J38" i="84"/>
  <c r="B38" i="84"/>
  <c r="Z37" i="84"/>
  <c r="X37" i="84"/>
  <c r="N37" i="84"/>
  <c r="L37" i="84"/>
  <c r="B37" i="84"/>
  <c r="Z36" i="84"/>
  <c r="X36" i="84"/>
  <c r="N36" i="84"/>
  <c r="L36" i="84"/>
  <c r="B36" i="84"/>
  <c r="Z35" i="84"/>
  <c r="X35" i="84"/>
  <c r="N35" i="84"/>
  <c r="L35" i="84"/>
  <c r="B35" i="84"/>
  <c r="Z34" i="84"/>
  <c r="X34" i="84"/>
  <c r="N34" i="84"/>
  <c r="L34" i="84"/>
  <c r="J34" i="84"/>
  <c r="B34" i="84"/>
  <c r="Z33" i="84"/>
  <c r="X33" i="84"/>
  <c r="N33" i="84"/>
  <c r="L33" i="84"/>
  <c r="B33" i="84"/>
  <c r="Z32" i="84"/>
  <c r="X32" i="84"/>
  <c r="T32" i="84"/>
  <c r="P32" i="84"/>
  <c r="L32" i="84"/>
  <c r="N32" i="84" s="1"/>
  <c r="H32" i="84"/>
  <c r="D32" i="84"/>
  <c r="B32" i="84"/>
  <c r="Z31" i="84"/>
  <c r="X31" i="84"/>
  <c r="N31" i="84"/>
  <c r="L31" i="84"/>
  <c r="J31" i="84"/>
  <c r="B31" i="84"/>
  <c r="X30" i="84"/>
  <c r="Z30" i="84" s="1"/>
  <c r="V30" i="84"/>
  <c r="L30" i="84"/>
  <c r="N30" i="84" s="1"/>
  <c r="B30" i="84"/>
  <c r="Z29" i="84"/>
  <c r="X29" i="84"/>
  <c r="L29" i="84"/>
  <c r="N29" i="84" s="1"/>
  <c r="J29" i="84"/>
  <c r="B29" i="84"/>
  <c r="Z28" i="84"/>
  <c r="X28" i="84"/>
  <c r="N28" i="84"/>
  <c r="L28" i="84"/>
  <c r="B28" i="84"/>
  <c r="Z27" i="84"/>
  <c r="X27" i="84"/>
  <c r="L27" i="84"/>
  <c r="N27" i="84" s="1"/>
  <c r="J27" i="84"/>
  <c r="B27" i="84"/>
  <c r="X26" i="84"/>
  <c r="Z26" i="84" s="1"/>
  <c r="L26" i="84"/>
  <c r="N26" i="84" s="1"/>
  <c r="B26" i="84"/>
  <c r="Z25" i="84"/>
  <c r="X25" i="84"/>
  <c r="L25" i="84"/>
  <c r="N25" i="84" s="1"/>
  <c r="J25" i="84"/>
  <c r="B25" i="84"/>
  <c r="Z24" i="84"/>
  <c r="X24" i="84"/>
  <c r="N24" i="84"/>
  <c r="L24" i="84"/>
  <c r="B24" i="84"/>
  <c r="T23" i="84"/>
  <c r="P23" i="84"/>
  <c r="X23" i="84" s="1"/>
  <c r="Z23" i="84" s="1"/>
  <c r="H23" i="84"/>
  <c r="D23" i="84"/>
  <c r="L23" i="84" s="1"/>
  <c r="N23" i="84" s="1"/>
  <c r="B23" i="84"/>
  <c r="T22" i="84"/>
  <c r="Z22" i="84" s="1"/>
  <c r="P22" i="84"/>
  <c r="X22" i="84" s="1"/>
  <c r="H22" i="84"/>
  <c r="D22" i="84"/>
  <c r="L22" i="84" s="1"/>
  <c r="N22" i="84" s="1"/>
  <c r="X18" i="84"/>
  <c r="Z18" i="84" s="1"/>
  <c r="L18" i="84"/>
  <c r="N18" i="84" s="1"/>
  <c r="B18" i="84"/>
  <c r="X17" i="84"/>
  <c r="Z17" i="84" s="1"/>
  <c r="N17" i="84"/>
  <c r="L17" i="84"/>
  <c r="B17" i="84"/>
  <c r="T16" i="84"/>
  <c r="P16" i="84"/>
  <c r="X16" i="84" s="1"/>
  <c r="Z16" i="84" s="1"/>
  <c r="H16" i="84"/>
  <c r="N16" i="84" s="1"/>
  <c r="D16" i="84"/>
  <c r="L16" i="84" s="1"/>
  <c r="Z14" i="84"/>
  <c r="X14" i="84"/>
  <c r="T14" i="84"/>
  <c r="P14" i="84"/>
  <c r="N14" i="84"/>
  <c r="L14" i="84"/>
  <c r="H14" i="84"/>
  <c r="D14" i="84"/>
  <c r="B14" i="84"/>
  <c r="T13" i="84"/>
  <c r="T12" i="84" s="1"/>
  <c r="V26" i="84" s="1"/>
  <c r="P13" i="84"/>
  <c r="P12" i="84" s="1"/>
  <c r="H13" i="84"/>
  <c r="D13" i="84"/>
  <c r="B13" i="84"/>
  <c r="H12" i="84"/>
  <c r="J69" i="84" s="1"/>
  <c r="D6" i="84"/>
  <c r="D4" i="84"/>
  <c r="Z31" i="83"/>
  <c r="X31" i="83"/>
  <c r="N31" i="83"/>
  <c r="L31" i="83"/>
  <c r="Z27" i="83"/>
  <c r="T27" i="83"/>
  <c r="P27" i="83"/>
  <c r="X27" i="83" s="1"/>
  <c r="H27" i="83"/>
  <c r="N27" i="83" s="1"/>
  <c r="D27" i="83"/>
  <c r="L27" i="83" s="1"/>
  <c r="Z25" i="83"/>
  <c r="X25" i="83"/>
  <c r="N25" i="83"/>
  <c r="L25" i="83"/>
  <c r="B25" i="83"/>
  <c r="X24" i="83"/>
  <c r="T24" i="83"/>
  <c r="Z24" i="83" s="1"/>
  <c r="P24" i="83"/>
  <c r="N24" i="83"/>
  <c r="L24" i="83"/>
  <c r="H24" i="83"/>
  <c r="D24" i="83"/>
  <c r="B24" i="83"/>
  <c r="X23" i="83"/>
  <c r="Z23" i="83" s="1"/>
  <c r="T23" i="83"/>
  <c r="P23" i="83"/>
  <c r="N23" i="83"/>
  <c r="L23" i="83"/>
  <c r="H23" i="83"/>
  <c r="D23" i="83"/>
  <c r="X19" i="83"/>
  <c r="Z19" i="83" s="1"/>
  <c r="L19" i="83"/>
  <c r="N19" i="83" s="1"/>
  <c r="B19" i="83"/>
  <c r="Z18" i="83"/>
  <c r="X18" i="83"/>
  <c r="N18" i="83"/>
  <c r="L18" i="83"/>
  <c r="B18" i="83"/>
  <c r="Z17" i="83"/>
  <c r="X17" i="83"/>
  <c r="T17" i="83"/>
  <c r="P17" i="83"/>
  <c r="L17" i="83"/>
  <c r="N17" i="83" s="1"/>
  <c r="H17" i="83"/>
  <c r="D17" i="83"/>
  <c r="X15" i="83"/>
  <c r="Z15" i="83" s="1"/>
  <c r="T15" i="83"/>
  <c r="P15" i="83"/>
  <c r="H15" i="83"/>
  <c r="N15" i="83" s="1"/>
  <c r="D15" i="83"/>
  <c r="L15" i="83" s="1"/>
  <c r="B15" i="83"/>
  <c r="T14" i="83"/>
  <c r="P14" i="83"/>
  <c r="H14" i="83"/>
  <c r="D14" i="83"/>
  <c r="L14" i="83" s="1"/>
  <c r="N14" i="83" s="1"/>
  <c r="B14" i="83"/>
  <c r="X13" i="83"/>
  <c r="T13" i="83"/>
  <c r="T12" i="83" s="1"/>
  <c r="P13" i="83"/>
  <c r="H13" i="83"/>
  <c r="D13" i="83"/>
  <c r="B13" i="83"/>
  <c r="D6" i="83"/>
  <c r="D4" i="83"/>
  <c r="J29" i="82"/>
  <c r="F29" i="82"/>
  <c r="J26" i="82"/>
  <c r="F26" i="82"/>
  <c r="Z24" i="82"/>
  <c r="X24" i="82"/>
  <c r="N24" i="82"/>
  <c r="L24" i="82"/>
  <c r="J24" i="82"/>
  <c r="F24" i="82"/>
  <c r="T22" i="82"/>
  <c r="F22" i="82"/>
  <c r="T20" i="82"/>
  <c r="R20" i="82"/>
  <c r="P20" i="82"/>
  <c r="H20" i="82"/>
  <c r="N20" i="82" s="1"/>
  <c r="F20" i="82"/>
  <c r="D20" i="82"/>
  <c r="L20" i="82" s="1"/>
  <c r="T18" i="82"/>
  <c r="P18" i="82"/>
  <c r="H18" i="82"/>
  <c r="N18" i="82" s="1"/>
  <c r="F18" i="82"/>
  <c r="D18" i="82"/>
  <c r="L18" i="82" s="1"/>
  <c r="T16" i="82"/>
  <c r="Z16" i="82" s="1"/>
  <c r="R16" i="82"/>
  <c r="F16" i="82"/>
  <c r="T14" i="82"/>
  <c r="P14" i="82"/>
  <c r="H14" i="82"/>
  <c r="N14" i="82" s="1"/>
  <c r="F14" i="82"/>
  <c r="D14" i="82"/>
  <c r="L14" i="82" s="1"/>
  <c r="Z12" i="82"/>
  <c r="T12" i="82"/>
  <c r="V29" i="82" s="1"/>
  <c r="P12" i="82"/>
  <c r="N12" i="82"/>
  <c r="H12" i="82"/>
  <c r="J22" i="82" s="1"/>
  <c r="D12" i="82"/>
  <c r="L12" i="82" s="1"/>
  <c r="D6" i="82"/>
  <c r="D4" i="82"/>
  <c r="Z75" i="81"/>
  <c r="X75" i="81"/>
  <c r="L75" i="81"/>
  <c r="N75" i="81" s="1"/>
  <c r="J75" i="81"/>
  <c r="T71" i="81"/>
  <c r="Z71" i="81" s="1"/>
  <c r="P71" i="81"/>
  <c r="X71" i="81" s="1"/>
  <c r="H71" i="81"/>
  <c r="D71" i="81"/>
  <c r="Z69" i="81"/>
  <c r="X69" i="81"/>
  <c r="N69" i="81"/>
  <c r="L69" i="81"/>
  <c r="B69" i="81"/>
  <c r="X68" i="81"/>
  <c r="Z68" i="81" s="1"/>
  <c r="T68" i="81"/>
  <c r="P68" i="81"/>
  <c r="L68" i="81"/>
  <c r="N68" i="81" s="1"/>
  <c r="H68" i="81"/>
  <c r="D68" i="81"/>
  <c r="B68" i="81"/>
  <c r="Z67" i="81"/>
  <c r="X67" i="81"/>
  <c r="L67" i="81"/>
  <c r="N67" i="81" s="1"/>
  <c r="J67" i="81"/>
  <c r="B67" i="81"/>
  <c r="T66" i="81"/>
  <c r="P66" i="81"/>
  <c r="X66" i="81" s="1"/>
  <c r="H66" i="81"/>
  <c r="N66" i="81" s="1"/>
  <c r="D66" i="81"/>
  <c r="L66" i="81" s="1"/>
  <c r="B66" i="81"/>
  <c r="X65" i="81"/>
  <c r="Z65" i="81" s="1"/>
  <c r="N65" i="81"/>
  <c r="L65" i="81"/>
  <c r="B65" i="81"/>
  <c r="Z64" i="81"/>
  <c r="X64" i="81"/>
  <c r="L64" i="81"/>
  <c r="N64" i="81" s="1"/>
  <c r="B64" i="81"/>
  <c r="X63" i="81"/>
  <c r="Z63" i="81" s="1"/>
  <c r="N63" i="81"/>
  <c r="L63" i="81"/>
  <c r="B63" i="81"/>
  <c r="X62" i="81"/>
  <c r="Z62" i="81" s="1"/>
  <c r="L62" i="81"/>
  <c r="N62" i="81" s="1"/>
  <c r="B62" i="81"/>
  <c r="X61" i="81"/>
  <c r="Z61" i="81" s="1"/>
  <c r="N61" i="81"/>
  <c r="L61" i="81"/>
  <c r="B61" i="81"/>
  <c r="Z60" i="81"/>
  <c r="X60" i="81"/>
  <c r="N60" i="81"/>
  <c r="L60" i="81"/>
  <c r="B60" i="81"/>
  <c r="T59" i="81"/>
  <c r="P59" i="81"/>
  <c r="L59" i="81"/>
  <c r="N59" i="81" s="1"/>
  <c r="J59" i="81"/>
  <c r="H59" i="81"/>
  <c r="D59" i="81"/>
  <c r="B59" i="81"/>
  <c r="X58" i="81"/>
  <c r="Z58" i="81" s="1"/>
  <c r="L58" i="81"/>
  <c r="N58" i="81" s="1"/>
  <c r="J58" i="81"/>
  <c r="B58" i="81"/>
  <c r="Z57" i="81"/>
  <c r="X57" i="81"/>
  <c r="N57" i="81"/>
  <c r="L57" i="81"/>
  <c r="B57" i="81"/>
  <c r="Z56" i="81"/>
  <c r="X56" i="81"/>
  <c r="N56" i="81"/>
  <c r="L56" i="81"/>
  <c r="B56" i="81"/>
  <c r="T55" i="81"/>
  <c r="P55" i="81"/>
  <c r="H55" i="81"/>
  <c r="N55" i="81" s="1"/>
  <c r="D55" i="81"/>
  <c r="L55" i="81" s="1"/>
  <c r="B55" i="81"/>
  <c r="X54" i="81"/>
  <c r="Z54" i="81" s="1"/>
  <c r="L54" i="81"/>
  <c r="N54" i="81" s="1"/>
  <c r="B54" i="81"/>
  <c r="Z53" i="81"/>
  <c r="X53" i="81"/>
  <c r="N53" i="81"/>
  <c r="L53" i="81"/>
  <c r="J53" i="81"/>
  <c r="B53" i="81"/>
  <c r="T52" i="81"/>
  <c r="P52" i="81"/>
  <c r="X52" i="81" s="1"/>
  <c r="J52" i="81"/>
  <c r="H52" i="81"/>
  <c r="D52" i="81"/>
  <c r="L52" i="81" s="1"/>
  <c r="B52" i="81"/>
  <c r="X51" i="81"/>
  <c r="Z51" i="81" s="1"/>
  <c r="N51" i="81"/>
  <c r="L51" i="81"/>
  <c r="B51" i="81"/>
  <c r="T50" i="81"/>
  <c r="Z50" i="81" s="1"/>
  <c r="P50" i="81"/>
  <c r="X50" i="81" s="1"/>
  <c r="H50" i="81"/>
  <c r="D50" i="81"/>
  <c r="L50" i="81" s="1"/>
  <c r="N50" i="81" s="1"/>
  <c r="B50" i="81"/>
  <c r="Z49" i="81"/>
  <c r="X49" i="81"/>
  <c r="N49" i="81"/>
  <c r="L49" i="81"/>
  <c r="B49" i="81"/>
  <c r="Z48" i="81"/>
  <c r="X48" i="81"/>
  <c r="T48" i="81"/>
  <c r="P48" i="81"/>
  <c r="L48" i="81"/>
  <c r="N48" i="81" s="1"/>
  <c r="H48" i="81"/>
  <c r="D48" i="81"/>
  <c r="B48" i="81"/>
  <c r="Z47" i="81"/>
  <c r="X47" i="81"/>
  <c r="N47" i="81"/>
  <c r="L47" i="81"/>
  <c r="J47" i="81"/>
  <c r="B47" i="81"/>
  <c r="T46" i="81"/>
  <c r="P46" i="81"/>
  <c r="X46" i="81" s="1"/>
  <c r="H46" i="81"/>
  <c r="N46" i="81" s="1"/>
  <c r="D46" i="81"/>
  <c r="L46" i="81" s="1"/>
  <c r="B46" i="81"/>
  <c r="X45" i="81"/>
  <c r="Z45" i="81" s="1"/>
  <c r="N45" i="81"/>
  <c r="L45" i="81"/>
  <c r="B45" i="81"/>
  <c r="T44" i="81"/>
  <c r="P44" i="81"/>
  <c r="X44" i="81" s="1"/>
  <c r="Z44" i="81" s="1"/>
  <c r="H44" i="81"/>
  <c r="N44" i="81" s="1"/>
  <c r="D44" i="81"/>
  <c r="L44" i="81" s="1"/>
  <c r="B44" i="81"/>
  <c r="Z43" i="81"/>
  <c r="X43" i="81"/>
  <c r="N43" i="81"/>
  <c r="L43" i="81"/>
  <c r="B43" i="81"/>
  <c r="X42" i="81"/>
  <c r="Z42" i="81" s="1"/>
  <c r="T42" i="81"/>
  <c r="P42" i="81"/>
  <c r="N42" i="81"/>
  <c r="L42" i="81"/>
  <c r="H42" i="81"/>
  <c r="D42" i="81"/>
  <c r="B42" i="81"/>
  <c r="Z41" i="81"/>
  <c r="X41" i="81"/>
  <c r="L41" i="81"/>
  <c r="N41" i="81" s="1"/>
  <c r="J41" i="81"/>
  <c r="B41" i="81"/>
  <c r="T40" i="81"/>
  <c r="P40" i="81"/>
  <c r="X40" i="81" s="1"/>
  <c r="J40" i="81"/>
  <c r="H40" i="81"/>
  <c r="D40" i="81"/>
  <c r="L40" i="81" s="1"/>
  <c r="B40" i="81"/>
  <c r="X39" i="81"/>
  <c r="Z39" i="81" s="1"/>
  <c r="N39" i="81"/>
  <c r="L39" i="81"/>
  <c r="B39" i="81"/>
  <c r="T38" i="81"/>
  <c r="P38" i="81"/>
  <c r="X38" i="81" s="1"/>
  <c r="H38" i="81"/>
  <c r="D38" i="81"/>
  <c r="L38" i="81" s="1"/>
  <c r="N38" i="81" s="1"/>
  <c r="B38" i="81"/>
  <c r="Z37" i="81"/>
  <c r="X37" i="81"/>
  <c r="N37" i="81"/>
  <c r="L37" i="81"/>
  <c r="B37" i="81"/>
  <c r="Z36" i="81"/>
  <c r="X36" i="81"/>
  <c r="N36" i="81"/>
  <c r="L36" i="81"/>
  <c r="B36" i="81"/>
  <c r="Z35" i="81"/>
  <c r="X35" i="81"/>
  <c r="N35" i="81"/>
  <c r="L35" i="81"/>
  <c r="B35" i="81"/>
  <c r="Z34" i="81"/>
  <c r="X34" i="81"/>
  <c r="N34" i="81"/>
  <c r="L34" i="81"/>
  <c r="J34" i="81"/>
  <c r="B34" i="81"/>
  <c r="Z33" i="81"/>
  <c r="X33" i="81"/>
  <c r="N33" i="81"/>
  <c r="L33" i="81"/>
  <c r="B33" i="81"/>
  <c r="Z32" i="81"/>
  <c r="X32" i="81"/>
  <c r="T32" i="81"/>
  <c r="P32" i="81"/>
  <c r="L32" i="81"/>
  <c r="N32" i="81" s="1"/>
  <c r="H32" i="81"/>
  <c r="D32" i="81"/>
  <c r="B32" i="81"/>
  <c r="Z31" i="81"/>
  <c r="X31" i="81"/>
  <c r="L31" i="81"/>
  <c r="N31" i="81" s="1"/>
  <c r="J31" i="81"/>
  <c r="B31" i="81"/>
  <c r="X30" i="81"/>
  <c r="Z30" i="81" s="1"/>
  <c r="L30" i="81"/>
  <c r="N30" i="81" s="1"/>
  <c r="B30" i="81"/>
  <c r="Z29" i="81"/>
  <c r="X29" i="81"/>
  <c r="L29" i="81"/>
  <c r="N29" i="81" s="1"/>
  <c r="J29" i="81"/>
  <c r="B29" i="81"/>
  <c r="Z28" i="81"/>
  <c r="X28" i="81"/>
  <c r="N28" i="81"/>
  <c r="L28" i="81"/>
  <c r="B28" i="81"/>
  <c r="Z27" i="81"/>
  <c r="X27" i="81"/>
  <c r="L27" i="81"/>
  <c r="N27" i="81" s="1"/>
  <c r="J27" i="81"/>
  <c r="B27" i="81"/>
  <c r="X26" i="81"/>
  <c r="Z26" i="81" s="1"/>
  <c r="R26" i="81"/>
  <c r="L26" i="81"/>
  <c r="N26" i="81" s="1"/>
  <c r="B26" i="81"/>
  <c r="Z25" i="81"/>
  <c r="X25" i="81"/>
  <c r="L25" i="81"/>
  <c r="N25" i="81" s="1"/>
  <c r="J25" i="81"/>
  <c r="B25" i="81"/>
  <c r="Z24" i="81"/>
  <c r="X24" i="81"/>
  <c r="N24" i="81"/>
  <c r="L24" i="81"/>
  <c r="B24" i="81"/>
  <c r="T23" i="81"/>
  <c r="P23" i="81"/>
  <c r="X23" i="81" s="1"/>
  <c r="Z23" i="81" s="1"/>
  <c r="H23" i="81"/>
  <c r="D23" i="81"/>
  <c r="L23" i="81" s="1"/>
  <c r="N23" i="81" s="1"/>
  <c r="B23" i="81"/>
  <c r="T22" i="81"/>
  <c r="P22" i="81"/>
  <c r="X22" i="81" s="1"/>
  <c r="H22" i="81"/>
  <c r="D22" i="81"/>
  <c r="L22" i="81" s="1"/>
  <c r="N22" i="81" s="1"/>
  <c r="X18" i="81"/>
  <c r="Z18" i="81" s="1"/>
  <c r="L18" i="81"/>
  <c r="N18" i="81" s="1"/>
  <c r="B18" i="81"/>
  <c r="X17" i="81"/>
  <c r="Z17" i="81" s="1"/>
  <c r="N17" i="81"/>
  <c r="L17" i="81"/>
  <c r="B17" i="81"/>
  <c r="T16" i="81"/>
  <c r="P16" i="81"/>
  <c r="X16" i="81" s="1"/>
  <c r="Z16" i="81" s="1"/>
  <c r="H16" i="81"/>
  <c r="N16" i="81" s="1"/>
  <c r="D16" i="81"/>
  <c r="L16" i="81" s="1"/>
  <c r="Z14" i="81"/>
  <c r="X14" i="81"/>
  <c r="T14" i="81"/>
  <c r="P14" i="81"/>
  <c r="L14" i="81"/>
  <c r="N14" i="81" s="1"/>
  <c r="H14" i="81"/>
  <c r="D14" i="81"/>
  <c r="B14" i="81"/>
  <c r="T13" i="81"/>
  <c r="P13" i="81"/>
  <c r="P12" i="81" s="1"/>
  <c r="R43" i="81" s="1"/>
  <c r="H13" i="81"/>
  <c r="D13" i="81"/>
  <c r="B13" i="81"/>
  <c r="H12" i="81"/>
  <c r="J64" i="81" s="1"/>
  <c r="D6" i="81"/>
  <c r="D4" i="81"/>
  <c r="X70" i="80"/>
  <c r="Z70" i="80" s="1"/>
  <c r="N70" i="80"/>
  <c r="L70" i="80"/>
  <c r="R68" i="80"/>
  <c r="P68" i="80"/>
  <c r="Z66" i="80"/>
  <c r="T66" i="80"/>
  <c r="R66" i="80"/>
  <c r="P66" i="80"/>
  <c r="X66" i="80" s="1"/>
  <c r="H66" i="80"/>
  <c r="N66" i="80" s="1"/>
  <c r="D66" i="80"/>
  <c r="L66" i="80" s="1"/>
  <c r="Z64" i="80"/>
  <c r="X64" i="80"/>
  <c r="L64" i="80"/>
  <c r="N64" i="80" s="1"/>
  <c r="B64" i="80"/>
  <c r="T63" i="80"/>
  <c r="P63" i="80"/>
  <c r="L63" i="80"/>
  <c r="N63" i="80" s="1"/>
  <c r="H63" i="80"/>
  <c r="D63" i="80"/>
  <c r="B63" i="80"/>
  <c r="X62" i="80"/>
  <c r="Z62" i="80" s="1"/>
  <c r="L62" i="80"/>
  <c r="N62" i="80" s="1"/>
  <c r="B62" i="80"/>
  <c r="T61" i="80"/>
  <c r="P61" i="80"/>
  <c r="X61" i="80" s="1"/>
  <c r="H61" i="80"/>
  <c r="D61" i="80"/>
  <c r="B61" i="80"/>
  <c r="Z60" i="80"/>
  <c r="X60" i="80"/>
  <c r="R60" i="80"/>
  <c r="N60" i="80"/>
  <c r="L60" i="80"/>
  <c r="B60" i="80"/>
  <c r="Z59" i="80"/>
  <c r="X59" i="80"/>
  <c r="L59" i="80"/>
  <c r="N59" i="80" s="1"/>
  <c r="B59" i="80"/>
  <c r="X58" i="80"/>
  <c r="Z58" i="80" s="1"/>
  <c r="R58" i="80"/>
  <c r="N58" i="80"/>
  <c r="L58" i="80"/>
  <c r="B58" i="80"/>
  <c r="Z57" i="80"/>
  <c r="X57" i="80"/>
  <c r="N57" i="80"/>
  <c r="L57" i="80"/>
  <c r="B57" i="80"/>
  <c r="Z56" i="80"/>
  <c r="X56" i="80"/>
  <c r="R56" i="80"/>
  <c r="N56" i="80"/>
  <c r="L56" i="80"/>
  <c r="B56" i="80"/>
  <c r="T55" i="80"/>
  <c r="P55" i="80"/>
  <c r="X55" i="80" s="1"/>
  <c r="Z55" i="80" s="1"/>
  <c r="H55" i="80"/>
  <c r="D55" i="80"/>
  <c r="L55" i="80" s="1"/>
  <c r="N55" i="80" s="1"/>
  <c r="B55" i="80"/>
  <c r="X54" i="80"/>
  <c r="Z54" i="80" s="1"/>
  <c r="L54" i="80"/>
  <c r="N54" i="80" s="1"/>
  <c r="B54" i="80"/>
  <c r="X53" i="80"/>
  <c r="Z53" i="80" s="1"/>
  <c r="N53" i="80"/>
  <c r="L53" i="80"/>
  <c r="B53" i="80"/>
  <c r="Z52" i="80"/>
  <c r="X52" i="80"/>
  <c r="N52" i="80"/>
  <c r="L52" i="80"/>
  <c r="B52" i="80"/>
  <c r="T51" i="80"/>
  <c r="P51" i="80"/>
  <c r="L51" i="80"/>
  <c r="N51" i="80" s="1"/>
  <c r="H51" i="80"/>
  <c r="D51" i="80"/>
  <c r="B51" i="80"/>
  <c r="X50" i="80"/>
  <c r="Z50" i="80" s="1"/>
  <c r="N50" i="80"/>
  <c r="L50" i="80"/>
  <c r="B50" i="80"/>
  <c r="T49" i="80"/>
  <c r="Z49" i="80" s="1"/>
  <c r="R49" i="80"/>
  <c r="P49" i="80"/>
  <c r="X49" i="80" s="1"/>
  <c r="H49" i="80"/>
  <c r="D49" i="80"/>
  <c r="B49" i="80"/>
  <c r="Z48" i="80"/>
  <c r="X48" i="80"/>
  <c r="N48" i="80"/>
  <c r="L48" i="80"/>
  <c r="B48" i="80"/>
  <c r="Z47" i="80"/>
  <c r="X47" i="80"/>
  <c r="N47" i="80"/>
  <c r="L47" i="80"/>
  <c r="B47" i="80"/>
  <c r="Z46" i="80"/>
  <c r="X46" i="80"/>
  <c r="R46" i="80"/>
  <c r="N46" i="80"/>
  <c r="L46" i="80"/>
  <c r="B46" i="80"/>
  <c r="X45" i="80"/>
  <c r="Z45" i="80" s="1"/>
  <c r="T45" i="80"/>
  <c r="P45" i="80"/>
  <c r="N45" i="80"/>
  <c r="H45" i="80"/>
  <c r="D45" i="80"/>
  <c r="L45" i="80" s="1"/>
  <c r="B45" i="80"/>
  <c r="Z44" i="80"/>
  <c r="X44" i="80"/>
  <c r="N44" i="80"/>
  <c r="L44" i="80"/>
  <c r="B44" i="80"/>
  <c r="T43" i="80"/>
  <c r="P43" i="80"/>
  <c r="L43" i="80"/>
  <c r="N43" i="80" s="1"/>
  <c r="H43" i="80"/>
  <c r="D43" i="80"/>
  <c r="B43" i="80"/>
  <c r="X42" i="80"/>
  <c r="Z42" i="80" s="1"/>
  <c r="L42" i="80"/>
  <c r="N42" i="80" s="1"/>
  <c r="B42" i="80"/>
  <c r="T41" i="80"/>
  <c r="Z41" i="80" s="1"/>
  <c r="R41" i="80"/>
  <c r="P41" i="80"/>
  <c r="X41" i="80" s="1"/>
  <c r="H41" i="80"/>
  <c r="D41" i="80"/>
  <c r="B41" i="80"/>
  <c r="Z40" i="80"/>
  <c r="X40" i="80"/>
  <c r="N40" i="80"/>
  <c r="L40" i="80"/>
  <c r="B40" i="80"/>
  <c r="Z39" i="80"/>
  <c r="T39" i="80"/>
  <c r="P39" i="80"/>
  <c r="X39" i="80" s="1"/>
  <c r="L39" i="80"/>
  <c r="N39" i="80" s="1"/>
  <c r="H39" i="80"/>
  <c r="D39" i="80"/>
  <c r="B39" i="80"/>
  <c r="X38" i="80"/>
  <c r="Z38" i="80" s="1"/>
  <c r="N38" i="80"/>
  <c r="L38" i="80"/>
  <c r="B38" i="80"/>
  <c r="X37" i="80"/>
  <c r="Z37" i="80" s="1"/>
  <c r="T37" i="80"/>
  <c r="P37" i="80"/>
  <c r="L37" i="80"/>
  <c r="H37" i="80"/>
  <c r="D37" i="80"/>
  <c r="B37" i="80"/>
  <c r="Z36" i="80"/>
  <c r="X36" i="80"/>
  <c r="N36" i="80"/>
  <c r="L36" i="80"/>
  <c r="B36" i="80"/>
  <c r="Z35" i="80"/>
  <c r="X35" i="80"/>
  <c r="N35" i="80"/>
  <c r="L35" i="80"/>
  <c r="B35" i="80"/>
  <c r="X34" i="80"/>
  <c r="Z34" i="80" s="1"/>
  <c r="L34" i="80"/>
  <c r="N34" i="80" s="1"/>
  <c r="B34" i="80"/>
  <c r="Z33" i="80"/>
  <c r="X33" i="80"/>
  <c r="N33" i="80"/>
  <c r="L33" i="80"/>
  <c r="B33" i="80"/>
  <c r="Z32" i="80"/>
  <c r="X32" i="80"/>
  <c r="N32" i="80"/>
  <c r="L32" i="80"/>
  <c r="B32" i="80"/>
  <c r="T31" i="80"/>
  <c r="P31" i="80"/>
  <c r="H31" i="80"/>
  <c r="D31" i="80"/>
  <c r="L31" i="80" s="1"/>
  <c r="B31" i="80"/>
  <c r="Z30" i="80"/>
  <c r="X30" i="80"/>
  <c r="R30" i="80"/>
  <c r="N30" i="80"/>
  <c r="L30" i="80"/>
  <c r="B30" i="80"/>
  <c r="Z29" i="80"/>
  <c r="X29" i="80"/>
  <c r="N29" i="80"/>
  <c r="L29" i="80"/>
  <c r="B29" i="80"/>
  <c r="Z28" i="80"/>
  <c r="X28" i="80"/>
  <c r="R28" i="80"/>
  <c r="N28" i="80"/>
  <c r="L28" i="80"/>
  <c r="B28" i="80"/>
  <c r="Z27" i="80"/>
  <c r="X27" i="80"/>
  <c r="L27" i="80"/>
  <c r="N27" i="80" s="1"/>
  <c r="B27" i="80"/>
  <c r="Z26" i="80"/>
  <c r="X26" i="80"/>
  <c r="N26" i="80"/>
  <c r="L26" i="80"/>
  <c r="B26" i="80"/>
  <c r="X25" i="80"/>
  <c r="Z25" i="80" s="1"/>
  <c r="L25" i="80"/>
  <c r="N25" i="80" s="1"/>
  <c r="B25" i="80"/>
  <c r="Z24" i="80"/>
  <c r="X24" i="80"/>
  <c r="N24" i="80"/>
  <c r="L24" i="80"/>
  <c r="B24" i="80"/>
  <c r="Z23" i="80"/>
  <c r="T23" i="80"/>
  <c r="P23" i="80"/>
  <c r="X23" i="80" s="1"/>
  <c r="H23" i="80"/>
  <c r="D23" i="80"/>
  <c r="L23" i="80" s="1"/>
  <c r="N23" i="80" s="1"/>
  <c r="B23" i="80"/>
  <c r="T22" i="80"/>
  <c r="P22" i="80"/>
  <c r="X22" i="80" s="1"/>
  <c r="H22" i="80"/>
  <c r="D22" i="80"/>
  <c r="L22" i="80" s="1"/>
  <c r="N22" i="80" s="1"/>
  <c r="P20" i="80"/>
  <c r="X18" i="80"/>
  <c r="Z18" i="80" s="1"/>
  <c r="L18" i="80"/>
  <c r="N18" i="80" s="1"/>
  <c r="B18" i="80"/>
  <c r="X17" i="80"/>
  <c r="Z17" i="80" s="1"/>
  <c r="L17" i="80"/>
  <c r="N17" i="80" s="1"/>
  <c r="B17" i="80"/>
  <c r="Z16" i="80"/>
  <c r="T16" i="80"/>
  <c r="P16" i="80"/>
  <c r="X16" i="80" s="1"/>
  <c r="H16" i="80"/>
  <c r="N16" i="80" s="1"/>
  <c r="D16" i="80"/>
  <c r="L16" i="80" s="1"/>
  <c r="Z14" i="80"/>
  <c r="X14" i="80"/>
  <c r="T14" i="80"/>
  <c r="P14" i="80"/>
  <c r="L14" i="80"/>
  <c r="N14" i="80" s="1"/>
  <c r="H14" i="80"/>
  <c r="D14" i="80"/>
  <c r="B14" i="80"/>
  <c r="X13" i="80"/>
  <c r="T13" i="80"/>
  <c r="P13" i="80"/>
  <c r="P12" i="80" s="1"/>
  <c r="R48" i="80" s="1"/>
  <c r="H13" i="80"/>
  <c r="D13" i="80"/>
  <c r="B13" i="80"/>
  <c r="H12" i="80"/>
  <c r="D6" i="80"/>
  <c r="D4" i="80"/>
  <c r="Z66" i="79"/>
  <c r="X66" i="79"/>
  <c r="N66" i="79"/>
  <c r="L66" i="79"/>
  <c r="D64" i="79"/>
  <c r="Z62" i="79"/>
  <c r="T62" i="79"/>
  <c r="P62" i="79"/>
  <c r="X62" i="79" s="1"/>
  <c r="H62" i="79"/>
  <c r="N62" i="79" s="1"/>
  <c r="D62" i="79"/>
  <c r="L62" i="79" s="1"/>
  <c r="B62" i="79"/>
  <c r="T61" i="79"/>
  <c r="P61" i="79"/>
  <c r="H61" i="79"/>
  <c r="F61" i="79"/>
  <c r="D61" i="79"/>
  <c r="B61" i="79"/>
  <c r="T60" i="79"/>
  <c r="P60" i="79"/>
  <c r="H60" i="79"/>
  <c r="N60" i="79" s="1"/>
  <c r="D60" i="79"/>
  <c r="B60" i="79"/>
  <c r="X59" i="79"/>
  <c r="Z59" i="79" s="1"/>
  <c r="V59" i="79"/>
  <c r="T59" i="79"/>
  <c r="P59" i="79"/>
  <c r="L59" i="79"/>
  <c r="H59" i="79"/>
  <c r="D59" i="79"/>
  <c r="B59" i="79"/>
  <c r="Z58" i="79"/>
  <c r="X58" i="79"/>
  <c r="T58" i="79"/>
  <c r="P58" i="79"/>
  <c r="H58" i="79"/>
  <c r="N58" i="79" s="1"/>
  <c r="D58" i="79"/>
  <c r="B58" i="79"/>
  <c r="D57" i="79"/>
  <c r="Z55" i="79"/>
  <c r="X55" i="79"/>
  <c r="L55" i="79"/>
  <c r="N55" i="79" s="1"/>
  <c r="B55" i="79"/>
  <c r="T54" i="79"/>
  <c r="P54" i="79"/>
  <c r="H54" i="79"/>
  <c r="F54" i="79"/>
  <c r="D54" i="79"/>
  <c r="B54" i="79"/>
  <c r="X53" i="79"/>
  <c r="Z53" i="79" s="1"/>
  <c r="L53" i="79"/>
  <c r="N53" i="79" s="1"/>
  <c r="B53" i="79"/>
  <c r="X52" i="79"/>
  <c r="Z52" i="79" s="1"/>
  <c r="N52" i="79"/>
  <c r="L52" i="79"/>
  <c r="B52" i="79"/>
  <c r="X51" i="79"/>
  <c r="T51" i="79"/>
  <c r="P51" i="79"/>
  <c r="L51" i="79"/>
  <c r="N51" i="79" s="1"/>
  <c r="H51" i="79"/>
  <c r="D51" i="79"/>
  <c r="B51" i="79"/>
  <c r="X50" i="79"/>
  <c r="Z50" i="79" s="1"/>
  <c r="L50" i="79"/>
  <c r="N50" i="79" s="1"/>
  <c r="B50" i="79"/>
  <c r="T49" i="79"/>
  <c r="P49" i="79"/>
  <c r="H49" i="79"/>
  <c r="F49" i="79"/>
  <c r="D49" i="79"/>
  <c r="B49" i="79"/>
  <c r="Z48" i="79"/>
  <c r="X48" i="79"/>
  <c r="N48" i="79"/>
  <c r="L48" i="79"/>
  <c r="F48" i="79"/>
  <c r="B48" i="79"/>
  <c r="Z47" i="79"/>
  <c r="T47" i="79"/>
  <c r="P47" i="79"/>
  <c r="X47" i="79" s="1"/>
  <c r="N47" i="79"/>
  <c r="L47" i="79"/>
  <c r="H47" i="79"/>
  <c r="F47" i="79"/>
  <c r="D47" i="79"/>
  <c r="B47" i="79"/>
  <c r="X46" i="79"/>
  <c r="Z46" i="79" s="1"/>
  <c r="L46" i="79"/>
  <c r="N46" i="79" s="1"/>
  <c r="B46" i="79"/>
  <c r="Z45" i="79"/>
  <c r="X45" i="79"/>
  <c r="L45" i="79"/>
  <c r="N45" i="79" s="1"/>
  <c r="B45" i="79"/>
  <c r="X44" i="79"/>
  <c r="T44" i="79"/>
  <c r="P44" i="79"/>
  <c r="H44" i="79"/>
  <c r="N44" i="79" s="1"/>
  <c r="F44" i="79"/>
  <c r="D44" i="79"/>
  <c r="L44" i="79" s="1"/>
  <c r="B44" i="79"/>
  <c r="Z43" i="79"/>
  <c r="X43" i="79"/>
  <c r="N43" i="79"/>
  <c r="L43" i="79"/>
  <c r="B43" i="79"/>
  <c r="T42" i="79"/>
  <c r="Z42" i="79" s="1"/>
  <c r="P42" i="79"/>
  <c r="X42" i="79" s="1"/>
  <c r="N42" i="79"/>
  <c r="L42" i="79"/>
  <c r="H42" i="79"/>
  <c r="D42" i="79"/>
  <c r="B42" i="79"/>
  <c r="Z41" i="79"/>
  <c r="X41" i="79"/>
  <c r="N41" i="79"/>
  <c r="L41" i="79"/>
  <c r="B41" i="79"/>
  <c r="V40" i="79"/>
  <c r="T40" i="79"/>
  <c r="Z40" i="79" s="1"/>
  <c r="P40" i="79"/>
  <c r="X40" i="79" s="1"/>
  <c r="L40" i="79"/>
  <c r="J40" i="79"/>
  <c r="H40" i="79"/>
  <c r="N40" i="79" s="1"/>
  <c r="D40" i="79"/>
  <c r="B40" i="79"/>
  <c r="X39" i="79"/>
  <c r="Z39" i="79" s="1"/>
  <c r="N39" i="79"/>
  <c r="L39" i="79"/>
  <c r="F39" i="79"/>
  <c r="B39" i="79"/>
  <c r="Z38" i="79"/>
  <c r="X38" i="79"/>
  <c r="N38" i="79"/>
  <c r="L38" i="79"/>
  <c r="B38" i="79"/>
  <c r="Z37" i="79"/>
  <c r="X37" i="79"/>
  <c r="L37" i="79"/>
  <c r="N37" i="79" s="1"/>
  <c r="F37" i="79"/>
  <c r="B37" i="79"/>
  <c r="T36" i="79"/>
  <c r="P36" i="79"/>
  <c r="X36" i="79" s="1"/>
  <c r="Z36" i="79" s="1"/>
  <c r="H36" i="79"/>
  <c r="N36" i="79" s="1"/>
  <c r="F36" i="79"/>
  <c r="D36" i="79"/>
  <c r="L36" i="79" s="1"/>
  <c r="B36" i="79"/>
  <c r="Z35" i="79"/>
  <c r="X35" i="79"/>
  <c r="V35" i="79"/>
  <c r="N35" i="79"/>
  <c r="L35" i="79"/>
  <c r="B35" i="79"/>
  <c r="Z34" i="79"/>
  <c r="X34" i="79"/>
  <c r="V34" i="79"/>
  <c r="N34" i="79"/>
  <c r="L34" i="79"/>
  <c r="J34" i="79"/>
  <c r="F34" i="79"/>
  <c r="B34" i="79"/>
  <c r="Z33" i="79"/>
  <c r="X33" i="79"/>
  <c r="N33" i="79"/>
  <c r="L33" i="79"/>
  <c r="J33" i="79"/>
  <c r="B33" i="79"/>
  <c r="Z32" i="79"/>
  <c r="X32" i="79"/>
  <c r="N32" i="79"/>
  <c r="L32" i="79"/>
  <c r="B32" i="79"/>
  <c r="Z31" i="79"/>
  <c r="X31" i="79"/>
  <c r="N31" i="79"/>
  <c r="L31" i="79"/>
  <c r="B31" i="79"/>
  <c r="Z30" i="79"/>
  <c r="X30" i="79"/>
  <c r="N30" i="79"/>
  <c r="L30" i="79"/>
  <c r="B30" i="79"/>
  <c r="X29" i="79"/>
  <c r="Z29" i="79" s="1"/>
  <c r="L29" i="79"/>
  <c r="N29" i="79" s="1"/>
  <c r="J29" i="79"/>
  <c r="B29" i="79"/>
  <c r="X28" i="79"/>
  <c r="Z28" i="79" s="1"/>
  <c r="T28" i="79"/>
  <c r="P28" i="79"/>
  <c r="L28" i="79"/>
  <c r="H28" i="79"/>
  <c r="N28" i="79" s="1"/>
  <c r="D28" i="79"/>
  <c r="B28" i="79"/>
  <c r="Z27" i="79"/>
  <c r="T27" i="79"/>
  <c r="P27" i="79"/>
  <c r="X27" i="79" s="1"/>
  <c r="L27" i="79"/>
  <c r="N27" i="79" s="1"/>
  <c r="H27" i="79"/>
  <c r="F27" i="79"/>
  <c r="D27" i="79"/>
  <c r="D25" i="79"/>
  <c r="Z23" i="79"/>
  <c r="X23" i="79"/>
  <c r="N23" i="79"/>
  <c r="L23" i="79"/>
  <c r="F23" i="79"/>
  <c r="B23" i="79"/>
  <c r="X22" i="79"/>
  <c r="Z22" i="79" s="1"/>
  <c r="L22" i="79"/>
  <c r="N22" i="79" s="1"/>
  <c r="B22" i="79"/>
  <c r="Z21" i="79"/>
  <c r="X21" i="79"/>
  <c r="L21" i="79"/>
  <c r="N21" i="79" s="1"/>
  <c r="J21" i="79"/>
  <c r="B21" i="79"/>
  <c r="Z20" i="79"/>
  <c r="X20" i="79"/>
  <c r="V20" i="79"/>
  <c r="L20" i="79"/>
  <c r="N20" i="79" s="1"/>
  <c r="B20" i="79"/>
  <c r="Z19" i="79"/>
  <c r="X19" i="79"/>
  <c r="L19" i="79"/>
  <c r="N19" i="79" s="1"/>
  <c r="B19" i="79"/>
  <c r="V18" i="79"/>
  <c r="T18" i="79"/>
  <c r="P18" i="79"/>
  <c r="X18" i="79" s="1"/>
  <c r="J18" i="79"/>
  <c r="H18" i="79"/>
  <c r="F18" i="79"/>
  <c r="D18" i="79"/>
  <c r="X16" i="79"/>
  <c r="Z16" i="79" s="1"/>
  <c r="T16" i="79"/>
  <c r="P16" i="79"/>
  <c r="L16" i="79"/>
  <c r="H16" i="79"/>
  <c r="N16" i="79" s="1"/>
  <c r="D16" i="79"/>
  <c r="B16" i="79"/>
  <c r="Z15" i="79"/>
  <c r="X15" i="79"/>
  <c r="T15" i="79"/>
  <c r="P15" i="79"/>
  <c r="N15" i="79"/>
  <c r="L15" i="79"/>
  <c r="H15" i="79"/>
  <c r="D15" i="79"/>
  <c r="B15" i="79"/>
  <c r="T14" i="79"/>
  <c r="Z14" i="79" s="1"/>
  <c r="P14" i="79"/>
  <c r="X14" i="79" s="1"/>
  <c r="L14" i="79"/>
  <c r="N14" i="79" s="1"/>
  <c r="H14" i="79"/>
  <c r="D14" i="79"/>
  <c r="B14" i="79"/>
  <c r="Z13" i="79"/>
  <c r="T13" i="79"/>
  <c r="P13" i="79"/>
  <c r="X13" i="79" s="1"/>
  <c r="L13" i="79"/>
  <c r="H13" i="79"/>
  <c r="D13" i="79"/>
  <c r="D12" i="79" s="1"/>
  <c r="B13" i="79"/>
  <c r="T12" i="79"/>
  <c r="H12" i="79"/>
  <c r="J66" i="79" s="1"/>
  <c r="D6" i="79"/>
  <c r="D4" i="79"/>
  <c r="Z102" i="77"/>
  <c r="X102" i="77"/>
  <c r="N102" i="77"/>
  <c r="L102" i="77"/>
  <c r="X98" i="77"/>
  <c r="T98" i="77"/>
  <c r="Z98" i="77" s="1"/>
  <c r="P98" i="77"/>
  <c r="J98" i="77"/>
  <c r="H98" i="77"/>
  <c r="D98" i="77"/>
  <c r="B98" i="77"/>
  <c r="T97" i="77"/>
  <c r="Z97" i="77" s="1"/>
  <c r="P97" i="77"/>
  <c r="X97" i="77" s="1"/>
  <c r="N97" i="77"/>
  <c r="L97" i="77"/>
  <c r="J97" i="77"/>
  <c r="H97" i="77"/>
  <c r="D97" i="77"/>
  <c r="B97" i="77"/>
  <c r="T96" i="77"/>
  <c r="Z96" i="77" s="1"/>
  <c r="P96" i="77"/>
  <c r="X96" i="77" s="1"/>
  <c r="N96" i="77"/>
  <c r="L96" i="77"/>
  <c r="H96" i="77"/>
  <c r="D96" i="77"/>
  <c r="D95" i="77" s="1"/>
  <c r="B96" i="77"/>
  <c r="P95" i="77"/>
  <c r="X93" i="77"/>
  <c r="Z93" i="77" s="1"/>
  <c r="L93" i="77"/>
  <c r="N93" i="77" s="1"/>
  <c r="J93" i="77"/>
  <c r="B93" i="77"/>
  <c r="X92" i="77"/>
  <c r="T92" i="77"/>
  <c r="Z92" i="77" s="1"/>
  <c r="P92" i="77"/>
  <c r="H92" i="77"/>
  <c r="D92" i="77"/>
  <c r="B92" i="77"/>
  <c r="Z91" i="77"/>
  <c r="X91" i="77"/>
  <c r="N91" i="77"/>
  <c r="L91" i="77"/>
  <c r="B91" i="77"/>
  <c r="T90" i="77"/>
  <c r="X90" i="77" s="1"/>
  <c r="P90" i="77"/>
  <c r="N90" i="77"/>
  <c r="H90" i="77"/>
  <c r="D90" i="77"/>
  <c r="L90" i="77" s="1"/>
  <c r="B90" i="77"/>
  <c r="Z89" i="77"/>
  <c r="X89" i="77"/>
  <c r="L89" i="77"/>
  <c r="N89" i="77" s="1"/>
  <c r="B89" i="77"/>
  <c r="X88" i="77"/>
  <c r="Z88" i="77" s="1"/>
  <c r="T88" i="77"/>
  <c r="P88" i="77"/>
  <c r="H88" i="77"/>
  <c r="N88" i="77" s="1"/>
  <c r="D88" i="77"/>
  <c r="L88" i="77" s="1"/>
  <c r="B88" i="77"/>
  <c r="Z87" i="77"/>
  <c r="X87" i="77"/>
  <c r="N87" i="77"/>
  <c r="L87" i="77"/>
  <c r="B87" i="77"/>
  <c r="X86" i="77"/>
  <c r="Z86" i="77" s="1"/>
  <c r="L86" i="77"/>
  <c r="N86" i="77" s="1"/>
  <c r="B86" i="77"/>
  <c r="T85" i="77"/>
  <c r="P85" i="77"/>
  <c r="X85" i="77" s="1"/>
  <c r="Z85" i="77" s="1"/>
  <c r="N85" i="77"/>
  <c r="L85" i="77"/>
  <c r="H85" i="77"/>
  <c r="D85" i="77"/>
  <c r="B85" i="77"/>
  <c r="Z84" i="77"/>
  <c r="X84" i="77"/>
  <c r="N84" i="77"/>
  <c r="L84" i="77"/>
  <c r="B84" i="77"/>
  <c r="T83" i="77"/>
  <c r="Z83" i="77" s="1"/>
  <c r="P83" i="77"/>
  <c r="X83" i="77" s="1"/>
  <c r="N83" i="77"/>
  <c r="L83" i="77"/>
  <c r="J83" i="77"/>
  <c r="H83" i="77"/>
  <c r="D83" i="77"/>
  <c r="B83" i="77"/>
  <c r="X82" i="77"/>
  <c r="Z82" i="77" s="1"/>
  <c r="L82" i="77"/>
  <c r="N82" i="77" s="1"/>
  <c r="J82" i="77"/>
  <c r="B82" i="77"/>
  <c r="T81" i="77"/>
  <c r="P81" i="77"/>
  <c r="X81" i="77" s="1"/>
  <c r="Z81" i="77" s="1"/>
  <c r="H81" i="77"/>
  <c r="D81" i="77"/>
  <c r="B81" i="77"/>
  <c r="X80" i="77"/>
  <c r="Z80" i="77" s="1"/>
  <c r="N80" i="77"/>
  <c r="L80" i="77"/>
  <c r="B80" i="77"/>
  <c r="Z79" i="77"/>
  <c r="X79" i="77"/>
  <c r="T79" i="77"/>
  <c r="P79" i="77"/>
  <c r="H79" i="77"/>
  <c r="D79" i="77"/>
  <c r="L79" i="77" s="1"/>
  <c r="N79" i="77" s="1"/>
  <c r="B79" i="77"/>
  <c r="X78" i="77"/>
  <c r="Z78" i="77" s="1"/>
  <c r="N78" i="77"/>
  <c r="L78" i="77"/>
  <c r="B78" i="77"/>
  <c r="X77" i="77"/>
  <c r="Z77" i="77" s="1"/>
  <c r="T77" i="77"/>
  <c r="P77" i="77"/>
  <c r="H77" i="77"/>
  <c r="N77" i="77" s="1"/>
  <c r="D77" i="77"/>
  <c r="L77" i="77" s="1"/>
  <c r="B77" i="77"/>
  <c r="Z76" i="77"/>
  <c r="X76" i="77"/>
  <c r="L76" i="77"/>
  <c r="N76" i="77" s="1"/>
  <c r="B76" i="77"/>
  <c r="T75" i="77"/>
  <c r="R75" i="77"/>
  <c r="P75" i="77"/>
  <c r="X75" i="77" s="1"/>
  <c r="H75" i="77"/>
  <c r="D75" i="77"/>
  <c r="L75" i="77" s="1"/>
  <c r="N75" i="77" s="1"/>
  <c r="B75" i="77"/>
  <c r="X74" i="77"/>
  <c r="Z74" i="77" s="1"/>
  <c r="R74" i="77"/>
  <c r="L74" i="77"/>
  <c r="N74" i="77" s="1"/>
  <c r="B74" i="77"/>
  <c r="T73" i="77"/>
  <c r="P73" i="77"/>
  <c r="X73" i="77" s="1"/>
  <c r="Z73" i="77" s="1"/>
  <c r="N73" i="77"/>
  <c r="L73" i="77"/>
  <c r="H73" i="77"/>
  <c r="D73" i="77"/>
  <c r="B73" i="77"/>
  <c r="Z72" i="77"/>
  <c r="X72" i="77"/>
  <c r="N72" i="77"/>
  <c r="L72" i="77"/>
  <c r="B72" i="77"/>
  <c r="T71" i="77"/>
  <c r="Z71" i="77" s="1"/>
  <c r="P71" i="77"/>
  <c r="X71" i="77" s="1"/>
  <c r="L71" i="77"/>
  <c r="N71" i="77" s="1"/>
  <c r="J71" i="77"/>
  <c r="H71" i="77"/>
  <c r="D71" i="77"/>
  <c r="B71" i="77"/>
  <c r="X70" i="77"/>
  <c r="Z70" i="77" s="1"/>
  <c r="L70" i="77"/>
  <c r="N70" i="77" s="1"/>
  <c r="J70" i="77"/>
  <c r="B70" i="77"/>
  <c r="Z69" i="77"/>
  <c r="X69" i="77"/>
  <c r="N69" i="77"/>
  <c r="L69" i="77"/>
  <c r="B69" i="77"/>
  <c r="Z68" i="77"/>
  <c r="X68" i="77"/>
  <c r="L68" i="77"/>
  <c r="N68" i="77" s="1"/>
  <c r="B68" i="77"/>
  <c r="X67" i="77"/>
  <c r="Z67" i="77" s="1"/>
  <c r="R67" i="77"/>
  <c r="N67" i="77"/>
  <c r="L67" i="77"/>
  <c r="B67" i="77"/>
  <c r="T66" i="77"/>
  <c r="P66" i="77"/>
  <c r="X66" i="77" s="1"/>
  <c r="N66" i="77"/>
  <c r="L66" i="77"/>
  <c r="H66" i="77"/>
  <c r="D66" i="77"/>
  <c r="B66" i="77"/>
  <c r="X65" i="77"/>
  <c r="Z65" i="77" s="1"/>
  <c r="L65" i="77"/>
  <c r="N65" i="77" s="1"/>
  <c r="J65" i="77"/>
  <c r="B65" i="77"/>
  <c r="X64" i="77"/>
  <c r="Z64" i="77" s="1"/>
  <c r="N64" i="77"/>
  <c r="L64" i="77"/>
  <c r="B64" i="77"/>
  <c r="Z63" i="77"/>
  <c r="X63" i="77"/>
  <c r="N63" i="77"/>
  <c r="L63" i="77"/>
  <c r="B63" i="77"/>
  <c r="X62" i="77"/>
  <c r="Z62" i="77" s="1"/>
  <c r="R62" i="77"/>
  <c r="L62" i="77"/>
  <c r="N62" i="77" s="1"/>
  <c r="B62" i="77"/>
  <c r="X61" i="77"/>
  <c r="Z61" i="77" s="1"/>
  <c r="L61" i="77"/>
  <c r="N61" i="77" s="1"/>
  <c r="J61" i="77"/>
  <c r="B61" i="77"/>
  <c r="X60" i="77"/>
  <c r="Z60" i="77" s="1"/>
  <c r="N60" i="77"/>
  <c r="L60" i="77"/>
  <c r="B60" i="77"/>
  <c r="Z59" i="77"/>
  <c r="X59" i="77"/>
  <c r="N59" i="77"/>
  <c r="L59" i="77"/>
  <c r="B59" i="77"/>
  <c r="X58" i="77"/>
  <c r="Z58" i="77" s="1"/>
  <c r="L58" i="77"/>
  <c r="N58" i="77" s="1"/>
  <c r="B58" i="77"/>
  <c r="X57" i="77"/>
  <c r="Z57" i="77" s="1"/>
  <c r="L57" i="77"/>
  <c r="N57" i="77" s="1"/>
  <c r="J57" i="77"/>
  <c r="B57" i="77"/>
  <c r="X56" i="77"/>
  <c r="T56" i="77"/>
  <c r="Z56" i="77" s="1"/>
  <c r="P56" i="77"/>
  <c r="J56" i="77"/>
  <c r="H56" i="77"/>
  <c r="D56" i="77"/>
  <c r="B56" i="77"/>
  <c r="T55" i="77"/>
  <c r="P55" i="77"/>
  <c r="X55" i="77" s="1"/>
  <c r="L55" i="77"/>
  <c r="N55" i="77" s="1"/>
  <c r="J55" i="77"/>
  <c r="H55" i="77"/>
  <c r="D55" i="77"/>
  <c r="Z51" i="77"/>
  <c r="X51" i="77"/>
  <c r="L51" i="77"/>
  <c r="N51" i="77" s="1"/>
  <c r="B51" i="77"/>
  <c r="X50" i="77"/>
  <c r="Z50" i="77" s="1"/>
  <c r="L50" i="77"/>
  <c r="N50" i="77" s="1"/>
  <c r="B50" i="77"/>
  <c r="Z49" i="77"/>
  <c r="X49" i="77"/>
  <c r="N49" i="77"/>
  <c r="L49" i="77"/>
  <c r="B49" i="77"/>
  <c r="Z48" i="77"/>
  <c r="X48" i="77"/>
  <c r="N48" i="77"/>
  <c r="L48" i="77"/>
  <c r="B48" i="77"/>
  <c r="Z47" i="77"/>
  <c r="X47" i="77"/>
  <c r="L47" i="77"/>
  <c r="N47" i="77" s="1"/>
  <c r="B47" i="77"/>
  <c r="X46" i="77"/>
  <c r="Z46" i="77" s="1"/>
  <c r="L46" i="77"/>
  <c r="N46" i="77" s="1"/>
  <c r="B46" i="77"/>
  <c r="Z45" i="77"/>
  <c r="X45" i="77"/>
  <c r="N45" i="77"/>
  <c r="L45" i="77"/>
  <c r="B45" i="77"/>
  <c r="Z44" i="77"/>
  <c r="X44" i="77"/>
  <c r="N44" i="77"/>
  <c r="L44" i="77"/>
  <c r="B44" i="77"/>
  <c r="Z43" i="77"/>
  <c r="X43" i="77"/>
  <c r="L43" i="77"/>
  <c r="N43" i="77" s="1"/>
  <c r="B43" i="77"/>
  <c r="X42" i="77"/>
  <c r="Z42" i="77" s="1"/>
  <c r="L42" i="77"/>
  <c r="N42" i="77" s="1"/>
  <c r="B42" i="77"/>
  <c r="X41" i="77"/>
  <c r="Z41" i="77" s="1"/>
  <c r="N41" i="77"/>
  <c r="L41" i="77"/>
  <c r="B41" i="77"/>
  <c r="Z40" i="77"/>
  <c r="X40" i="77"/>
  <c r="N40" i="77"/>
  <c r="L40" i="77"/>
  <c r="B40" i="77"/>
  <c r="Z39" i="77"/>
  <c r="X39" i="77"/>
  <c r="L39" i="77"/>
  <c r="N39" i="77" s="1"/>
  <c r="B39" i="77"/>
  <c r="X38" i="77"/>
  <c r="T38" i="77"/>
  <c r="Z38" i="77" s="1"/>
  <c r="P38" i="77"/>
  <c r="H38" i="77"/>
  <c r="D38" i="77"/>
  <c r="L38" i="77" s="1"/>
  <c r="N38" i="77" s="1"/>
  <c r="Z36" i="77"/>
  <c r="X36" i="77"/>
  <c r="T36" i="77"/>
  <c r="P36" i="77"/>
  <c r="H36" i="77"/>
  <c r="N36" i="77" s="1"/>
  <c r="D36" i="77"/>
  <c r="B36" i="77"/>
  <c r="T35" i="77"/>
  <c r="P35" i="77"/>
  <c r="H35" i="77"/>
  <c r="L35" i="77" s="1"/>
  <c r="N35" i="77" s="1"/>
  <c r="D35" i="77"/>
  <c r="B35" i="77"/>
  <c r="Z34" i="77"/>
  <c r="T34" i="77"/>
  <c r="P34" i="77"/>
  <c r="X34" i="77" s="1"/>
  <c r="N34" i="77"/>
  <c r="L34" i="77"/>
  <c r="H34" i="77"/>
  <c r="D34" i="77"/>
  <c r="B34" i="77"/>
  <c r="Z33" i="77"/>
  <c r="T33" i="77"/>
  <c r="P33" i="77"/>
  <c r="X33" i="77" s="1"/>
  <c r="H33" i="77"/>
  <c r="N33" i="77" s="1"/>
  <c r="D33" i="77"/>
  <c r="L33" i="77" s="1"/>
  <c r="B33" i="77"/>
  <c r="X32" i="77"/>
  <c r="Z32" i="77" s="1"/>
  <c r="T32" i="77"/>
  <c r="P32" i="77"/>
  <c r="H32" i="77"/>
  <c r="D32" i="77"/>
  <c r="B32" i="77"/>
  <c r="T31" i="77"/>
  <c r="P31" i="77"/>
  <c r="N31" i="77"/>
  <c r="H31" i="77"/>
  <c r="L31" i="77" s="1"/>
  <c r="D31" i="77"/>
  <c r="B31" i="77"/>
  <c r="Z30" i="77"/>
  <c r="T30" i="77"/>
  <c r="P30" i="77"/>
  <c r="X30" i="77" s="1"/>
  <c r="N30" i="77"/>
  <c r="L30" i="77"/>
  <c r="H30" i="77"/>
  <c r="D30" i="77"/>
  <c r="B30" i="77"/>
  <c r="T29" i="77"/>
  <c r="P29" i="77"/>
  <c r="X29" i="77" s="1"/>
  <c r="Z29" i="77" s="1"/>
  <c r="H29" i="77"/>
  <c r="D29" i="77"/>
  <c r="L29" i="77" s="1"/>
  <c r="B29" i="77"/>
  <c r="X28" i="77"/>
  <c r="Z28" i="77" s="1"/>
  <c r="T28" i="77"/>
  <c r="P28" i="77"/>
  <c r="H28" i="77"/>
  <c r="D28" i="77"/>
  <c r="B28" i="77"/>
  <c r="X27" i="77"/>
  <c r="T27" i="77"/>
  <c r="P27" i="77"/>
  <c r="H27" i="77"/>
  <c r="L27" i="77" s="1"/>
  <c r="N27" i="77" s="1"/>
  <c r="D27" i="77"/>
  <c r="B27" i="77"/>
  <c r="T26" i="77"/>
  <c r="P26" i="77"/>
  <c r="X26" i="77" s="1"/>
  <c r="Z26" i="77" s="1"/>
  <c r="N26" i="77"/>
  <c r="L26" i="77"/>
  <c r="H26" i="77"/>
  <c r="D26" i="77"/>
  <c r="B26" i="77"/>
  <c r="T25" i="77"/>
  <c r="P25" i="77"/>
  <c r="X25" i="77" s="1"/>
  <c r="Z25" i="77" s="1"/>
  <c r="H25" i="77"/>
  <c r="D25" i="77"/>
  <c r="L25" i="77" s="1"/>
  <c r="B25" i="77"/>
  <c r="X24" i="77"/>
  <c r="Z24" i="77" s="1"/>
  <c r="T24" i="77"/>
  <c r="P24" i="77"/>
  <c r="H24" i="77"/>
  <c r="D24" i="77"/>
  <c r="B24" i="77"/>
  <c r="X23" i="77"/>
  <c r="T23" i="77"/>
  <c r="P23" i="77"/>
  <c r="N23" i="77"/>
  <c r="H23" i="77"/>
  <c r="L23" i="77" s="1"/>
  <c r="D23" i="77"/>
  <c r="B23" i="77"/>
  <c r="T22" i="77"/>
  <c r="P22" i="77"/>
  <c r="X22" i="77" s="1"/>
  <c r="Z22" i="77" s="1"/>
  <c r="N22" i="77"/>
  <c r="L22" i="77"/>
  <c r="H22" i="77"/>
  <c r="D22" i="77"/>
  <c r="B22" i="77"/>
  <c r="T21" i="77"/>
  <c r="P21" i="77"/>
  <c r="X21" i="77" s="1"/>
  <c r="Z21" i="77" s="1"/>
  <c r="H21" i="77"/>
  <c r="D21" i="77"/>
  <c r="L21" i="77" s="1"/>
  <c r="B21" i="77"/>
  <c r="X20" i="77"/>
  <c r="Z20" i="77" s="1"/>
  <c r="T20" i="77"/>
  <c r="P20" i="77"/>
  <c r="H20" i="77"/>
  <c r="D20" i="77"/>
  <c r="B20" i="77"/>
  <c r="T19" i="77"/>
  <c r="P19" i="77"/>
  <c r="H19" i="77"/>
  <c r="L19" i="77" s="1"/>
  <c r="N19" i="77" s="1"/>
  <c r="D19" i="77"/>
  <c r="B19" i="77"/>
  <c r="T18" i="77"/>
  <c r="P18" i="77"/>
  <c r="X18" i="77" s="1"/>
  <c r="Z18" i="77" s="1"/>
  <c r="N18" i="77"/>
  <c r="L18" i="77"/>
  <c r="H18" i="77"/>
  <c r="D18" i="77"/>
  <c r="B18" i="77"/>
  <c r="T17" i="77"/>
  <c r="P17" i="77"/>
  <c r="X17" i="77" s="1"/>
  <c r="Z17" i="77" s="1"/>
  <c r="H17" i="77"/>
  <c r="D17" i="77"/>
  <c r="L17" i="77" s="1"/>
  <c r="B17" i="77"/>
  <c r="X16" i="77"/>
  <c r="Z16" i="77" s="1"/>
  <c r="T16" i="77"/>
  <c r="P16" i="77"/>
  <c r="H16" i="77"/>
  <c r="N16" i="77" s="1"/>
  <c r="D16" i="77"/>
  <c r="B16" i="77"/>
  <c r="T15" i="77"/>
  <c r="P15" i="77"/>
  <c r="H15" i="77"/>
  <c r="L15" i="77" s="1"/>
  <c r="N15" i="77" s="1"/>
  <c r="D15" i="77"/>
  <c r="B15" i="77"/>
  <c r="T14" i="77"/>
  <c r="P14" i="77"/>
  <c r="X14" i="77" s="1"/>
  <c r="Z14" i="77" s="1"/>
  <c r="N14" i="77"/>
  <c r="L14" i="77"/>
  <c r="H14" i="77"/>
  <c r="D14" i="77"/>
  <c r="B14" i="77"/>
  <c r="T13" i="77"/>
  <c r="P13" i="77"/>
  <c r="P12" i="77" s="1"/>
  <c r="R58" i="77" s="1"/>
  <c r="H13" i="77"/>
  <c r="D13" i="77"/>
  <c r="B13" i="77"/>
  <c r="H12" i="77"/>
  <c r="D6" i="77"/>
  <c r="D4" i="77"/>
  <c r="Z71" i="76"/>
  <c r="X71" i="76"/>
  <c r="L71" i="76"/>
  <c r="N71" i="76" s="1"/>
  <c r="T67" i="76"/>
  <c r="P67" i="76"/>
  <c r="L67" i="76"/>
  <c r="H67" i="76"/>
  <c r="H66" i="76" s="1"/>
  <c r="D67" i="76"/>
  <c r="B67" i="76"/>
  <c r="T66" i="76"/>
  <c r="D66" i="76"/>
  <c r="Z64" i="76"/>
  <c r="X64" i="76"/>
  <c r="N64" i="76"/>
  <c r="L64" i="76"/>
  <c r="B64" i="76"/>
  <c r="T63" i="76"/>
  <c r="Z63" i="76" s="1"/>
  <c r="P63" i="76"/>
  <c r="X63" i="76" s="1"/>
  <c r="N63" i="76"/>
  <c r="L63" i="76"/>
  <c r="H63" i="76"/>
  <c r="D63" i="76"/>
  <c r="B63" i="76"/>
  <c r="X62" i="76"/>
  <c r="Z62" i="76" s="1"/>
  <c r="L62" i="76"/>
  <c r="N62" i="76" s="1"/>
  <c r="B62" i="76"/>
  <c r="X61" i="76"/>
  <c r="T61" i="76"/>
  <c r="Z61" i="76" s="1"/>
  <c r="P61" i="76"/>
  <c r="H61" i="76"/>
  <c r="D61" i="76"/>
  <c r="B61" i="76"/>
  <c r="Z60" i="76"/>
  <c r="X60" i="76"/>
  <c r="L60" i="76"/>
  <c r="N60" i="76" s="1"/>
  <c r="B60" i="76"/>
  <c r="X59" i="76"/>
  <c r="Z59" i="76" s="1"/>
  <c r="L59" i="76"/>
  <c r="N59" i="76" s="1"/>
  <c r="B59" i="76"/>
  <c r="X58" i="76"/>
  <c r="Z58" i="76" s="1"/>
  <c r="N58" i="76"/>
  <c r="L58" i="76"/>
  <c r="B58" i="76"/>
  <c r="Z57" i="76"/>
  <c r="X57" i="76"/>
  <c r="N57" i="76"/>
  <c r="L57" i="76"/>
  <c r="B57" i="76"/>
  <c r="T56" i="76"/>
  <c r="P56" i="76"/>
  <c r="X56" i="76" s="1"/>
  <c r="L56" i="76"/>
  <c r="N56" i="76" s="1"/>
  <c r="H56" i="76"/>
  <c r="D56" i="76"/>
  <c r="B56" i="76"/>
  <c r="X55" i="76"/>
  <c r="Z55" i="76" s="1"/>
  <c r="L55" i="76"/>
  <c r="N55" i="76" s="1"/>
  <c r="F55" i="76"/>
  <c r="B55" i="76"/>
  <c r="T54" i="76"/>
  <c r="P54" i="76"/>
  <c r="X54" i="76" s="1"/>
  <c r="Z54" i="76" s="1"/>
  <c r="H54" i="76"/>
  <c r="D54" i="76"/>
  <c r="B54" i="76"/>
  <c r="X53" i="76"/>
  <c r="Z53" i="76" s="1"/>
  <c r="N53" i="76"/>
  <c r="L53" i="76"/>
  <c r="B53" i="76"/>
  <c r="Z52" i="76"/>
  <c r="X52" i="76"/>
  <c r="N52" i="76"/>
  <c r="L52" i="76"/>
  <c r="B52" i="76"/>
  <c r="T51" i="76"/>
  <c r="P51" i="76"/>
  <c r="X51" i="76" s="1"/>
  <c r="L51" i="76"/>
  <c r="H51" i="76"/>
  <c r="N51" i="76" s="1"/>
  <c r="D51" i="76"/>
  <c r="B51" i="76"/>
  <c r="X50" i="76"/>
  <c r="Z50" i="76" s="1"/>
  <c r="N50" i="76"/>
  <c r="L50" i="76"/>
  <c r="B50" i="76"/>
  <c r="T49" i="76"/>
  <c r="P49" i="76"/>
  <c r="X49" i="76" s="1"/>
  <c r="Z49" i="76" s="1"/>
  <c r="L49" i="76"/>
  <c r="H49" i="76"/>
  <c r="N49" i="76" s="1"/>
  <c r="D49" i="76"/>
  <c r="B49" i="76"/>
  <c r="X48" i="76"/>
  <c r="Z48" i="76" s="1"/>
  <c r="N48" i="76"/>
  <c r="L48" i="76"/>
  <c r="B48" i="76"/>
  <c r="T47" i="76"/>
  <c r="Z47" i="76" s="1"/>
  <c r="P47" i="76"/>
  <c r="X47" i="76" s="1"/>
  <c r="L47" i="76"/>
  <c r="N47" i="76" s="1"/>
  <c r="H47" i="76"/>
  <c r="D47" i="76"/>
  <c r="B47" i="76"/>
  <c r="X46" i="76"/>
  <c r="Z46" i="76" s="1"/>
  <c r="N46" i="76"/>
  <c r="L46" i="76"/>
  <c r="B46" i="76"/>
  <c r="X45" i="76"/>
  <c r="T45" i="76"/>
  <c r="Z45" i="76" s="1"/>
  <c r="P45" i="76"/>
  <c r="H45" i="76"/>
  <c r="N45" i="76" s="1"/>
  <c r="D45" i="76"/>
  <c r="L45" i="76" s="1"/>
  <c r="B45" i="76"/>
  <c r="Z44" i="76"/>
  <c r="X44" i="76"/>
  <c r="L44" i="76"/>
  <c r="N44" i="76" s="1"/>
  <c r="B44" i="76"/>
  <c r="X43" i="76"/>
  <c r="Z43" i="76" s="1"/>
  <c r="L43" i="76"/>
  <c r="N43" i="76" s="1"/>
  <c r="B43" i="76"/>
  <c r="X42" i="76"/>
  <c r="Z42" i="76" s="1"/>
  <c r="N42" i="76"/>
  <c r="L42" i="76"/>
  <c r="B42" i="76"/>
  <c r="Z41" i="76"/>
  <c r="X41" i="76"/>
  <c r="L41" i="76"/>
  <c r="N41" i="76" s="1"/>
  <c r="B41" i="76"/>
  <c r="T40" i="76"/>
  <c r="P40" i="76"/>
  <c r="L40" i="76"/>
  <c r="N40" i="76" s="1"/>
  <c r="H40" i="76"/>
  <c r="D40" i="76"/>
  <c r="B40" i="76"/>
  <c r="X39" i="76"/>
  <c r="Z39" i="76" s="1"/>
  <c r="N39" i="76"/>
  <c r="L39" i="76"/>
  <c r="B39" i="76"/>
  <c r="Z38" i="76"/>
  <c r="X38" i="76"/>
  <c r="L38" i="76"/>
  <c r="N38" i="76" s="1"/>
  <c r="B38" i="76"/>
  <c r="Z37" i="76"/>
  <c r="X37" i="76"/>
  <c r="L37" i="76"/>
  <c r="N37" i="76" s="1"/>
  <c r="B37" i="76"/>
  <c r="X36" i="76"/>
  <c r="Z36" i="76" s="1"/>
  <c r="N36" i="76"/>
  <c r="L36" i="76"/>
  <c r="B36" i="76"/>
  <c r="X35" i="76"/>
  <c r="Z35" i="76" s="1"/>
  <c r="N35" i="76"/>
  <c r="L35" i="76"/>
  <c r="B35" i="76"/>
  <c r="Z34" i="76"/>
  <c r="X34" i="76"/>
  <c r="L34" i="76"/>
  <c r="N34" i="76" s="1"/>
  <c r="B34" i="76"/>
  <c r="X33" i="76"/>
  <c r="Z33" i="76" s="1"/>
  <c r="L33" i="76"/>
  <c r="N33" i="76" s="1"/>
  <c r="B33" i="76"/>
  <c r="X32" i="76"/>
  <c r="Z32" i="76" s="1"/>
  <c r="N32" i="76"/>
  <c r="L32" i="76"/>
  <c r="B32" i="76"/>
  <c r="T31" i="76"/>
  <c r="Z31" i="76" s="1"/>
  <c r="P31" i="76"/>
  <c r="X31" i="76" s="1"/>
  <c r="L31" i="76"/>
  <c r="N31" i="76" s="1"/>
  <c r="H31" i="76"/>
  <c r="D31" i="76"/>
  <c r="B31" i="76"/>
  <c r="X30" i="76"/>
  <c r="T30" i="76"/>
  <c r="P30" i="76"/>
  <c r="N30" i="76"/>
  <c r="L30" i="76"/>
  <c r="H30" i="76"/>
  <c r="D30" i="76"/>
  <c r="T26" i="76"/>
  <c r="Z26" i="76" s="1"/>
  <c r="P26" i="76"/>
  <c r="X26" i="76" s="1"/>
  <c r="N26" i="76"/>
  <c r="L26" i="76"/>
  <c r="H26" i="76"/>
  <c r="D26" i="76"/>
  <c r="Z24" i="76"/>
  <c r="X24" i="76"/>
  <c r="T24" i="76"/>
  <c r="P24" i="76"/>
  <c r="H24" i="76"/>
  <c r="D24" i="76"/>
  <c r="B24" i="76"/>
  <c r="X23" i="76"/>
  <c r="Z23" i="76" s="1"/>
  <c r="T23" i="76"/>
  <c r="P23" i="76"/>
  <c r="N23" i="76"/>
  <c r="H23" i="76"/>
  <c r="D23" i="76"/>
  <c r="L23" i="76" s="1"/>
  <c r="B23" i="76"/>
  <c r="Z22" i="76"/>
  <c r="T22" i="76"/>
  <c r="X22" i="76" s="1"/>
  <c r="P22" i="76"/>
  <c r="N22" i="76"/>
  <c r="H22" i="76"/>
  <c r="D22" i="76"/>
  <c r="L22" i="76" s="1"/>
  <c r="B22" i="76"/>
  <c r="T21" i="76"/>
  <c r="P21" i="76"/>
  <c r="X21" i="76" s="1"/>
  <c r="L21" i="76"/>
  <c r="N21" i="76" s="1"/>
  <c r="H21" i="76"/>
  <c r="D21" i="76"/>
  <c r="B21" i="76"/>
  <c r="X20" i="76"/>
  <c r="Z20" i="76" s="1"/>
  <c r="T20" i="76"/>
  <c r="P20" i="76"/>
  <c r="L20" i="76"/>
  <c r="H20" i="76"/>
  <c r="D20" i="76"/>
  <c r="B20" i="76"/>
  <c r="X19" i="76"/>
  <c r="Z19" i="76" s="1"/>
  <c r="T19" i="76"/>
  <c r="P19" i="76"/>
  <c r="H19" i="76"/>
  <c r="D19" i="76"/>
  <c r="L19" i="76" s="1"/>
  <c r="N19" i="76" s="1"/>
  <c r="B19" i="76"/>
  <c r="Z18" i="76"/>
  <c r="T18" i="76"/>
  <c r="X18" i="76" s="1"/>
  <c r="P18" i="76"/>
  <c r="H18" i="76"/>
  <c r="D18" i="76"/>
  <c r="L18" i="76" s="1"/>
  <c r="N18" i="76" s="1"/>
  <c r="B18" i="76"/>
  <c r="T17" i="76"/>
  <c r="P17" i="76"/>
  <c r="N17" i="76"/>
  <c r="L17" i="76"/>
  <c r="H17" i="76"/>
  <c r="D17" i="76"/>
  <c r="B17" i="76"/>
  <c r="X16" i="76"/>
  <c r="Z16" i="76" s="1"/>
  <c r="T16" i="76"/>
  <c r="P16" i="76"/>
  <c r="H16" i="76"/>
  <c r="D16" i="76"/>
  <c r="B16" i="76"/>
  <c r="X15" i="76"/>
  <c r="Z15" i="76" s="1"/>
  <c r="T15" i="76"/>
  <c r="P15" i="76"/>
  <c r="H15" i="76"/>
  <c r="D15" i="76"/>
  <c r="L15" i="76" s="1"/>
  <c r="N15" i="76" s="1"/>
  <c r="B15" i="76"/>
  <c r="T14" i="76"/>
  <c r="X14" i="76" s="1"/>
  <c r="P14" i="76"/>
  <c r="H14" i="76"/>
  <c r="D14" i="76"/>
  <c r="L14" i="76" s="1"/>
  <c r="N14" i="76" s="1"/>
  <c r="B14" i="76"/>
  <c r="T13" i="76"/>
  <c r="P13" i="76"/>
  <c r="L13" i="76"/>
  <c r="N13" i="76" s="1"/>
  <c r="H13" i="76"/>
  <c r="D13" i="76"/>
  <c r="D12" i="76" s="1"/>
  <c r="B13" i="76"/>
  <c r="D6" i="76"/>
  <c r="D4" i="76"/>
  <c r="Z109" i="75"/>
  <c r="X109" i="75"/>
  <c r="L109" i="75"/>
  <c r="N109" i="75" s="1"/>
  <c r="Z105" i="75"/>
  <c r="X105" i="75"/>
  <c r="T105" i="75"/>
  <c r="P105" i="75"/>
  <c r="L105" i="75"/>
  <c r="H105" i="75"/>
  <c r="D105" i="75"/>
  <c r="B105" i="75"/>
  <c r="X104" i="75"/>
  <c r="T104" i="75"/>
  <c r="Z104" i="75" s="1"/>
  <c r="P104" i="75"/>
  <c r="D104" i="75"/>
  <c r="X102" i="75"/>
  <c r="Z102" i="75" s="1"/>
  <c r="N102" i="75"/>
  <c r="L102" i="75"/>
  <c r="B102" i="75"/>
  <c r="Z101" i="75"/>
  <c r="X101" i="75"/>
  <c r="N101" i="75"/>
  <c r="L101" i="75"/>
  <c r="B101" i="75"/>
  <c r="T100" i="75"/>
  <c r="P100" i="75"/>
  <c r="X100" i="75" s="1"/>
  <c r="Z100" i="75" s="1"/>
  <c r="L100" i="75"/>
  <c r="H100" i="75"/>
  <c r="N100" i="75" s="1"/>
  <c r="D100" i="75"/>
  <c r="B100" i="75"/>
  <c r="X99" i="75"/>
  <c r="Z99" i="75" s="1"/>
  <c r="N99" i="75"/>
  <c r="L99" i="75"/>
  <c r="B99" i="75"/>
  <c r="T98" i="75"/>
  <c r="P98" i="75"/>
  <c r="X98" i="75" s="1"/>
  <c r="Z98" i="75" s="1"/>
  <c r="L98" i="75"/>
  <c r="H98" i="75"/>
  <c r="D98" i="75"/>
  <c r="B98" i="75"/>
  <c r="X97" i="75"/>
  <c r="Z97" i="75" s="1"/>
  <c r="L97" i="75"/>
  <c r="N97" i="75" s="1"/>
  <c r="B97" i="75"/>
  <c r="X96" i="75"/>
  <c r="T96" i="75"/>
  <c r="Z96" i="75" s="1"/>
  <c r="P96" i="75"/>
  <c r="H96" i="75"/>
  <c r="D96" i="75"/>
  <c r="L96" i="75" s="1"/>
  <c r="B96" i="75"/>
  <c r="Z95" i="75"/>
  <c r="X95" i="75"/>
  <c r="L95" i="75"/>
  <c r="N95" i="75" s="1"/>
  <c r="B95" i="75"/>
  <c r="X94" i="75"/>
  <c r="Z94" i="75" s="1"/>
  <c r="N94" i="75"/>
  <c r="L94" i="75"/>
  <c r="B94" i="75"/>
  <c r="X93" i="75"/>
  <c r="Z93" i="75" s="1"/>
  <c r="N93" i="75"/>
  <c r="L93" i="75"/>
  <c r="B93" i="75"/>
  <c r="Z92" i="75"/>
  <c r="X92" i="75"/>
  <c r="N92" i="75"/>
  <c r="L92" i="75"/>
  <c r="B92" i="75"/>
  <c r="T91" i="75"/>
  <c r="P91" i="75"/>
  <c r="L91" i="75"/>
  <c r="N91" i="75" s="1"/>
  <c r="H91" i="75"/>
  <c r="D91" i="75"/>
  <c r="B91" i="75"/>
  <c r="X90" i="75"/>
  <c r="Z90" i="75" s="1"/>
  <c r="N90" i="75"/>
  <c r="L90" i="75"/>
  <c r="B90" i="75"/>
  <c r="Z89" i="75"/>
  <c r="T89" i="75"/>
  <c r="P89" i="75"/>
  <c r="X89" i="75" s="1"/>
  <c r="H89" i="75"/>
  <c r="D89" i="75"/>
  <c r="B89" i="75"/>
  <c r="X88" i="75"/>
  <c r="Z88" i="75" s="1"/>
  <c r="N88" i="75"/>
  <c r="L88" i="75"/>
  <c r="B88" i="75"/>
  <c r="Z87" i="75"/>
  <c r="X87" i="75"/>
  <c r="N87" i="75"/>
  <c r="L87" i="75"/>
  <c r="B87" i="75"/>
  <c r="T86" i="75"/>
  <c r="P86" i="75"/>
  <c r="L86" i="75"/>
  <c r="H86" i="75"/>
  <c r="N86" i="75" s="1"/>
  <c r="D86" i="75"/>
  <c r="B86" i="75"/>
  <c r="X85" i="75"/>
  <c r="Z85" i="75" s="1"/>
  <c r="N85" i="75"/>
  <c r="L85" i="75"/>
  <c r="B85" i="75"/>
  <c r="Z84" i="75"/>
  <c r="X84" i="75"/>
  <c r="N84" i="75"/>
  <c r="L84" i="75"/>
  <c r="B84" i="75"/>
  <c r="T83" i="75"/>
  <c r="P83" i="75"/>
  <c r="X83" i="75" s="1"/>
  <c r="L83" i="75"/>
  <c r="N83" i="75" s="1"/>
  <c r="H83" i="75"/>
  <c r="D83" i="75"/>
  <c r="B83" i="75"/>
  <c r="X82" i="75"/>
  <c r="Z82" i="75" s="1"/>
  <c r="N82" i="75"/>
  <c r="L82" i="75"/>
  <c r="B82" i="75"/>
  <c r="Z81" i="75"/>
  <c r="T81" i="75"/>
  <c r="P81" i="75"/>
  <c r="X81" i="75" s="1"/>
  <c r="H81" i="75"/>
  <c r="D81" i="75"/>
  <c r="B81" i="75"/>
  <c r="X80" i="75"/>
  <c r="Z80" i="75" s="1"/>
  <c r="N80" i="75"/>
  <c r="L80" i="75"/>
  <c r="B80" i="75"/>
  <c r="Z79" i="75"/>
  <c r="X79" i="75"/>
  <c r="T79" i="75"/>
  <c r="P79" i="75"/>
  <c r="H79" i="75"/>
  <c r="N79" i="75" s="1"/>
  <c r="D79" i="75"/>
  <c r="L79" i="75" s="1"/>
  <c r="B79" i="75"/>
  <c r="Z78" i="75"/>
  <c r="X78" i="75"/>
  <c r="N78" i="75"/>
  <c r="L78" i="75"/>
  <c r="B78" i="75"/>
  <c r="X77" i="75"/>
  <c r="Z77" i="75" s="1"/>
  <c r="N77" i="75"/>
  <c r="L77" i="75"/>
  <c r="B77" i="75"/>
  <c r="Z76" i="75"/>
  <c r="T76" i="75"/>
  <c r="P76" i="75"/>
  <c r="X76" i="75" s="1"/>
  <c r="L76" i="75"/>
  <c r="H76" i="75"/>
  <c r="D76" i="75"/>
  <c r="B76" i="75"/>
  <c r="X75" i="75"/>
  <c r="Z75" i="75" s="1"/>
  <c r="N75" i="75"/>
  <c r="L75" i="75"/>
  <c r="B75" i="75"/>
  <c r="X74" i="75"/>
  <c r="Z74" i="75" s="1"/>
  <c r="T74" i="75"/>
  <c r="P74" i="75"/>
  <c r="H74" i="75"/>
  <c r="D74" i="75"/>
  <c r="B74" i="75"/>
  <c r="X73" i="75"/>
  <c r="Z73" i="75" s="1"/>
  <c r="L73" i="75"/>
  <c r="N73" i="75" s="1"/>
  <c r="B73" i="75"/>
  <c r="X72" i="75"/>
  <c r="Z72" i="75" s="1"/>
  <c r="N72" i="75"/>
  <c r="L72" i="75"/>
  <c r="B72" i="75"/>
  <c r="Z71" i="75"/>
  <c r="X71" i="75"/>
  <c r="T71" i="75"/>
  <c r="P71" i="75"/>
  <c r="L71" i="75"/>
  <c r="H71" i="75"/>
  <c r="D71" i="75"/>
  <c r="B71" i="75"/>
  <c r="X70" i="75"/>
  <c r="Z70" i="75" s="1"/>
  <c r="L70" i="75"/>
  <c r="N70" i="75" s="1"/>
  <c r="B70" i="75"/>
  <c r="X69" i="75"/>
  <c r="Z69" i="75" s="1"/>
  <c r="T69" i="75"/>
  <c r="P69" i="75"/>
  <c r="H69" i="75"/>
  <c r="D69" i="75"/>
  <c r="B69" i="75"/>
  <c r="Z68" i="75"/>
  <c r="X68" i="75"/>
  <c r="N68" i="75"/>
  <c r="L68" i="75"/>
  <c r="B68" i="75"/>
  <c r="X67" i="75"/>
  <c r="Z67" i="75" s="1"/>
  <c r="N67" i="75"/>
  <c r="L67" i="75"/>
  <c r="B67" i="75"/>
  <c r="X66" i="75"/>
  <c r="Z66" i="75" s="1"/>
  <c r="N66" i="75"/>
  <c r="L66" i="75"/>
  <c r="B66" i="75"/>
  <c r="Z65" i="75"/>
  <c r="X65" i="75"/>
  <c r="L65" i="75"/>
  <c r="N65" i="75" s="1"/>
  <c r="B65" i="75"/>
  <c r="Z64" i="75"/>
  <c r="X64" i="75"/>
  <c r="L64" i="75"/>
  <c r="N64" i="75" s="1"/>
  <c r="B64" i="75"/>
  <c r="T63" i="75"/>
  <c r="P63" i="75"/>
  <c r="N63" i="75"/>
  <c r="H63" i="75"/>
  <c r="D63" i="75"/>
  <c r="L63" i="75" s="1"/>
  <c r="B63" i="75"/>
  <c r="Z62" i="75"/>
  <c r="X62" i="75"/>
  <c r="L62" i="75"/>
  <c r="N62" i="75" s="1"/>
  <c r="B62" i="75"/>
  <c r="X61" i="75"/>
  <c r="Z61" i="75" s="1"/>
  <c r="L61" i="75"/>
  <c r="N61" i="75" s="1"/>
  <c r="B61" i="75"/>
  <c r="X60" i="75"/>
  <c r="Z60" i="75" s="1"/>
  <c r="N60" i="75"/>
  <c r="L60" i="75"/>
  <c r="B60" i="75"/>
  <c r="Z59" i="75"/>
  <c r="X59" i="75"/>
  <c r="N59" i="75"/>
  <c r="L59" i="75"/>
  <c r="B59" i="75"/>
  <c r="Z58" i="75"/>
  <c r="X58" i="75"/>
  <c r="L58" i="75"/>
  <c r="N58" i="75" s="1"/>
  <c r="B58" i="75"/>
  <c r="X57" i="75"/>
  <c r="Z57" i="75" s="1"/>
  <c r="L57" i="75"/>
  <c r="N57" i="75" s="1"/>
  <c r="B57" i="75"/>
  <c r="X56" i="75"/>
  <c r="Z56" i="75" s="1"/>
  <c r="N56" i="75"/>
  <c r="L56" i="75"/>
  <c r="B56" i="75"/>
  <c r="Z55" i="75"/>
  <c r="X55" i="75"/>
  <c r="N55" i="75"/>
  <c r="L55" i="75"/>
  <c r="B55" i="75"/>
  <c r="T54" i="75"/>
  <c r="P54" i="75"/>
  <c r="L54" i="75"/>
  <c r="H54" i="75"/>
  <c r="N54" i="75" s="1"/>
  <c r="D54" i="75"/>
  <c r="B54" i="75"/>
  <c r="X53" i="75"/>
  <c r="T53" i="75"/>
  <c r="P53" i="75"/>
  <c r="H53" i="75"/>
  <c r="D53" i="75"/>
  <c r="X49" i="75"/>
  <c r="Z49" i="75" s="1"/>
  <c r="N49" i="75"/>
  <c r="L49" i="75"/>
  <c r="B49" i="75"/>
  <c r="Z48" i="75"/>
  <c r="X48" i="75"/>
  <c r="N48" i="75"/>
  <c r="L48" i="75"/>
  <c r="B48" i="75"/>
  <c r="Z47" i="75"/>
  <c r="X47" i="75"/>
  <c r="N47" i="75"/>
  <c r="L47" i="75"/>
  <c r="B47" i="75"/>
  <c r="X46" i="75"/>
  <c r="Z46" i="75" s="1"/>
  <c r="L46" i="75"/>
  <c r="N46" i="75" s="1"/>
  <c r="B46" i="75"/>
  <c r="X45" i="75"/>
  <c r="Z45" i="75" s="1"/>
  <c r="N45" i="75"/>
  <c r="L45" i="75"/>
  <c r="B45" i="75"/>
  <c r="Z44" i="75"/>
  <c r="X44" i="75"/>
  <c r="L44" i="75"/>
  <c r="N44" i="75" s="1"/>
  <c r="B44" i="75"/>
  <c r="Z43" i="75"/>
  <c r="X43" i="75"/>
  <c r="N43" i="75"/>
  <c r="L43" i="75"/>
  <c r="B43" i="75"/>
  <c r="X42" i="75"/>
  <c r="Z42" i="75" s="1"/>
  <c r="L42" i="75"/>
  <c r="N42" i="75" s="1"/>
  <c r="B42" i="75"/>
  <c r="X41" i="75"/>
  <c r="Z41" i="75" s="1"/>
  <c r="N41" i="75"/>
  <c r="L41" i="75"/>
  <c r="B41" i="75"/>
  <c r="Z40" i="75"/>
  <c r="X40" i="75"/>
  <c r="N40" i="75"/>
  <c r="L40" i="75"/>
  <c r="B40" i="75"/>
  <c r="Z39" i="75"/>
  <c r="X39" i="75"/>
  <c r="L39" i="75"/>
  <c r="N39" i="75" s="1"/>
  <c r="B39" i="75"/>
  <c r="Z38" i="75"/>
  <c r="X38" i="75"/>
  <c r="L38" i="75"/>
  <c r="N38" i="75" s="1"/>
  <c r="B38" i="75"/>
  <c r="X37" i="75"/>
  <c r="Z37" i="75" s="1"/>
  <c r="N37" i="75"/>
  <c r="L37" i="75"/>
  <c r="B37" i="75"/>
  <c r="Z36" i="75"/>
  <c r="X36" i="75"/>
  <c r="L36" i="75"/>
  <c r="N36" i="75" s="1"/>
  <c r="B36" i="75"/>
  <c r="Z35" i="75"/>
  <c r="X35" i="75"/>
  <c r="L35" i="75"/>
  <c r="N35" i="75" s="1"/>
  <c r="B35" i="75"/>
  <c r="X34" i="75"/>
  <c r="T34" i="75"/>
  <c r="P34" i="75"/>
  <c r="H34" i="75"/>
  <c r="D34" i="75"/>
  <c r="L34" i="75" s="1"/>
  <c r="N34" i="75" s="1"/>
  <c r="Z32" i="75"/>
  <c r="T32" i="75"/>
  <c r="P32" i="75"/>
  <c r="X32" i="75" s="1"/>
  <c r="H32" i="75"/>
  <c r="D32" i="75"/>
  <c r="B32" i="75"/>
  <c r="T31" i="75"/>
  <c r="P31" i="75"/>
  <c r="X31" i="75" s="1"/>
  <c r="N31" i="75"/>
  <c r="H31" i="75"/>
  <c r="L31" i="75" s="1"/>
  <c r="D31" i="75"/>
  <c r="B31" i="75"/>
  <c r="T30" i="75"/>
  <c r="P30" i="75"/>
  <c r="X30" i="75" s="1"/>
  <c r="N30" i="75"/>
  <c r="L30" i="75"/>
  <c r="H30" i="75"/>
  <c r="D30" i="75"/>
  <c r="B30" i="75"/>
  <c r="T29" i="75"/>
  <c r="P29" i="75"/>
  <c r="H29" i="75"/>
  <c r="N29" i="75" s="1"/>
  <c r="D29" i="75"/>
  <c r="L29" i="75" s="1"/>
  <c r="B29" i="75"/>
  <c r="Z28" i="75"/>
  <c r="X28" i="75"/>
  <c r="T28" i="75"/>
  <c r="P28" i="75"/>
  <c r="H28" i="75"/>
  <c r="D28" i="75"/>
  <c r="B28" i="75"/>
  <c r="X27" i="75"/>
  <c r="T27" i="75"/>
  <c r="P27" i="75"/>
  <c r="N27" i="75"/>
  <c r="H27" i="75"/>
  <c r="L27" i="75" s="1"/>
  <c r="D27" i="75"/>
  <c r="B27" i="75"/>
  <c r="T26" i="75"/>
  <c r="Z26" i="75" s="1"/>
  <c r="P26" i="75"/>
  <c r="X26" i="75" s="1"/>
  <c r="H26" i="75"/>
  <c r="D26" i="75"/>
  <c r="L26" i="75" s="1"/>
  <c r="B26" i="75"/>
  <c r="T25" i="75"/>
  <c r="P25" i="75"/>
  <c r="H25" i="75"/>
  <c r="D25" i="75"/>
  <c r="L25" i="75" s="1"/>
  <c r="B25" i="75"/>
  <c r="T24" i="75"/>
  <c r="P24" i="75"/>
  <c r="X24" i="75" s="1"/>
  <c r="L24" i="75"/>
  <c r="H24" i="75"/>
  <c r="D24" i="75"/>
  <c r="B24" i="75"/>
  <c r="T23" i="75"/>
  <c r="P23" i="75"/>
  <c r="X23" i="75" s="1"/>
  <c r="N23" i="75"/>
  <c r="L23" i="75"/>
  <c r="H23" i="75"/>
  <c r="D23" i="75"/>
  <c r="B23" i="75"/>
  <c r="T22" i="75"/>
  <c r="P22" i="75"/>
  <c r="H22" i="75"/>
  <c r="D22" i="75"/>
  <c r="L22" i="75" s="1"/>
  <c r="N22" i="75" s="1"/>
  <c r="B22" i="75"/>
  <c r="T21" i="75"/>
  <c r="P21" i="75"/>
  <c r="X21" i="75" s="1"/>
  <c r="Z21" i="75" s="1"/>
  <c r="H21" i="75"/>
  <c r="N21" i="75" s="1"/>
  <c r="D21" i="75"/>
  <c r="L21" i="75" s="1"/>
  <c r="B21" i="75"/>
  <c r="T20" i="75"/>
  <c r="P20" i="75"/>
  <c r="X20" i="75" s="1"/>
  <c r="Z20" i="75" s="1"/>
  <c r="L20" i="75"/>
  <c r="H20" i="75"/>
  <c r="D20" i="75"/>
  <c r="B20" i="75"/>
  <c r="T19" i="75"/>
  <c r="P19" i="75"/>
  <c r="N19" i="75"/>
  <c r="L19" i="75"/>
  <c r="H19" i="75"/>
  <c r="D19" i="75"/>
  <c r="B19" i="75"/>
  <c r="T18" i="75"/>
  <c r="P18" i="75"/>
  <c r="H18" i="75"/>
  <c r="D18" i="75"/>
  <c r="B18" i="75"/>
  <c r="Z17" i="75"/>
  <c r="T17" i="75"/>
  <c r="P17" i="75"/>
  <c r="X17" i="75" s="1"/>
  <c r="L17" i="75"/>
  <c r="H17" i="75"/>
  <c r="N17" i="75" s="1"/>
  <c r="D17" i="75"/>
  <c r="B17" i="75"/>
  <c r="T16" i="75"/>
  <c r="P16" i="75"/>
  <c r="L16" i="75"/>
  <c r="H16" i="75"/>
  <c r="D16" i="75"/>
  <c r="B16" i="75"/>
  <c r="T15" i="75"/>
  <c r="P15" i="75"/>
  <c r="L15" i="75"/>
  <c r="H15" i="75"/>
  <c r="D15" i="75"/>
  <c r="B15" i="75"/>
  <c r="T14" i="75"/>
  <c r="P14" i="75"/>
  <c r="H14" i="75"/>
  <c r="D14" i="75"/>
  <c r="B14" i="75"/>
  <c r="T13" i="75"/>
  <c r="P13" i="75"/>
  <c r="L13" i="75"/>
  <c r="H13" i="75"/>
  <c r="N13" i="75" s="1"/>
  <c r="D13" i="75"/>
  <c r="B13" i="75"/>
  <c r="D6" i="75"/>
  <c r="D4" i="75"/>
  <c r="Z86" i="74"/>
  <c r="X86" i="74"/>
  <c r="N86" i="74"/>
  <c r="L86" i="74"/>
  <c r="Z82" i="74"/>
  <c r="T82" i="74"/>
  <c r="P82" i="74"/>
  <c r="X82" i="74" s="1"/>
  <c r="N82" i="74"/>
  <c r="H82" i="74"/>
  <c r="D82" i="74"/>
  <c r="L82" i="74" s="1"/>
  <c r="Z80" i="74"/>
  <c r="X80" i="74"/>
  <c r="L80" i="74"/>
  <c r="N80" i="74" s="1"/>
  <c r="B80" i="74"/>
  <c r="T79" i="74"/>
  <c r="P79" i="74"/>
  <c r="H79" i="74"/>
  <c r="D79" i="74"/>
  <c r="L79" i="74" s="1"/>
  <c r="N79" i="74" s="1"/>
  <c r="B79" i="74"/>
  <c r="Z78" i="74"/>
  <c r="X78" i="74"/>
  <c r="N78" i="74"/>
  <c r="L78" i="74"/>
  <c r="B78" i="74"/>
  <c r="X77" i="74"/>
  <c r="Z77" i="74" s="1"/>
  <c r="N77" i="74"/>
  <c r="L77" i="74"/>
  <c r="B77" i="74"/>
  <c r="X76" i="74"/>
  <c r="Z76" i="74" s="1"/>
  <c r="T76" i="74"/>
  <c r="P76" i="74"/>
  <c r="N76" i="74"/>
  <c r="L76" i="74"/>
  <c r="H76" i="74"/>
  <c r="D76" i="74"/>
  <c r="B76" i="74"/>
  <c r="Z75" i="74"/>
  <c r="X75" i="74"/>
  <c r="N75" i="74"/>
  <c r="L75" i="74"/>
  <c r="B75" i="74"/>
  <c r="T74" i="74"/>
  <c r="P74" i="74"/>
  <c r="N74" i="74"/>
  <c r="H74" i="74"/>
  <c r="D74" i="74"/>
  <c r="B74" i="74"/>
  <c r="Z73" i="74"/>
  <c r="X73" i="74"/>
  <c r="L73" i="74"/>
  <c r="N73" i="74" s="1"/>
  <c r="B73" i="74"/>
  <c r="Z72" i="74"/>
  <c r="T72" i="74"/>
  <c r="P72" i="74"/>
  <c r="X72" i="74" s="1"/>
  <c r="H72" i="74"/>
  <c r="D72" i="74"/>
  <c r="L72" i="74" s="1"/>
  <c r="N72" i="74" s="1"/>
  <c r="B72" i="74"/>
  <c r="Z71" i="74"/>
  <c r="X71" i="74"/>
  <c r="N71" i="74"/>
  <c r="L71" i="74"/>
  <c r="B71" i="74"/>
  <c r="Z70" i="74"/>
  <c r="X70" i="74"/>
  <c r="L70" i="74"/>
  <c r="N70" i="74" s="1"/>
  <c r="B70" i="74"/>
  <c r="X69" i="74"/>
  <c r="T69" i="74"/>
  <c r="P69" i="74"/>
  <c r="H69" i="74"/>
  <c r="N69" i="74" s="1"/>
  <c r="D69" i="74"/>
  <c r="L69" i="74" s="1"/>
  <c r="B69" i="74"/>
  <c r="Z68" i="74"/>
  <c r="X68" i="74"/>
  <c r="N68" i="74"/>
  <c r="L68" i="74"/>
  <c r="B68" i="74"/>
  <c r="T67" i="74"/>
  <c r="P67" i="74"/>
  <c r="N67" i="74"/>
  <c r="L67" i="74"/>
  <c r="H67" i="74"/>
  <c r="D67" i="74"/>
  <c r="B67" i="74"/>
  <c r="Z66" i="74"/>
  <c r="X66" i="74"/>
  <c r="N66" i="74"/>
  <c r="L66" i="74"/>
  <c r="B66" i="74"/>
  <c r="X65" i="74"/>
  <c r="Z65" i="74" s="1"/>
  <c r="N65" i="74"/>
  <c r="L65" i="74"/>
  <c r="B65" i="74"/>
  <c r="Z64" i="74"/>
  <c r="X64" i="74"/>
  <c r="L64" i="74"/>
  <c r="N64" i="74" s="1"/>
  <c r="B64" i="74"/>
  <c r="X63" i="74"/>
  <c r="T63" i="74"/>
  <c r="P63" i="74"/>
  <c r="H63" i="74"/>
  <c r="D63" i="74"/>
  <c r="L63" i="74" s="1"/>
  <c r="N63" i="74" s="1"/>
  <c r="B63" i="74"/>
  <c r="Z62" i="74"/>
  <c r="X62" i="74"/>
  <c r="L62" i="74"/>
  <c r="N62" i="74" s="1"/>
  <c r="B62" i="74"/>
  <c r="X61" i="74"/>
  <c r="Z61" i="74" s="1"/>
  <c r="L61" i="74"/>
  <c r="N61" i="74" s="1"/>
  <c r="B61" i="74"/>
  <c r="X60" i="74"/>
  <c r="Z60" i="74" s="1"/>
  <c r="N60" i="74"/>
  <c r="L60" i="74"/>
  <c r="B60" i="74"/>
  <c r="Z59" i="74"/>
  <c r="X59" i="74"/>
  <c r="N59" i="74"/>
  <c r="L59" i="74"/>
  <c r="B59" i="74"/>
  <c r="Z58" i="74"/>
  <c r="X58" i="74"/>
  <c r="L58" i="74"/>
  <c r="N58" i="74" s="1"/>
  <c r="B58" i="74"/>
  <c r="X57" i="74"/>
  <c r="Z57" i="74" s="1"/>
  <c r="L57" i="74"/>
  <c r="N57" i="74" s="1"/>
  <c r="B57" i="74"/>
  <c r="X56" i="74"/>
  <c r="Z56" i="74" s="1"/>
  <c r="N56" i="74"/>
  <c r="L56" i="74"/>
  <c r="B56" i="74"/>
  <c r="T55" i="74"/>
  <c r="P55" i="74"/>
  <c r="X55" i="74" s="1"/>
  <c r="L55" i="74"/>
  <c r="H55" i="74"/>
  <c r="D55" i="74"/>
  <c r="B55" i="74"/>
  <c r="T54" i="74"/>
  <c r="P54" i="74"/>
  <c r="H54" i="74"/>
  <c r="D54" i="74"/>
  <c r="X50" i="74"/>
  <c r="Z50" i="74" s="1"/>
  <c r="N50" i="74"/>
  <c r="L50" i="74"/>
  <c r="B50" i="74"/>
  <c r="Z49" i="74"/>
  <c r="X49" i="74"/>
  <c r="N49" i="74"/>
  <c r="L49" i="74"/>
  <c r="B49" i="74"/>
  <c r="Z48" i="74"/>
  <c r="X48" i="74"/>
  <c r="N48" i="74"/>
  <c r="L48" i="74"/>
  <c r="B48" i="74"/>
  <c r="Z47" i="74"/>
  <c r="X47" i="74"/>
  <c r="L47" i="74"/>
  <c r="N47" i="74" s="1"/>
  <c r="B47" i="74"/>
  <c r="Z46" i="74"/>
  <c r="X46" i="74"/>
  <c r="N46" i="74"/>
  <c r="L46" i="74"/>
  <c r="B46" i="74"/>
  <c r="X45" i="74"/>
  <c r="Z45" i="74" s="1"/>
  <c r="N45" i="74"/>
  <c r="L45" i="74"/>
  <c r="B45" i="74"/>
  <c r="Z44" i="74"/>
  <c r="X44" i="74"/>
  <c r="N44" i="74"/>
  <c r="L44" i="74"/>
  <c r="B44" i="74"/>
  <c r="Z43" i="74"/>
  <c r="X43" i="74"/>
  <c r="L43" i="74"/>
  <c r="N43" i="74" s="1"/>
  <c r="B43" i="74"/>
  <c r="X42" i="74"/>
  <c r="Z42" i="74" s="1"/>
  <c r="L42" i="74"/>
  <c r="N42" i="74" s="1"/>
  <c r="B42" i="74"/>
  <c r="Z41" i="74"/>
  <c r="X41" i="74"/>
  <c r="N41" i="74"/>
  <c r="L41" i="74"/>
  <c r="B41" i="74"/>
  <c r="Z40" i="74"/>
  <c r="X40" i="74"/>
  <c r="N40" i="74"/>
  <c r="L40" i="74"/>
  <c r="B40" i="74"/>
  <c r="Z39" i="74"/>
  <c r="X39" i="74"/>
  <c r="L39" i="74"/>
  <c r="N39" i="74" s="1"/>
  <c r="B39" i="74"/>
  <c r="X38" i="74"/>
  <c r="Z38" i="74" s="1"/>
  <c r="L38" i="74"/>
  <c r="N38" i="74" s="1"/>
  <c r="B38" i="74"/>
  <c r="X37" i="74"/>
  <c r="Z37" i="74" s="1"/>
  <c r="N37" i="74"/>
  <c r="L37" i="74"/>
  <c r="B37" i="74"/>
  <c r="Z36" i="74"/>
  <c r="X36" i="74"/>
  <c r="N36" i="74"/>
  <c r="L36" i="74"/>
  <c r="B36" i="74"/>
  <c r="T35" i="74"/>
  <c r="P35" i="74"/>
  <c r="X35" i="74" s="1"/>
  <c r="L35" i="74"/>
  <c r="N35" i="74" s="1"/>
  <c r="H35" i="74"/>
  <c r="D35" i="74"/>
  <c r="Z33" i="74"/>
  <c r="T33" i="74"/>
  <c r="P33" i="74"/>
  <c r="X33" i="74" s="1"/>
  <c r="H33" i="74"/>
  <c r="N33" i="74" s="1"/>
  <c r="D33" i="74"/>
  <c r="L33" i="74" s="1"/>
  <c r="B33" i="74"/>
  <c r="T32" i="74"/>
  <c r="Z32" i="74" s="1"/>
  <c r="P32" i="74"/>
  <c r="X32" i="74" s="1"/>
  <c r="H32" i="74"/>
  <c r="D32" i="74"/>
  <c r="B32" i="74"/>
  <c r="Z31" i="74"/>
  <c r="X31" i="74"/>
  <c r="T31" i="74"/>
  <c r="P31" i="74"/>
  <c r="H31" i="74"/>
  <c r="N31" i="74" s="1"/>
  <c r="D31" i="74"/>
  <c r="B31" i="74"/>
  <c r="Z30" i="74"/>
  <c r="T30" i="74"/>
  <c r="P30" i="74"/>
  <c r="X30" i="74" s="1"/>
  <c r="N30" i="74"/>
  <c r="L30" i="74"/>
  <c r="H30" i="74"/>
  <c r="D30" i="74"/>
  <c r="B30" i="74"/>
  <c r="T29" i="74"/>
  <c r="P29" i="74"/>
  <c r="X29" i="74" s="1"/>
  <c r="Z29" i="74" s="1"/>
  <c r="L29" i="74"/>
  <c r="H29" i="74"/>
  <c r="D29" i="74"/>
  <c r="B29" i="74"/>
  <c r="T28" i="74"/>
  <c r="Z28" i="74" s="1"/>
  <c r="P28" i="74"/>
  <c r="X28" i="74" s="1"/>
  <c r="H28" i="74"/>
  <c r="D28" i="74"/>
  <c r="B28" i="74"/>
  <c r="Z27" i="74"/>
  <c r="X27" i="74"/>
  <c r="T27" i="74"/>
  <c r="P27" i="74"/>
  <c r="H27" i="74"/>
  <c r="N27" i="74" s="1"/>
  <c r="D27" i="74"/>
  <c r="B27" i="74"/>
  <c r="T26" i="74"/>
  <c r="P26" i="74"/>
  <c r="N26" i="74"/>
  <c r="L26" i="74"/>
  <c r="H26" i="74"/>
  <c r="D26" i="74"/>
  <c r="B26" i="74"/>
  <c r="T25" i="74"/>
  <c r="P25" i="74"/>
  <c r="X25" i="74" s="1"/>
  <c r="Z25" i="74" s="1"/>
  <c r="L25" i="74"/>
  <c r="H25" i="74"/>
  <c r="D25" i="74"/>
  <c r="B25" i="74"/>
  <c r="T24" i="74"/>
  <c r="P24" i="74"/>
  <c r="X24" i="74" s="1"/>
  <c r="H24" i="74"/>
  <c r="D24" i="74"/>
  <c r="B24" i="74"/>
  <c r="Z23" i="74"/>
  <c r="X23" i="74"/>
  <c r="T23" i="74"/>
  <c r="P23" i="74"/>
  <c r="H23" i="74"/>
  <c r="D23" i="74"/>
  <c r="B23" i="74"/>
  <c r="T22" i="74"/>
  <c r="P22" i="74"/>
  <c r="N22" i="74"/>
  <c r="L22" i="74"/>
  <c r="H22" i="74"/>
  <c r="D22" i="74"/>
  <c r="B22" i="74"/>
  <c r="T21" i="74"/>
  <c r="P21" i="74"/>
  <c r="X21" i="74" s="1"/>
  <c r="Z21" i="74" s="1"/>
  <c r="L21" i="74"/>
  <c r="H21" i="74"/>
  <c r="D21" i="74"/>
  <c r="B21" i="74"/>
  <c r="T20" i="74"/>
  <c r="P20" i="74"/>
  <c r="X20" i="74" s="1"/>
  <c r="H20" i="74"/>
  <c r="D20" i="74"/>
  <c r="B20" i="74"/>
  <c r="X19" i="74"/>
  <c r="Z19" i="74" s="1"/>
  <c r="T19" i="74"/>
  <c r="P19" i="74"/>
  <c r="H19" i="74"/>
  <c r="D19" i="74"/>
  <c r="B19" i="74"/>
  <c r="T18" i="74"/>
  <c r="P18" i="74"/>
  <c r="N18" i="74"/>
  <c r="L18" i="74"/>
  <c r="H18" i="74"/>
  <c r="D18" i="74"/>
  <c r="B18" i="74"/>
  <c r="T17" i="74"/>
  <c r="P17" i="74"/>
  <c r="X17" i="74" s="1"/>
  <c r="Z17" i="74" s="1"/>
  <c r="H17" i="74"/>
  <c r="D17" i="74"/>
  <c r="B17" i="74"/>
  <c r="T16" i="74"/>
  <c r="P16" i="74"/>
  <c r="X16" i="74" s="1"/>
  <c r="H16" i="74"/>
  <c r="D16" i="74"/>
  <c r="B16" i="74"/>
  <c r="X15" i="74"/>
  <c r="Z15" i="74" s="1"/>
  <c r="T15" i="74"/>
  <c r="P15" i="74"/>
  <c r="H15" i="74"/>
  <c r="D15" i="74"/>
  <c r="B15" i="74"/>
  <c r="T14" i="74"/>
  <c r="P14" i="74"/>
  <c r="N14" i="74"/>
  <c r="L14" i="74"/>
  <c r="H14" i="74"/>
  <c r="D14" i="74"/>
  <c r="B14" i="74"/>
  <c r="T13" i="74"/>
  <c r="P13" i="74"/>
  <c r="H13" i="74"/>
  <c r="D13" i="74"/>
  <c r="B13" i="74"/>
  <c r="H12" i="74"/>
  <c r="J50" i="74" s="1"/>
  <c r="D6" i="74"/>
  <c r="D4" i="74"/>
  <c r="Z81" i="73"/>
  <c r="X81" i="73"/>
  <c r="L81" i="73"/>
  <c r="N81" i="73" s="1"/>
  <c r="Z77" i="73"/>
  <c r="T77" i="73"/>
  <c r="P77" i="73"/>
  <c r="X77" i="73" s="1"/>
  <c r="H77" i="73"/>
  <c r="N77" i="73" s="1"/>
  <c r="D77" i="73"/>
  <c r="Z75" i="73"/>
  <c r="X75" i="73"/>
  <c r="N75" i="73"/>
  <c r="L75" i="73"/>
  <c r="B75" i="73"/>
  <c r="T74" i="73"/>
  <c r="P74" i="73"/>
  <c r="X74" i="73" s="1"/>
  <c r="N74" i="73"/>
  <c r="L74" i="73"/>
  <c r="H74" i="73"/>
  <c r="D74" i="73"/>
  <c r="B74" i="73"/>
  <c r="X73" i="73"/>
  <c r="Z73" i="73" s="1"/>
  <c r="N73" i="73"/>
  <c r="L73" i="73"/>
  <c r="B73" i="73"/>
  <c r="T72" i="73"/>
  <c r="P72" i="73"/>
  <c r="X72" i="73" s="1"/>
  <c r="Z72" i="73" s="1"/>
  <c r="L72" i="73"/>
  <c r="H72" i="73"/>
  <c r="D72" i="73"/>
  <c r="B72" i="73"/>
  <c r="X71" i="73"/>
  <c r="Z71" i="73" s="1"/>
  <c r="N71" i="73"/>
  <c r="L71" i="73"/>
  <c r="B71" i="73"/>
  <c r="Z70" i="73"/>
  <c r="X70" i="73"/>
  <c r="N70" i="73"/>
  <c r="L70" i="73"/>
  <c r="B70" i="73"/>
  <c r="Z69" i="73"/>
  <c r="X69" i="73"/>
  <c r="N69" i="73"/>
  <c r="L69" i="73"/>
  <c r="B69" i="73"/>
  <c r="X68" i="73"/>
  <c r="Z68" i="73" s="1"/>
  <c r="N68" i="73"/>
  <c r="L68" i="73"/>
  <c r="B68" i="73"/>
  <c r="X67" i="73"/>
  <c r="Z67" i="73" s="1"/>
  <c r="N67" i="73"/>
  <c r="L67" i="73"/>
  <c r="B67" i="73"/>
  <c r="Z66" i="73"/>
  <c r="X66" i="73"/>
  <c r="N66" i="73"/>
  <c r="L66" i="73"/>
  <c r="B66" i="73"/>
  <c r="X65" i="73"/>
  <c r="Z65" i="73" s="1"/>
  <c r="T65" i="73"/>
  <c r="P65" i="73"/>
  <c r="L65" i="73"/>
  <c r="N65" i="73" s="1"/>
  <c r="H65" i="73"/>
  <c r="F65" i="73"/>
  <c r="D65" i="73"/>
  <c r="B65" i="73"/>
  <c r="X64" i="73"/>
  <c r="Z64" i="73" s="1"/>
  <c r="L64" i="73"/>
  <c r="N64" i="73" s="1"/>
  <c r="B64" i="73"/>
  <c r="T63" i="73"/>
  <c r="Z63" i="73" s="1"/>
  <c r="P63" i="73"/>
  <c r="X63" i="73" s="1"/>
  <c r="H63" i="73"/>
  <c r="D63" i="73"/>
  <c r="B63" i="73"/>
  <c r="X62" i="73"/>
  <c r="Z62" i="73" s="1"/>
  <c r="N62" i="73"/>
  <c r="L62" i="73"/>
  <c r="B62" i="73"/>
  <c r="T61" i="73"/>
  <c r="P61" i="73"/>
  <c r="X61" i="73" s="1"/>
  <c r="Z61" i="73" s="1"/>
  <c r="N61" i="73"/>
  <c r="H61" i="73"/>
  <c r="D61" i="73"/>
  <c r="L61" i="73" s="1"/>
  <c r="B61" i="73"/>
  <c r="X60" i="73"/>
  <c r="Z60" i="73" s="1"/>
  <c r="N60" i="73"/>
  <c r="L60" i="73"/>
  <c r="B60" i="73"/>
  <c r="X59" i="73"/>
  <c r="Z59" i="73" s="1"/>
  <c r="N59" i="73"/>
  <c r="L59" i="73"/>
  <c r="F59" i="73"/>
  <c r="B59" i="73"/>
  <c r="Z58" i="73"/>
  <c r="X58" i="73"/>
  <c r="N58" i="73"/>
  <c r="L58" i="73"/>
  <c r="B58" i="73"/>
  <c r="X57" i="73"/>
  <c r="Z57" i="73" s="1"/>
  <c r="T57" i="73"/>
  <c r="P57" i="73"/>
  <c r="N57" i="73"/>
  <c r="L57" i="73"/>
  <c r="H57" i="73"/>
  <c r="D57" i="73"/>
  <c r="B57" i="73"/>
  <c r="Z56" i="73"/>
  <c r="X56" i="73"/>
  <c r="L56" i="73"/>
  <c r="N56" i="73" s="1"/>
  <c r="B56" i="73"/>
  <c r="T55" i="73"/>
  <c r="P55" i="73"/>
  <c r="H55" i="73"/>
  <c r="D55" i="73"/>
  <c r="B55" i="73"/>
  <c r="X54" i="73"/>
  <c r="Z54" i="73" s="1"/>
  <c r="N54" i="73"/>
  <c r="L54" i="73"/>
  <c r="B54" i="73"/>
  <c r="T53" i="73"/>
  <c r="P53" i="73"/>
  <c r="X53" i="73" s="1"/>
  <c r="Z53" i="73" s="1"/>
  <c r="H53" i="73"/>
  <c r="D53" i="73"/>
  <c r="L53" i="73" s="1"/>
  <c r="N53" i="73" s="1"/>
  <c r="B53" i="73"/>
  <c r="X52" i="73"/>
  <c r="Z52" i="73" s="1"/>
  <c r="L52" i="73"/>
  <c r="N52" i="73" s="1"/>
  <c r="B52" i="73"/>
  <c r="X51" i="73"/>
  <c r="Z51" i="73" s="1"/>
  <c r="T51" i="73"/>
  <c r="P51" i="73"/>
  <c r="L51" i="73"/>
  <c r="N51" i="73" s="1"/>
  <c r="H51" i="73"/>
  <c r="D51" i="73"/>
  <c r="B51" i="73"/>
  <c r="Z50" i="73"/>
  <c r="X50" i="73"/>
  <c r="L50" i="73"/>
  <c r="N50" i="73" s="1"/>
  <c r="B50" i="73"/>
  <c r="T49" i="73"/>
  <c r="P49" i="73"/>
  <c r="H49" i="73"/>
  <c r="F49" i="73"/>
  <c r="D49" i="73"/>
  <c r="B49" i="73"/>
  <c r="X48" i="73"/>
  <c r="Z48" i="73" s="1"/>
  <c r="L48" i="73"/>
  <c r="N48" i="73" s="1"/>
  <c r="B48" i="73"/>
  <c r="T47" i="73"/>
  <c r="P47" i="73"/>
  <c r="X47" i="73" s="1"/>
  <c r="Z47" i="73" s="1"/>
  <c r="H47" i="73"/>
  <c r="F47" i="73"/>
  <c r="D47" i="73"/>
  <c r="L47" i="73" s="1"/>
  <c r="N47" i="73" s="1"/>
  <c r="B47" i="73"/>
  <c r="Z46" i="73"/>
  <c r="X46" i="73"/>
  <c r="N46" i="73"/>
  <c r="L46" i="73"/>
  <c r="B46" i="73"/>
  <c r="Z45" i="73"/>
  <c r="X45" i="73"/>
  <c r="T45" i="73"/>
  <c r="P45" i="73"/>
  <c r="L45" i="73"/>
  <c r="N45" i="73" s="1"/>
  <c r="H45" i="73"/>
  <c r="D45" i="73"/>
  <c r="B45" i="73"/>
  <c r="Z44" i="73"/>
  <c r="X44" i="73"/>
  <c r="N44" i="73"/>
  <c r="L44" i="73"/>
  <c r="B44" i="73"/>
  <c r="Z43" i="73"/>
  <c r="T43" i="73"/>
  <c r="P43" i="73"/>
  <c r="X43" i="73" s="1"/>
  <c r="H43" i="73"/>
  <c r="D43" i="73"/>
  <c r="B43" i="73"/>
  <c r="X42" i="73"/>
  <c r="Z42" i="73" s="1"/>
  <c r="N42" i="73"/>
  <c r="L42" i="73"/>
  <c r="B42" i="73"/>
  <c r="X41" i="73"/>
  <c r="Z41" i="73" s="1"/>
  <c r="L41" i="73"/>
  <c r="N41" i="73" s="1"/>
  <c r="B41" i="73"/>
  <c r="Z40" i="73"/>
  <c r="X40" i="73"/>
  <c r="N40" i="73"/>
  <c r="L40" i="73"/>
  <c r="B40" i="73"/>
  <c r="Z39" i="73"/>
  <c r="X39" i="73"/>
  <c r="L39" i="73"/>
  <c r="N39" i="73" s="1"/>
  <c r="B39" i="73"/>
  <c r="X38" i="73"/>
  <c r="Z38" i="73" s="1"/>
  <c r="N38" i="73"/>
  <c r="L38" i="73"/>
  <c r="B38" i="73"/>
  <c r="T37" i="73"/>
  <c r="P37" i="73"/>
  <c r="X37" i="73" s="1"/>
  <c r="Z37" i="73" s="1"/>
  <c r="N37" i="73"/>
  <c r="H37" i="73"/>
  <c r="D37" i="73"/>
  <c r="L37" i="73" s="1"/>
  <c r="B37" i="73"/>
  <c r="X36" i="73"/>
  <c r="Z36" i="73" s="1"/>
  <c r="N36" i="73"/>
  <c r="L36" i="73"/>
  <c r="B36" i="73"/>
  <c r="X35" i="73"/>
  <c r="Z35" i="73" s="1"/>
  <c r="N35" i="73"/>
  <c r="L35" i="73"/>
  <c r="B35" i="73"/>
  <c r="Z34" i="73"/>
  <c r="X34" i="73"/>
  <c r="N34" i="73"/>
  <c r="L34" i="73"/>
  <c r="B34" i="73"/>
  <c r="X33" i="73"/>
  <c r="Z33" i="73" s="1"/>
  <c r="L33" i="73"/>
  <c r="N33" i="73" s="1"/>
  <c r="B33" i="73"/>
  <c r="X32" i="73"/>
  <c r="Z32" i="73" s="1"/>
  <c r="L32" i="73"/>
  <c r="N32" i="73" s="1"/>
  <c r="B32" i="73"/>
  <c r="X31" i="73"/>
  <c r="Z31" i="73" s="1"/>
  <c r="N31" i="73"/>
  <c r="L31" i="73"/>
  <c r="B31" i="73"/>
  <c r="Z30" i="73"/>
  <c r="X30" i="73"/>
  <c r="N30" i="73"/>
  <c r="L30" i="73"/>
  <c r="F30" i="73"/>
  <c r="B30" i="73"/>
  <c r="Z29" i="73"/>
  <c r="X29" i="73"/>
  <c r="L29" i="73"/>
  <c r="N29" i="73" s="1"/>
  <c r="B29" i="73"/>
  <c r="T28" i="73"/>
  <c r="P28" i="73"/>
  <c r="X28" i="73" s="1"/>
  <c r="H28" i="73"/>
  <c r="N28" i="73" s="1"/>
  <c r="D28" i="73"/>
  <c r="L28" i="73" s="1"/>
  <c r="B28" i="73"/>
  <c r="T27" i="73"/>
  <c r="P27" i="73"/>
  <c r="X27" i="73" s="1"/>
  <c r="H27" i="73"/>
  <c r="D27" i="73"/>
  <c r="Z23" i="73"/>
  <c r="X23" i="73"/>
  <c r="N23" i="73"/>
  <c r="L23" i="73"/>
  <c r="B23" i="73"/>
  <c r="Z22" i="73"/>
  <c r="X22" i="73"/>
  <c r="L22" i="73"/>
  <c r="N22" i="73" s="1"/>
  <c r="F22" i="73"/>
  <c r="B22" i="73"/>
  <c r="X21" i="73"/>
  <c r="T21" i="73"/>
  <c r="P21" i="73"/>
  <c r="H21" i="73"/>
  <c r="N21" i="73" s="1"/>
  <c r="D21" i="73"/>
  <c r="L21" i="73" s="1"/>
  <c r="T19" i="73"/>
  <c r="P19" i="73"/>
  <c r="H19" i="73"/>
  <c r="D19" i="73"/>
  <c r="B19" i="73"/>
  <c r="Z18" i="73"/>
  <c r="X18" i="73"/>
  <c r="T18" i="73"/>
  <c r="P18" i="73"/>
  <c r="L18" i="73"/>
  <c r="H18" i="73"/>
  <c r="D18" i="73"/>
  <c r="B18" i="73"/>
  <c r="T17" i="73"/>
  <c r="P17" i="73"/>
  <c r="N17" i="73"/>
  <c r="H17" i="73"/>
  <c r="D17" i="73"/>
  <c r="L17" i="73" s="1"/>
  <c r="B17" i="73"/>
  <c r="T16" i="73"/>
  <c r="P16" i="73"/>
  <c r="X16" i="73" s="1"/>
  <c r="Z16" i="73" s="1"/>
  <c r="L16" i="73"/>
  <c r="H16" i="73"/>
  <c r="D16" i="73"/>
  <c r="B16" i="73"/>
  <c r="X15" i="73"/>
  <c r="T15" i="73"/>
  <c r="P15" i="73"/>
  <c r="H15" i="73"/>
  <c r="D15" i="73"/>
  <c r="B15" i="73"/>
  <c r="T14" i="73"/>
  <c r="P14" i="73"/>
  <c r="H14" i="73"/>
  <c r="L14" i="73" s="1"/>
  <c r="N14" i="73" s="1"/>
  <c r="D14" i="73"/>
  <c r="B14" i="73"/>
  <c r="T13" i="73"/>
  <c r="P13" i="73"/>
  <c r="L13" i="73"/>
  <c r="N13" i="73" s="1"/>
  <c r="H13" i="73"/>
  <c r="D13" i="73"/>
  <c r="B13" i="73"/>
  <c r="D12" i="73"/>
  <c r="F71" i="73" s="1"/>
  <c r="D6" i="73"/>
  <c r="D4" i="73"/>
  <c r="X117" i="71"/>
  <c r="Z117" i="71" s="1"/>
  <c r="N117" i="71"/>
  <c r="L117" i="71"/>
  <c r="T113" i="71"/>
  <c r="P113" i="71"/>
  <c r="H113" i="71"/>
  <c r="D113" i="71"/>
  <c r="L113" i="71" s="1"/>
  <c r="N113" i="71" s="1"/>
  <c r="B113" i="71"/>
  <c r="Z112" i="71"/>
  <c r="T112" i="71"/>
  <c r="P112" i="71"/>
  <c r="X112" i="71" s="1"/>
  <c r="N112" i="71"/>
  <c r="H112" i="71"/>
  <c r="D112" i="71"/>
  <c r="B112" i="71"/>
  <c r="T111" i="71"/>
  <c r="P111" i="71"/>
  <c r="H111" i="71"/>
  <c r="H110" i="71" s="1"/>
  <c r="D111" i="71"/>
  <c r="B111" i="71"/>
  <c r="Z108" i="71"/>
  <c r="X108" i="71"/>
  <c r="N108" i="71"/>
  <c r="L108" i="71"/>
  <c r="B108" i="71"/>
  <c r="T107" i="71"/>
  <c r="P107" i="71"/>
  <c r="N107" i="71"/>
  <c r="L107" i="71"/>
  <c r="H107" i="71"/>
  <c r="D107" i="71"/>
  <c r="B107" i="71"/>
  <c r="X106" i="71"/>
  <c r="Z106" i="71" s="1"/>
  <c r="L106" i="71"/>
  <c r="N106" i="71" s="1"/>
  <c r="B106" i="71"/>
  <c r="T105" i="71"/>
  <c r="P105" i="71"/>
  <c r="X105" i="71" s="1"/>
  <c r="Z105" i="71" s="1"/>
  <c r="H105" i="71"/>
  <c r="D105" i="71"/>
  <c r="B105" i="71"/>
  <c r="Z104" i="71"/>
  <c r="X104" i="71"/>
  <c r="N104" i="71"/>
  <c r="L104" i="71"/>
  <c r="B104" i="71"/>
  <c r="Z103" i="71"/>
  <c r="X103" i="71"/>
  <c r="N103" i="71"/>
  <c r="L103" i="71"/>
  <c r="B103" i="71"/>
  <c r="T102" i="71"/>
  <c r="P102" i="71"/>
  <c r="X102" i="71" s="1"/>
  <c r="Z102" i="71" s="1"/>
  <c r="L102" i="71"/>
  <c r="N102" i="71" s="1"/>
  <c r="H102" i="71"/>
  <c r="D102" i="71"/>
  <c r="B102" i="71"/>
  <c r="Z101" i="71"/>
  <c r="X101" i="71"/>
  <c r="N101" i="71"/>
  <c r="L101" i="71"/>
  <c r="B101" i="71"/>
  <c r="Z100" i="71"/>
  <c r="X100" i="71"/>
  <c r="N100" i="71"/>
  <c r="L100" i="71"/>
  <c r="B100" i="71"/>
  <c r="Z99" i="71"/>
  <c r="X99" i="71"/>
  <c r="L99" i="71"/>
  <c r="N99" i="71" s="1"/>
  <c r="B99" i="71"/>
  <c r="X98" i="71"/>
  <c r="Z98" i="71" s="1"/>
  <c r="L98" i="71"/>
  <c r="N98" i="71" s="1"/>
  <c r="B98" i="71"/>
  <c r="X97" i="71"/>
  <c r="Z97" i="71" s="1"/>
  <c r="T97" i="71"/>
  <c r="P97" i="71"/>
  <c r="N97" i="71"/>
  <c r="H97" i="71"/>
  <c r="D97" i="71"/>
  <c r="L97" i="71" s="1"/>
  <c r="B97" i="71"/>
  <c r="X96" i="71"/>
  <c r="Z96" i="71" s="1"/>
  <c r="N96" i="71"/>
  <c r="L96" i="71"/>
  <c r="B96" i="71"/>
  <c r="X95" i="71"/>
  <c r="T95" i="71"/>
  <c r="P95" i="71"/>
  <c r="H95" i="71"/>
  <c r="D95" i="71"/>
  <c r="L95" i="71" s="1"/>
  <c r="N95" i="71" s="1"/>
  <c r="B95" i="71"/>
  <c r="X94" i="71"/>
  <c r="Z94" i="71" s="1"/>
  <c r="N94" i="71"/>
  <c r="L94" i="71"/>
  <c r="B94" i="71"/>
  <c r="X93" i="71"/>
  <c r="Z93" i="71" s="1"/>
  <c r="L93" i="71"/>
  <c r="N93" i="71" s="1"/>
  <c r="B93" i="71"/>
  <c r="Z92" i="71"/>
  <c r="X92" i="71"/>
  <c r="T92" i="71"/>
  <c r="P92" i="71"/>
  <c r="H92" i="71"/>
  <c r="D92" i="71"/>
  <c r="L92" i="71" s="1"/>
  <c r="B92" i="71"/>
  <c r="Z91" i="71"/>
  <c r="X91" i="71"/>
  <c r="L91" i="71"/>
  <c r="N91" i="71" s="1"/>
  <c r="B91" i="71"/>
  <c r="T90" i="71"/>
  <c r="P90" i="71"/>
  <c r="H90" i="71"/>
  <c r="D90" i="71"/>
  <c r="B90" i="71"/>
  <c r="X89" i="71"/>
  <c r="Z89" i="71" s="1"/>
  <c r="N89" i="71"/>
  <c r="L89" i="71"/>
  <c r="B89" i="71"/>
  <c r="Z88" i="71"/>
  <c r="X88" i="71"/>
  <c r="T88" i="71"/>
  <c r="P88" i="71"/>
  <c r="N88" i="71"/>
  <c r="H88" i="71"/>
  <c r="D88" i="71"/>
  <c r="L88" i="71" s="1"/>
  <c r="B88" i="71"/>
  <c r="Z87" i="71"/>
  <c r="X87" i="71"/>
  <c r="N87" i="71"/>
  <c r="L87" i="71"/>
  <c r="B87" i="71"/>
  <c r="X86" i="71"/>
  <c r="Z86" i="71" s="1"/>
  <c r="L86" i="71"/>
  <c r="N86" i="71" s="1"/>
  <c r="B86" i="71"/>
  <c r="T85" i="71"/>
  <c r="P85" i="71"/>
  <c r="X85" i="71" s="1"/>
  <c r="H85" i="71"/>
  <c r="D85" i="71"/>
  <c r="L85" i="71" s="1"/>
  <c r="B85" i="71"/>
  <c r="Z84" i="71"/>
  <c r="X84" i="71"/>
  <c r="L84" i="71"/>
  <c r="N84" i="71" s="1"/>
  <c r="B84" i="71"/>
  <c r="T83" i="71"/>
  <c r="P83" i="71"/>
  <c r="X83" i="71" s="1"/>
  <c r="N83" i="71"/>
  <c r="L83" i="71"/>
  <c r="H83" i="71"/>
  <c r="D83" i="71"/>
  <c r="B83" i="71"/>
  <c r="X82" i="71"/>
  <c r="Z82" i="71" s="1"/>
  <c r="L82" i="71"/>
  <c r="N82" i="71" s="1"/>
  <c r="B82" i="71"/>
  <c r="T81" i="71"/>
  <c r="P81" i="71"/>
  <c r="X81" i="71" s="1"/>
  <c r="Z81" i="71" s="1"/>
  <c r="H81" i="71"/>
  <c r="D81" i="71"/>
  <c r="B81" i="71"/>
  <c r="Z80" i="71"/>
  <c r="X80" i="71"/>
  <c r="N80" i="71"/>
  <c r="L80" i="71"/>
  <c r="B80" i="71"/>
  <c r="Z79" i="71"/>
  <c r="X79" i="71"/>
  <c r="N79" i="71"/>
  <c r="L79" i="71"/>
  <c r="B79" i="71"/>
  <c r="T78" i="71"/>
  <c r="P78" i="71"/>
  <c r="X78" i="71" s="1"/>
  <c r="Z78" i="71" s="1"/>
  <c r="L78" i="71"/>
  <c r="N78" i="71" s="1"/>
  <c r="H78" i="71"/>
  <c r="D78" i="71"/>
  <c r="B78" i="71"/>
  <c r="Z77" i="71"/>
  <c r="X77" i="71"/>
  <c r="N77" i="71"/>
  <c r="L77" i="71"/>
  <c r="B77" i="71"/>
  <c r="T76" i="71"/>
  <c r="P76" i="71"/>
  <c r="L76" i="71"/>
  <c r="H76" i="71"/>
  <c r="D76" i="71"/>
  <c r="B76" i="71"/>
  <c r="X75" i="71"/>
  <c r="Z75" i="71" s="1"/>
  <c r="N75" i="71"/>
  <c r="L75" i="71"/>
  <c r="B75" i="71"/>
  <c r="X74" i="71"/>
  <c r="Z74" i="71" s="1"/>
  <c r="N74" i="71"/>
  <c r="L74" i="71"/>
  <c r="B74" i="71"/>
  <c r="Z73" i="71"/>
  <c r="X73" i="71"/>
  <c r="L73" i="71"/>
  <c r="N73" i="71" s="1"/>
  <c r="B73" i="71"/>
  <c r="X72" i="71"/>
  <c r="Z72" i="71" s="1"/>
  <c r="N72" i="71"/>
  <c r="L72" i="71"/>
  <c r="B72" i="71"/>
  <c r="X71" i="71"/>
  <c r="Z71" i="71" s="1"/>
  <c r="N71" i="71"/>
  <c r="L71" i="71"/>
  <c r="B71" i="71"/>
  <c r="T70" i="71"/>
  <c r="P70" i="71"/>
  <c r="X70" i="71" s="1"/>
  <c r="Z70" i="71" s="1"/>
  <c r="N70" i="71"/>
  <c r="L70" i="71"/>
  <c r="H70" i="71"/>
  <c r="D70" i="71"/>
  <c r="B70" i="71"/>
  <c r="X69" i="71"/>
  <c r="Z69" i="71" s="1"/>
  <c r="L69" i="71"/>
  <c r="N69" i="71" s="1"/>
  <c r="B69" i="71"/>
  <c r="Z68" i="71"/>
  <c r="X68" i="71"/>
  <c r="N68" i="71"/>
  <c r="L68" i="71"/>
  <c r="B68" i="71"/>
  <c r="Z67" i="71"/>
  <c r="X67" i="71"/>
  <c r="N67" i="71"/>
  <c r="L67" i="71"/>
  <c r="B67" i="71"/>
  <c r="X66" i="71"/>
  <c r="Z66" i="71" s="1"/>
  <c r="L66" i="71"/>
  <c r="N66" i="71" s="1"/>
  <c r="B66" i="71"/>
  <c r="X65" i="71"/>
  <c r="Z65" i="71" s="1"/>
  <c r="N65" i="71"/>
  <c r="L65" i="71"/>
  <c r="B65" i="71"/>
  <c r="X64" i="71"/>
  <c r="Z64" i="71" s="1"/>
  <c r="N64" i="71"/>
  <c r="L64" i="71"/>
  <c r="B64" i="71"/>
  <c r="Z63" i="71"/>
  <c r="X63" i="71"/>
  <c r="N63" i="71"/>
  <c r="L63" i="71"/>
  <c r="B63" i="71"/>
  <c r="X62" i="71"/>
  <c r="Z62" i="71" s="1"/>
  <c r="L62" i="71"/>
  <c r="N62" i="71" s="1"/>
  <c r="B62" i="71"/>
  <c r="X61" i="71"/>
  <c r="Z61" i="71" s="1"/>
  <c r="L61" i="71"/>
  <c r="N61" i="71" s="1"/>
  <c r="B61" i="71"/>
  <c r="X60" i="71"/>
  <c r="Z60" i="71" s="1"/>
  <c r="T60" i="71"/>
  <c r="P60" i="71"/>
  <c r="H60" i="71"/>
  <c r="N60" i="71" s="1"/>
  <c r="D60" i="71"/>
  <c r="L60" i="71" s="1"/>
  <c r="B60" i="71"/>
  <c r="T59" i="71"/>
  <c r="P59" i="71"/>
  <c r="X59" i="71" s="1"/>
  <c r="Z59" i="71" s="1"/>
  <c r="N59" i="71"/>
  <c r="L59" i="71"/>
  <c r="H59" i="71"/>
  <c r="D59" i="71"/>
  <c r="Z55" i="71"/>
  <c r="X55" i="71"/>
  <c r="N55" i="71"/>
  <c r="L55" i="71"/>
  <c r="B55" i="71"/>
  <c r="X54" i="71"/>
  <c r="Z54" i="71" s="1"/>
  <c r="N54" i="71"/>
  <c r="L54" i="71"/>
  <c r="B54" i="71"/>
  <c r="Z53" i="71"/>
  <c r="X53" i="71"/>
  <c r="L53" i="71"/>
  <c r="N53" i="71" s="1"/>
  <c r="B53" i="71"/>
  <c r="Z52" i="71"/>
  <c r="X52" i="71"/>
  <c r="N52" i="71"/>
  <c r="L52" i="71"/>
  <c r="B52" i="71"/>
  <c r="Z51" i="71"/>
  <c r="X51" i="71"/>
  <c r="L51" i="71"/>
  <c r="N51" i="71" s="1"/>
  <c r="B51" i="71"/>
  <c r="X50" i="71"/>
  <c r="Z50" i="71" s="1"/>
  <c r="N50" i="71"/>
  <c r="L50" i="71"/>
  <c r="B50" i="71"/>
  <c r="X49" i="71"/>
  <c r="Z49" i="71" s="1"/>
  <c r="N49" i="71"/>
  <c r="L49" i="71"/>
  <c r="B49" i="71"/>
  <c r="Z48" i="71"/>
  <c r="X48" i="71"/>
  <c r="N48" i="71"/>
  <c r="L48" i="71"/>
  <c r="B48" i="71"/>
  <c r="Z47" i="71"/>
  <c r="X47" i="71"/>
  <c r="L47" i="71"/>
  <c r="N47" i="71" s="1"/>
  <c r="B47" i="71"/>
  <c r="X46" i="71"/>
  <c r="Z46" i="71" s="1"/>
  <c r="L46" i="71"/>
  <c r="N46" i="71" s="1"/>
  <c r="B46" i="71"/>
  <c r="Z45" i="71"/>
  <c r="X45" i="71"/>
  <c r="N45" i="71"/>
  <c r="L45" i="71"/>
  <c r="B45" i="71"/>
  <c r="Z44" i="71"/>
  <c r="X44" i="71"/>
  <c r="N44" i="71"/>
  <c r="L44" i="71"/>
  <c r="B44" i="71"/>
  <c r="Z43" i="71"/>
  <c r="X43" i="71"/>
  <c r="L43" i="71"/>
  <c r="N43" i="71" s="1"/>
  <c r="B43" i="71"/>
  <c r="X42" i="71"/>
  <c r="Z42" i="71" s="1"/>
  <c r="L42" i="71"/>
  <c r="N42" i="71" s="1"/>
  <c r="B42" i="71"/>
  <c r="Z41" i="71"/>
  <c r="X41" i="71"/>
  <c r="L41" i="71"/>
  <c r="N41" i="71" s="1"/>
  <c r="B41" i="71"/>
  <c r="T40" i="71"/>
  <c r="Z40" i="71" s="1"/>
  <c r="P40" i="71"/>
  <c r="X40" i="71" s="1"/>
  <c r="H40" i="71"/>
  <c r="L40" i="71" s="1"/>
  <c r="D40" i="71"/>
  <c r="Z38" i="71"/>
  <c r="T38" i="71"/>
  <c r="P38" i="71"/>
  <c r="X38" i="71" s="1"/>
  <c r="H38" i="71"/>
  <c r="D38" i="71"/>
  <c r="B38" i="71"/>
  <c r="X37" i="71"/>
  <c r="T37" i="71"/>
  <c r="P37" i="71"/>
  <c r="L37" i="71"/>
  <c r="H37" i="71"/>
  <c r="N37" i="71" s="1"/>
  <c r="D37" i="71"/>
  <c r="B37" i="71"/>
  <c r="T36" i="71"/>
  <c r="P36" i="71"/>
  <c r="X36" i="71" s="1"/>
  <c r="Z36" i="71" s="1"/>
  <c r="H36" i="71"/>
  <c r="N36" i="71" s="1"/>
  <c r="D36" i="71"/>
  <c r="B36" i="71"/>
  <c r="X35" i="71"/>
  <c r="T35" i="71"/>
  <c r="Z35" i="71" s="1"/>
  <c r="P35" i="71"/>
  <c r="H35" i="71"/>
  <c r="D35" i="71"/>
  <c r="B35" i="71"/>
  <c r="Z34" i="71"/>
  <c r="T34" i="71"/>
  <c r="P34" i="71"/>
  <c r="X34" i="71" s="1"/>
  <c r="L34" i="71"/>
  <c r="H34" i="71"/>
  <c r="N34" i="71" s="1"/>
  <c r="D34" i="71"/>
  <c r="B34" i="71"/>
  <c r="T33" i="71"/>
  <c r="P33" i="71"/>
  <c r="X33" i="71" s="1"/>
  <c r="L33" i="71"/>
  <c r="H33" i="71"/>
  <c r="N33" i="71" s="1"/>
  <c r="D33" i="71"/>
  <c r="B33" i="71"/>
  <c r="T32" i="71"/>
  <c r="P32" i="71"/>
  <c r="X32" i="71" s="1"/>
  <c r="Z32" i="71" s="1"/>
  <c r="L32" i="71"/>
  <c r="H32" i="71"/>
  <c r="N32" i="71" s="1"/>
  <c r="D32" i="71"/>
  <c r="B32" i="71"/>
  <c r="X31" i="71"/>
  <c r="Z31" i="71" s="1"/>
  <c r="T31" i="71"/>
  <c r="P31" i="71"/>
  <c r="H31" i="71"/>
  <c r="D31" i="71"/>
  <c r="B31" i="71"/>
  <c r="T30" i="71"/>
  <c r="P30" i="71"/>
  <c r="X30" i="71" s="1"/>
  <c r="N30" i="71"/>
  <c r="L30" i="71"/>
  <c r="H30" i="71"/>
  <c r="D30" i="71"/>
  <c r="B30" i="71"/>
  <c r="T29" i="71"/>
  <c r="P29" i="71"/>
  <c r="X29" i="71" s="1"/>
  <c r="Z29" i="71" s="1"/>
  <c r="H29" i="71"/>
  <c r="D29" i="71"/>
  <c r="L29" i="71" s="1"/>
  <c r="B29" i="71"/>
  <c r="T28" i="71"/>
  <c r="P28" i="71"/>
  <c r="X28" i="71" s="1"/>
  <c r="Z28" i="71" s="1"/>
  <c r="L28" i="71"/>
  <c r="N28" i="71" s="1"/>
  <c r="H28" i="71"/>
  <c r="D28" i="71"/>
  <c r="B28" i="71"/>
  <c r="Z27" i="71"/>
  <c r="X27" i="71"/>
  <c r="T27" i="71"/>
  <c r="P27" i="71"/>
  <c r="L27" i="71"/>
  <c r="H27" i="71"/>
  <c r="N27" i="71" s="1"/>
  <c r="D27" i="71"/>
  <c r="B27" i="71"/>
  <c r="T26" i="71"/>
  <c r="P26" i="71"/>
  <c r="N26" i="71"/>
  <c r="L26" i="71"/>
  <c r="H26" i="71"/>
  <c r="D26" i="71"/>
  <c r="B26" i="71"/>
  <c r="T25" i="71"/>
  <c r="P25" i="71"/>
  <c r="X25" i="71" s="1"/>
  <c r="Z25" i="71" s="1"/>
  <c r="H25" i="71"/>
  <c r="D25" i="71"/>
  <c r="B25" i="71"/>
  <c r="Z24" i="71"/>
  <c r="X24" i="71"/>
  <c r="T24" i="71"/>
  <c r="P24" i="71"/>
  <c r="N24" i="71"/>
  <c r="L24" i="71"/>
  <c r="H24" i="71"/>
  <c r="D24" i="71"/>
  <c r="B24" i="71"/>
  <c r="T23" i="71"/>
  <c r="P23" i="71"/>
  <c r="X23" i="71" s="1"/>
  <c r="Z23" i="71" s="1"/>
  <c r="N23" i="71"/>
  <c r="L23" i="71"/>
  <c r="H23" i="71"/>
  <c r="D23" i="71"/>
  <c r="B23" i="71"/>
  <c r="T22" i="71"/>
  <c r="P22" i="71"/>
  <c r="H22" i="71"/>
  <c r="D22" i="71"/>
  <c r="B22" i="71"/>
  <c r="T21" i="71"/>
  <c r="P21" i="71"/>
  <c r="X21" i="71" s="1"/>
  <c r="Z21" i="71" s="1"/>
  <c r="H21" i="71"/>
  <c r="D21" i="71"/>
  <c r="B21" i="71"/>
  <c r="X20" i="71"/>
  <c r="T20" i="71"/>
  <c r="P20" i="71"/>
  <c r="H20" i="71"/>
  <c r="L20" i="71" s="1"/>
  <c r="N20" i="71" s="1"/>
  <c r="D20" i="71"/>
  <c r="B20" i="71"/>
  <c r="T19" i="71"/>
  <c r="P19" i="71"/>
  <c r="X19" i="71" s="1"/>
  <c r="L19" i="71"/>
  <c r="N19" i="71" s="1"/>
  <c r="H19" i="71"/>
  <c r="D19" i="71"/>
  <c r="B19" i="71"/>
  <c r="T18" i="71"/>
  <c r="P18" i="71"/>
  <c r="H18" i="71"/>
  <c r="D18" i="71"/>
  <c r="L18" i="71" s="1"/>
  <c r="B18" i="71"/>
  <c r="Z17" i="71"/>
  <c r="X17" i="71"/>
  <c r="T17" i="71"/>
  <c r="P17" i="71"/>
  <c r="L17" i="71"/>
  <c r="H17" i="71"/>
  <c r="D17" i="71"/>
  <c r="B17" i="71"/>
  <c r="T16" i="71"/>
  <c r="P16" i="71"/>
  <c r="X16" i="71" s="1"/>
  <c r="N16" i="71"/>
  <c r="L16" i="71"/>
  <c r="H16" i="71"/>
  <c r="D16" i="71"/>
  <c r="B16" i="71"/>
  <c r="T15" i="71"/>
  <c r="P15" i="71"/>
  <c r="H15" i="71"/>
  <c r="D15" i="71"/>
  <c r="B15" i="71"/>
  <c r="T14" i="71"/>
  <c r="P14" i="71"/>
  <c r="X14" i="71" s="1"/>
  <c r="Z14" i="71" s="1"/>
  <c r="H14" i="71"/>
  <c r="D14" i="71"/>
  <c r="L14" i="71" s="1"/>
  <c r="N14" i="71" s="1"/>
  <c r="B14" i="71"/>
  <c r="Z13" i="71"/>
  <c r="X13" i="71"/>
  <c r="T13" i="71"/>
  <c r="P13" i="71"/>
  <c r="L13" i="71"/>
  <c r="H13" i="71"/>
  <c r="N13" i="71" s="1"/>
  <c r="D13" i="71"/>
  <c r="B13" i="71"/>
  <c r="D6" i="71"/>
  <c r="D4" i="71"/>
  <c r="X70" i="70"/>
  <c r="Z70" i="70" s="1"/>
  <c r="L70" i="70"/>
  <c r="N70" i="70" s="1"/>
  <c r="J70" i="70"/>
  <c r="Z66" i="70"/>
  <c r="T66" i="70"/>
  <c r="P66" i="70"/>
  <c r="X66" i="70" s="1"/>
  <c r="L66" i="70"/>
  <c r="H66" i="70"/>
  <c r="D66" i="70"/>
  <c r="Z64" i="70"/>
  <c r="X64" i="70"/>
  <c r="L64" i="70"/>
  <c r="N64" i="70" s="1"/>
  <c r="B64" i="70"/>
  <c r="X63" i="70"/>
  <c r="Z63" i="70" s="1"/>
  <c r="T63" i="70"/>
  <c r="P63" i="70"/>
  <c r="H63" i="70"/>
  <c r="D63" i="70"/>
  <c r="L63" i="70" s="1"/>
  <c r="N63" i="70" s="1"/>
  <c r="B63" i="70"/>
  <c r="Z62" i="70"/>
  <c r="X62" i="70"/>
  <c r="N62" i="70"/>
  <c r="L62" i="70"/>
  <c r="B62" i="70"/>
  <c r="Z61" i="70"/>
  <c r="X61" i="70"/>
  <c r="N61" i="70"/>
  <c r="L61" i="70"/>
  <c r="B61" i="70"/>
  <c r="X60" i="70"/>
  <c r="Z60" i="70" s="1"/>
  <c r="N60" i="70"/>
  <c r="L60" i="70"/>
  <c r="J60" i="70"/>
  <c r="B60" i="70"/>
  <c r="X59" i="70"/>
  <c r="Z59" i="70" s="1"/>
  <c r="N59" i="70"/>
  <c r="L59" i="70"/>
  <c r="J59" i="70"/>
  <c r="B59" i="70"/>
  <c r="Z58" i="70"/>
  <c r="X58" i="70"/>
  <c r="N58" i="70"/>
  <c r="L58" i="70"/>
  <c r="B58" i="70"/>
  <c r="Z57" i="70"/>
  <c r="X57" i="70"/>
  <c r="V57" i="70"/>
  <c r="N57" i="70"/>
  <c r="L57" i="70"/>
  <c r="B57" i="70"/>
  <c r="T56" i="70"/>
  <c r="P56" i="70"/>
  <c r="X56" i="70" s="1"/>
  <c r="N56" i="70"/>
  <c r="L56" i="70"/>
  <c r="H56" i="70"/>
  <c r="D56" i="70"/>
  <c r="B56" i="70"/>
  <c r="Z55" i="70"/>
  <c r="X55" i="70"/>
  <c r="N55" i="70"/>
  <c r="L55" i="70"/>
  <c r="B55" i="70"/>
  <c r="T54" i="70"/>
  <c r="Z54" i="70" s="1"/>
  <c r="P54" i="70"/>
  <c r="X54" i="70" s="1"/>
  <c r="N54" i="70"/>
  <c r="L54" i="70"/>
  <c r="J54" i="70"/>
  <c r="H54" i="70"/>
  <c r="D54" i="70"/>
  <c r="B54" i="70"/>
  <c r="Z53" i="70"/>
  <c r="X53" i="70"/>
  <c r="N53" i="70"/>
  <c r="L53" i="70"/>
  <c r="J53" i="70"/>
  <c r="B53" i="70"/>
  <c r="Z52" i="70"/>
  <c r="X52" i="70"/>
  <c r="L52" i="70"/>
  <c r="N52" i="70" s="1"/>
  <c r="B52" i="70"/>
  <c r="X51" i="70"/>
  <c r="Z51" i="70" s="1"/>
  <c r="T51" i="70"/>
  <c r="P51" i="70"/>
  <c r="H51" i="70"/>
  <c r="D51" i="70"/>
  <c r="L51" i="70" s="1"/>
  <c r="N51" i="70" s="1"/>
  <c r="B51" i="70"/>
  <c r="Z50" i="70"/>
  <c r="X50" i="70"/>
  <c r="N50" i="70"/>
  <c r="L50" i="70"/>
  <c r="B50" i="70"/>
  <c r="Z49" i="70"/>
  <c r="X49" i="70"/>
  <c r="N49" i="70"/>
  <c r="L49" i="70"/>
  <c r="B49" i="70"/>
  <c r="T48" i="70"/>
  <c r="P48" i="70"/>
  <c r="X48" i="70" s="1"/>
  <c r="N48" i="70"/>
  <c r="L48" i="70"/>
  <c r="H48" i="70"/>
  <c r="D48" i="70"/>
  <c r="B48" i="70"/>
  <c r="Z47" i="70"/>
  <c r="X47" i="70"/>
  <c r="V47" i="70"/>
  <c r="R47" i="70"/>
  <c r="L47" i="70"/>
  <c r="N47" i="70" s="1"/>
  <c r="B47" i="70"/>
  <c r="T46" i="70"/>
  <c r="Z46" i="70" s="1"/>
  <c r="P46" i="70"/>
  <c r="X46" i="70" s="1"/>
  <c r="N46" i="70"/>
  <c r="L46" i="70"/>
  <c r="J46" i="70"/>
  <c r="H46" i="70"/>
  <c r="D46" i="70"/>
  <c r="B46" i="70"/>
  <c r="Z45" i="70"/>
  <c r="X45" i="70"/>
  <c r="N45" i="70"/>
  <c r="L45" i="70"/>
  <c r="J45" i="70"/>
  <c r="B45" i="70"/>
  <c r="Z44" i="70"/>
  <c r="T44" i="70"/>
  <c r="P44" i="70"/>
  <c r="X44" i="70" s="1"/>
  <c r="H44" i="70"/>
  <c r="D44" i="70"/>
  <c r="B44" i="70"/>
  <c r="X43" i="70"/>
  <c r="Z43" i="70" s="1"/>
  <c r="N43" i="70"/>
  <c r="L43" i="70"/>
  <c r="J43" i="70"/>
  <c r="B43" i="70"/>
  <c r="Z42" i="70"/>
  <c r="X42" i="70"/>
  <c r="T42" i="70"/>
  <c r="P42" i="70"/>
  <c r="H42" i="70"/>
  <c r="D42" i="70"/>
  <c r="B42" i="70"/>
  <c r="Z41" i="70"/>
  <c r="X41" i="70"/>
  <c r="N41" i="70"/>
  <c r="L41" i="70"/>
  <c r="B41" i="70"/>
  <c r="X40" i="70"/>
  <c r="Z40" i="70" s="1"/>
  <c r="V40" i="70"/>
  <c r="T40" i="70"/>
  <c r="P40" i="70"/>
  <c r="H40" i="70"/>
  <c r="N40" i="70" s="1"/>
  <c r="D40" i="70"/>
  <c r="L40" i="70" s="1"/>
  <c r="B40" i="70"/>
  <c r="Z39" i="70"/>
  <c r="X39" i="70"/>
  <c r="L39" i="70"/>
  <c r="N39" i="70" s="1"/>
  <c r="B39" i="70"/>
  <c r="X38" i="70"/>
  <c r="V38" i="70"/>
  <c r="T38" i="70"/>
  <c r="P38" i="70"/>
  <c r="H38" i="70"/>
  <c r="D38" i="70"/>
  <c r="L38" i="70" s="1"/>
  <c r="N38" i="70" s="1"/>
  <c r="B38" i="70"/>
  <c r="Z37" i="70"/>
  <c r="X37" i="70"/>
  <c r="V37" i="70"/>
  <c r="N37" i="70"/>
  <c r="L37" i="70"/>
  <c r="B37" i="70"/>
  <c r="X36" i="70"/>
  <c r="Z36" i="70" s="1"/>
  <c r="N36" i="70"/>
  <c r="L36" i="70"/>
  <c r="J36" i="70"/>
  <c r="B36" i="70"/>
  <c r="X35" i="70"/>
  <c r="Z35" i="70" s="1"/>
  <c r="N35" i="70"/>
  <c r="L35" i="70"/>
  <c r="J35" i="70"/>
  <c r="B35" i="70"/>
  <c r="Z34" i="70"/>
  <c r="X34" i="70"/>
  <c r="N34" i="70"/>
  <c r="L34" i="70"/>
  <c r="B34" i="70"/>
  <c r="Z33" i="70"/>
  <c r="X33" i="70"/>
  <c r="V33" i="70"/>
  <c r="N33" i="70"/>
  <c r="L33" i="70"/>
  <c r="B33" i="70"/>
  <c r="T32" i="70"/>
  <c r="P32" i="70"/>
  <c r="N32" i="70"/>
  <c r="L32" i="70"/>
  <c r="H32" i="70"/>
  <c r="D32" i="70"/>
  <c r="B32" i="70"/>
  <c r="Z31" i="70"/>
  <c r="X31" i="70"/>
  <c r="V31" i="70"/>
  <c r="L31" i="70"/>
  <c r="N31" i="70" s="1"/>
  <c r="J31" i="70"/>
  <c r="B31" i="70"/>
  <c r="Z30" i="70"/>
  <c r="X30" i="70"/>
  <c r="L30" i="70"/>
  <c r="N30" i="70" s="1"/>
  <c r="J30" i="70"/>
  <c r="B30" i="70"/>
  <c r="Z29" i="70"/>
  <c r="X29" i="70"/>
  <c r="N29" i="70"/>
  <c r="L29" i="70"/>
  <c r="J29" i="70"/>
  <c r="B29" i="70"/>
  <c r="Z28" i="70"/>
  <c r="X28" i="70"/>
  <c r="N28" i="70"/>
  <c r="L28" i="70"/>
  <c r="B28" i="70"/>
  <c r="Z27" i="70"/>
  <c r="X27" i="70"/>
  <c r="V27" i="70"/>
  <c r="N27" i="70"/>
  <c r="L27" i="70"/>
  <c r="J27" i="70"/>
  <c r="B27" i="70"/>
  <c r="Z26" i="70"/>
  <c r="X26" i="70"/>
  <c r="L26" i="70"/>
  <c r="N26" i="70" s="1"/>
  <c r="J26" i="70"/>
  <c r="B26" i="70"/>
  <c r="Z25" i="70"/>
  <c r="X25" i="70"/>
  <c r="N25" i="70"/>
  <c r="L25" i="70"/>
  <c r="J25" i="70"/>
  <c r="B25" i="70"/>
  <c r="X24" i="70"/>
  <c r="Z24" i="70" s="1"/>
  <c r="V24" i="70"/>
  <c r="N24" i="70"/>
  <c r="L24" i="70"/>
  <c r="B24" i="70"/>
  <c r="T23" i="70"/>
  <c r="P23" i="70"/>
  <c r="N23" i="70"/>
  <c r="L23" i="70"/>
  <c r="H23" i="70"/>
  <c r="D23" i="70"/>
  <c r="B23" i="70"/>
  <c r="X22" i="70"/>
  <c r="V22" i="70"/>
  <c r="T22" i="70"/>
  <c r="P22" i="70"/>
  <c r="H22" i="70"/>
  <c r="D22" i="70"/>
  <c r="L22" i="70" s="1"/>
  <c r="N22" i="70" s="1"/>
  <c r="X18" i="70"/>
  <c r="Z18" i="70" s="1"/>
  <c r="V18" i="70"/>
  <c r="R18" i="70"/>
  <c r="N18" i="70"/>
  <c r="L18" i="70"/>
  <c r="B18" i="70"/>
  <c r="Z17" i="70"/>
  <c r="X17" i="70"/>
  <c r="N17" i="70"/>
  <c r="L17" i="70"/>
  <c r="J17" i="70"/>
  <c r="B17" i="70"/>
  <c r="T16" i="70"/>
  <c r="P16" i="70"/>
  <c r="X16" i="70" s="1"/>
  <c r="Z16" i="70" s="1"/>
  <c r="H16" i="70"/>
  <c r="L16" i="70" s="1"/>
  <c r="D16" i="70"/>
  <c r="T14" i="70"/>
  <c r="Z14" i="70" s="1"/>
  <c r="P14" i="70"/>
  <c r="X14" i="70" s="1"/>
  <c r="H14" i="70"/>
  <c r="D14" i="70"/>
  <c r="L14" i="70" s="1"/>
  <c r="N14" i="70" s="1"/>
  <c r="B14" i="70"/>
  <c r="Z13" i="70"/>
  <c r="X13" i="70"/>
  <c r="T13" i="70"/>
  <c r="P13" i="70"/>
  <c r="L13" i="70"/>
  <c r="H13" i="70"/>
  <c r="N13" i="70" s="1"/>
  <c r="D13" i="70"/>
  <c r="B13" i="70"/>
  <c r="T12" i="70"/>
  <c r="P12" i="70"/>
  <c r="R60" i="70" s="1"/>
  <c r="H12" i="70"/>
  <c r="J55" i="70" s="1"/>
  <c r="D6" i="70"/>
  <c r="D4" i="70"/>
  <c r="X116" i="69"/>
  <c r="Z116" i="69" s="1"/>
  <c r="N116" i="69"/>
  <c r="L116" i="69"/>
  <c r="Z112" i="69"/>
  <c r="T112" i="69"/>
  <c r="P112" i="69"/>
  <c r="X112" i="69" s="1"/>
  <c r="H112" i="69"/>
  <c r="D112" i="69"/>
  <c r="Z110" i="69"/>
  <c r="X110" i="69"/>
  <c r="N110" i="69"/>
  <c r="L110" i="69"/>
  <c r="B110" i="69"/>
  <c r="Z109" i="69"/>
  <c r="X109" i="69"/>
  <c r="T109" i="69"/>
  <c r="P109" i="69"/>
  <c r="N109" i="69"/>
  <c r="H109" i="69"/>
  <c r="D109" i="69"/>
  <c r="L109" i="69" s="1"/>
  <c r="B109" i="69"/>
  <c r="Z108" i="69"/>
  <c r="X108" i="69"/>
  <c r="N108" i="69"/>
  <c r="L108" i="69"/>
  <c r="B108" i="69"/>
  <c r="Z107" i="69"/>
  <c r="X107" i="69"/>
  <c r="T107" i="69"/>
  <c r="P107" i="69"/>
  <c r="L107" i="69"/>
  <c r="H107" i="69"/>
  <c r="N107" i="69" s="1"/>
  <c r="D107" i="69"/>
  <c r="B107" i="69"/>
  <c r="X106" i="69"/>
  <c r="Z106" i="69" s="1"/>
  <c r="N106" i="69"/>
  <c r="L106" i="69"/>
  <c r="B106" i="69"/>
  <c r="Z105" i="69"/>
  <c r="X105" i="69"/>
  <c r="N105" i="69"/>
  <c r="L105" i="69"/>
  <c r="B105" i="69"/>
  <c r="T104" i="69"/>
  <c r="Z104" i="69" s="1"/>
  <c r="P104" i="69"/>
  <c r="X104" i="69" s="1"/>
  <c r="N104" i="69"/>
  <c r="L104" i="69"/>
  <c r="H104" i="69"/>
  <c r="D104" i="69"/>
  <c r="B104" i="69"/>
  <c r="Z103" i="69"/>
  <c r="X103" i="69"/>
  <c r="N103" i="69"/>
  <c r="L103" i="69"/>
  <c r="B103" i="69"/>
  <c r="Z102" i="69"/>
  <c r="X102" i="69"/>
  <c r="L102" i="69"/>
  <c r="N102" i="69" s="1"/>
  <c r="B102" i="69"/>
  <c r="X101" i="69"/>
  <c r="Z101" i="69" s="1"/>
  <c r="T101" i="69"/>
  <c r="P101" i="69"/>
  <c r="H101" i="69"/>
  <c r="D101" i="69"/>
  <c r="L101" i="69" s="1"/>
  <c r="N101" i="69" s="1"/>
  <c r="B101" i="69"/>
  <c r="Z100" i="69"/>
  <c r="X100" i="69"/>
  <c r="N100" i="69"/>
  <c r="L100" i="69"/>
  <c r="B100" i="69"/>
  <c r="Z99" i="69"/>
  <c r="X99" i="69"/>
  <c r="N99" i="69"/>
  <c r="L99" i="69"/>
  <c r="B99" i="69"/>
  <c r="T98" i="69"/>
  <c r="P98" i="69"/>
  <c r="X98" i="69" s="1"/>
  <c r="N98" i="69"/>
  <c r="L98" i="69"/>
  <c r="H98" i="69"/>
  <c r="D98" i="69"/>
  <c r="B98" i="69"/>
  <c r="Z97" i="69"/>
  <c r="X97" i="69"/>
  <c r="N97" i="69"/>
  <c r="L97" i="69"/>
  <c r="B97" i="69"/>
  <c r="T96" i="69"/>
  <c r="Z96" i="69" s="1"/>
  <c r="P96" i="69"/>
  <c r="X96" i="69" s="1"/>
  <c r="N96" i="69"/>
  <c r="L96" i="69"/>
  <c r="H96" i="69"/>
  <c r="D96" i="69"/>
  <c r="B96" i="69"/>
  <c r="Z95" i="69"/>
  <c r="X95" i="69"/>
  <c r="L95" i="69"/>
  <c r="N95" i="69" s="1"/>
  <c r="B95" i="69"/>
  <c r="T94" i="69"/>
  <c r="P94" i="69"/>
  <c r="X94" i="69" s="1"/>
  <c r="Z94" i="69" s="1"/>
  <c r="H94" i="69"/>
  <c r="D94" i="69"/>
  <c r="B94" i="69"/>
  <c r="X93" i="69"/>
  <c r="Z93" i="69" s="1"/>
  <c r="N93" i="69"/>
  <c r="L93" i="69"/>
  <c r="B93" i="69"/>
  <c r="Z92" i="69"/>
  <c r="X92" i="69"/>
  <c r="T92" i="69"/>
  <c r="P92" i="69"/>
  <c r="H92" i="69"/>
  <c r="N92" i="69" s="1"/>
  <c r="D92" i="69"/>
  <c r="L92" i="69" s="1"/>
  <c r="B92" i="69"/>
  <c r="Z91" i="69"/>
  <c r="X91" i="69"/>
  <c r="N91" i="69"/>
  <c r="L91" i="69"/>
  <c r="B91" i="69"/>
  <c r="X90" i="69"/>
  <c r="Z90" i="69" s="1"/>
  <c r="N90" i="69"/>
  <c r="L90" i="69"/>
  <c r="B90" i="69"/>
  <c r="T89" i="69"/>
  <c r="P89" i="69"/>
  <c r="X89" i="69" s="1"/>
  <c r="N89" i="69"/>
  <c r="L89" i="69"/>
  <c r="H89" i="69"/>
  <c r="D89" i="69"/>
  <c r="B89" i="69"/>
  <c r="X88" i="69"/>
  <c r="Z88" i="69" s="1"/>
  <c r="N88" i="69"/>
  <c r="L88" i="69"/>
  <c r="B88" i="69"/>
  <c r="T87" i="69"/>
  <c r="P87" i="69"/>
  <c r="X87" i="69" s="1"/>
  <c r="Z87" i="69" s="1"/>
  <c r="L87" i="69"/>
  <c r="N87" i="69" s="1"/>
  <c r="H87" i="69"/>
  <c r="D87" i="69"/>
  <c r="B87" i="69"/>
  <c r="Z86" i="69"/>
  <c r="X86" i="69"/>
  <c r="N86" i="69"/>
  <c r="L86" i="69"/>
  <c r="B86" i="69"/>
  <c r="X85" i="69"/>
  <c r="T85" i="69"/>
  <c r="Z85" i="69" s="1"/>
  <c r="P85" i="69"/>
  <c r="N85" i="69"/>
  <c r="L85" i="69"/>
  <c r="H85" i="69"/>
  <c r="D85" i="69"/>
  <c r="B85" i="69"/>
  <c r="Z84" i="69"/>
  <c r="X84" i="69"/>
  <c r="L84" i="69"/>
  <c r="N84" i="69" s="1"/>
  <c r="B84" i="69"/>
  <c r="Z83" i="69"/>
  <c r="X83" i="69"/>
  <c r="N83" i="69"/>
  <c r="L83" i="69"/>
  <c r="B83" i="69"/>
  <c r="Z82" i="69"/>
  <c r="X82" i="69"/>
  <c r="N82" i="69"/>
  <c r="L82" i="69"/>
  <c r="B82" i="69"/>
  <c r="Z81" i="69"/>
  <c r="X81" i="69"/>
  <c r="N81" i="69"/>
  <c r="L81" i="69"/>
  <c r="B81" i="69"/>
  <c r="T80" i="69"/>
  <c r="Z80" i="69" s="1"/>
  <c r="P80" i="69"/>
  <c r="X80" i="69" s="1"/>
  <c r="N80" i="69"/>
  <c r="L80" i="69"/>
  <c r="H80" i="69"/>
  <c r="D80" i="69"/>
  <c r="B80" i="69"/>
  <c r="Z79" i="69"/>
  <c r="X79" i="69"/>
  <c r="L79" i="69"/>
  <c r="N79" i="69" s="1"/>
  <c r="B79" i="69"/>
  <c r="Z78" i="69"/>
  <c r="X78" i="69"/>
  <c r="L78" i="69"/>
  <c r="N78" i="69" s="1"/>
  <c r="B78" i="69"/>
  <c r="Z77" i="69"/>
  <c r="X77" i="69"/>
  <c r="L77" i="69"/>
  <c r="N77" i="69" s="1"/>
  <c r="B77" i="69"/>
  <c r="X76" i="69"/>
  <c r="Z76" i="69" s="1"/>
  <c r="N76" i="69"/>
  <c r="L76" i="69"/>
  <c r="B76" i="69"/>
  <c r="Z75" i="69"/>
  <c r="X75" i="69"/>
  <c r="N75" i="69"/>
  <c r="L75" i="69"/>
  <c r="B75" i="69"/>
  <c r="Z74" i="69"/>
  <c r="X74" i="69"/>
  <c r="L74" i="69"/>
  <c r="N74" i="69" s="1"/>
  <c r="B74" i="69"/>
  <c r="Z73" i="69"/>
  <c r="X73" i="69"/>
  <c r="L73" i="69"/>
  <c r="N73" i="69" s="1"/>
  <c r="B73" i="69"/>
  <c r="X72" i="69"/>
  <c r="Z72" i="69" s="1"/>
  <c r="L72" i="69"/>
  <c r="N72" i="69" s="1"/>
  <c r="B72" i="69"/>
  <c r="T71" i="69"/>
  <c r="P71" i="69"/>
  <c r="X71" i="69" s="1"/>
  <c r="Z71" i="69" s="1"/>
  <c r="L71" i="69"/>
  <c r="N71" i="69" s="1"/>
  <c r="H71" i="69"/>
  <c r="D71" i="69"/>
  <c r="B71" i="69"/>
  <c r="T70" i="69"/>
  <c r="P70" i="69"/>
  <c r="X70" i="69" s="1"/>
  <c r="N70" i="69"/>
  <c r="L70" i="69"/>
  <c r="H70" i="69"/>
  <c r="D70" i="69"/>
  <c r="X66" i="69"/>
  <c r="Z66" i="69" s="1"/>
  <c r="L66" i="69"/>
  <c r="N66" i="69" s="1"/>
  <c r="B66" i="69"/>
  <c r="X65" i="69"/>
  <c r="Z65" i="69" s="1"/>
  <c r="N65" i="69"/>
  <c r="L65" i="69"/>
  <c r="B65" i="69"/>
  <c r="Z64" i="69"/>
  <c r="X64" i="69"/>
  <c r="N64" i="69"/>
  <c r="L64" i="69"/>
  <c r="B64" i="69"/>
  <c r="X63" i="69"/>
  <c r="Z63" i="69" s="1"/>
  <c r="N63" i="69"/>
  <c r="L63" i="69"/>
  <c r="B63" i="69"/>
  <c r="X62" i="69"/>
  <c r="Z62" i="69" s="1"/>
  <c r="N62" i="69"/>
  <c r="L62" i="69"/>
  <c r="B62" i="69"/>
  <c r="X61" i="69"/>
  <c r="Z61" i="69" s="1"/>
  <c r="N61" i="69"/>
  <c r="L61" i="69"/>
  <c r="B61" i="69"/>
  <c r="X60" i="69"/>
  <c r="Z60" i="69" s="1"/>
  <c r="N60" i="69"/>
  <c r="L60" i="69"/>
  <c r="B60" i="69"/>
  <c r="Z59" i="69"/>
  <c r="X59" i="69"/>
  <c r="N59" i="69"/>
  <c r="L59" i="69"/>
  <c r="B59" i="69"/>
  <c r="X58" i="69"/>
  <c r="Z58" i="69" s="1"/>
  <c r="N58" i="69"/>
  <c r="L58" i="69"/>
  <c r="B58" i="69"/>
  <c r="X57" i="69"/>
  <c r="Z57" i="69" s="1"/>
  <c r="N57" i="69"/>
  <c r="L57" i="69"/>
  <c r="B57" i="69"/>
  <c r="X56" i="69"/>
  <c r="Z56" i="69" s="1"/>
  <c r="L56" i="69"/>
  <c r="N56" i="69" s="1"/>
  <c r="B56" i="69"/>
  <c r="Z55" i="69"/>
  <c r="X55" i="69"/>
  <c r="N55" i="69"/>
  <c r="L55" i="69"/>
  <c r="B55" i="69"/>
  <c r="X54" i="69"/>
  <c r="Z54" i="69" s="1"/>
  <c r="N54" i="69"/>
  <c r="L54" i="69"/>
  <c r="B54" i="69"/>
  <c r="X53" i="69"/>
  <c r="Z53" i="69" s="1"/>
  <c r="N53" i="69"/>
  <c r="L53" i="69"/>
  <c r="B53" i="69"/>
  <c r="Z52" i="69"/>
  <c r="X52" i="69"/>
  <c r="L52" i="69"/>
  <c r="N52" i="69" s="1"/>
  <c r="B52" i="69"/>
  <c r="Z51" i="69"/>
  <c r="X51" i="69"/>
  <c r="N51" i="69"/>
  <c r="L51" i="69"/>
  <c r="B51" i="69"/>
  <c r="X50" i="69"/>
  <c r="Z50" i="69" s="1"/>
  <c r="N50" i="69"/>
  <c r="L50" i="69"/>
  <c r="B50" i="69"/>
  <c r="X49" i="69"/>
  <c r="Z49" i="69" s="1"/>
  <c r="N49" i="69"/>
  <c r="L49" i="69"/>
  <c r="B49" i="69"/>
  <c r="Z48" i="69"/>
  <c r="X48" i="69"/>
  <c r="N48" i="69"/>
  <c r="L48" i="69"/>
  <c r="B48" i="69"/>
  <c r="T47" i="69"/>
  <c r="P47" i="69"/>
  <c r="L47" i="69"/>
  <c r="H47" i="69"/>
  <c r="N47" i="69" s="1"/>
  <c r="D47" i="69"/>
  <c r="X45" i="69"/>
  <c r="T45" i="69"/>
  <c r="Z45" i="69" s="1"/>
  <c r="P45" i="69"/>
  <c r="N45" i="69"/>
  <c r="H45" i="69"/>
  <c r="D45" i="69"/>
  <c r="L45" i="69" s="1"/>
  <c r="B45" i="69"/>
  <c r="T44" i="69"/>
  <c r="P44" i="69"/>
  <c r="X44" i="69" s="1"/>
  <c r="Z44" i="69" s="1"/>
  <c r="H44" i="69"/>
  <c r="N44" i="69" s="1"/>
  <c r="D44" i="69"/>
  <c r="L44" i="69" s="1"/>
  <c r="B44" i="69"/>
  <c r="T43" i="69"/>
  <c r="P43" i="69"/>
  <c r="H43" i="69"/>
  <c r="D43" i="69"/>
  <c r="B43" i="69"/>
  <c r="Z42" i="69"/>
  <c r="X42" i="69"/>
  <c r="T42" i="69"/>
  <c r="P42" i="69"/>
  <c r="N42" i="69"/>
  <c r="H42" i="69"/>
  <c r="D42" i="69"/>
  <c r="L42" i="69" s="1"/>
  <c r="B42" i="69"/>
  <c r="Z41" i="69"/>
  <c r="T41" i="69"/>
  <c r="P41" i="69"/>
  <c r="X41" i="69" s="1"/>
  <c r="H41" i="69"/>
  <c r="D41" i="69"/>
  <c r="L41" i="69" s="1"/>
  <c r="N41" i="69" s="1"/>
  <c r="B41" i="69"/>
  <c r="Z40" i="69"/>
  <c r="T40" i="69"/>
  <c r="P40" i="69"/>
  <c r="X40" i="69" s="1"/>
  <c r="N40" i="69"/>
  <c r="H40" i="69"/>
  <c r="D40" i="69"/>
  <c r="L40" i="69" s="1"/>
  <c r="B40" i="69"/>
  <c r="T39" i="69"/>
  <c r="P39" i="69"/>
  <c r="H39" i="69"/>
  <c r="D39" i="69"/>
  <c r="L39" i="69" s="1"/>
  <c r="N39" i="69" s="1"/>
  <c r="B39" i="69"/>
  <c r="Z38" i="69"/>
  <c r="X38" i="69"/>
  <c r="T38" i="69"/>
  <c r="P38" i="69"/>
  <c r="L38" i="69"/>
  <c r="N38" i="69" s="1"/>
  <c r="H38" i="69"/>
  <c r="D38" i="69"/>
  <c r="B38" i="69"/>
  <c r="T37" i="69"/>
  <c r="P37" i="69"/>
  <c r="X37" i="69" s="1"/>
  <c r="N37" i="69"/>
  <c r="H37" i="69"/>
  <c r="D37" i="69"/>
  <c r="L37" i="69" s="1"/>
  <c r="B37" i="69"/>
  <c r="X36" i="69"/>
  <c r="Z36" i="69" s="1"/>
  <c r="T36" i="69"/>
  <c r="P36" i="69"/>
  <c r="N36" i="69"/>
  <c r="H36" i="69"/>
  <c r="D36" i="69"/>
  <c r="L36" i="69" s="1"/>
  <c r="B36" i="69"/>
  <c r="T35" i="69"/>
  <c r="P35" i="69"/>
  <c r="H35" i="69"/>
  <c r="D35" i="69"/>
  <c r="L35" i="69" s="1"/>
  <c r="N35" i="69" s="1"/>
  <c r="B35" i="69"/>
  <c r="X34" i="69"/>
  <c r="Z34" i="69" s="1"/>
  <c r="T34" i="69"/>
  <c r="P34" i="69"/>
  <c r="H34" i="69"/>
  <c r="D34" i="69"/>
  <c r="L34" i="69" s="1"/>
  <c r="N34" i="69" s="1"/>
  <c r="B34" i="69"/>
  <c r="T33" i="69"/>
  <c r="X33" i="69" s="1"/>
  <c r="P33" i="69"/>
  <c r="H33" i="69"/>
  <c r="D33" i="69"/>
  <c r="L33" i="69" s="1"/>
  <c r="N33" i="69" s="1"/>
  <c r="B33" i="69"/>
  <c r="T32" i="69"/>
  <c r="P32" i="69"/>
  <c r="X32" i="69" s="1"/>
  <c r="Z32" i="69" s="1"/>
  <c r="H32" i="69"/>
  <c r="D32" i="69"/>
  <c r="L32" i="69" s="1"/>
  <c r="N32" i="69" s="1"/>
  <c r="B32" i="69"/>
  <c r="T31" i="69"/>
  <c r="P31" i="69"/>
  <c r="H31" i="69"/>
  <c r="N31" i="69" s="1"/>
  <c r="D31" i="69"/>
  <c r="B31" i="69"/>
  <c r="Z30" i="69"/>
  <c r="X30" i="69"/>
  <c r="T30" i="69"/>
  <c r="P30" i="69"/>
  <c r="N30" i="69"/>
  <c r="H30" i="69"/>
  <c r="D30" i="69"/>
  <c r="L30" i="69" s="1"/>
  <c r="B30" i="69"/>
  <c r="T29" i="69"/>
  <c r="P29" i="69"/>
  <c r="X29" i="69" s="1"/>
  <c r="N29" i="69"/>
  <c r="L29" i="69"/>
  <c r="H29" i="69"/>
  <c r="D29" i="69"/>
  <c r="B29" i="69"/>
  <c r="X28" i="69"/>
  <c r="Z28" i="69" s="1"/>
  <c r="T28" i="69"/>
  <c r="P28" i="69"/>
  <c r="H28" i="69"/>
  <c r="D28" i="69"/>
  <c r="L28" i="69" s="1"/>
  <c r="B28" i="69"/>
  <c r="T27" i="69"/>
  <c r="P27" i="69"/>
  <c r="H27" i="69"/>
  <c r="D27" i="69"/>
  <c r="B27" i="69"/>
  <c r="T26" i="69"/>
  <c r="P26" i="69"/>
  <c r="N26" i="69"/>
  <c r="L26" i="69"/>
  <c r="H26" i="69"/>
  <c r="D26" i="69"/>
  <c r="B26" i="69"/>
  <c r="T25" i="69"/>
  <c r="P25" i="69"/>
  <c r="X25" i="69" s="1"/>
  <c r="Z25" i="69" s="1"/>
  <c r="L25" i="69"/>
  <c r="N25" i="69" s="1"/>
  <c r="H25" i="69"/>
  <c r="D25" i="69"/>
  <c r="B25" i="69"/>
  <c r="X24" i="69"/>
  <c r="Z24" i="69" s="1"/>
  <c r="T24" i="69"/>
  <c r="P24" i="69"/>
  <c r="H24" i="69"/>
  <c r="D24" i="69"/>
  <c r="L24" i="69" s="1"/>
  <c r="N24" i="69" s="1"/>
  <c r="B24" i="69"/>
  <c r="X23" i="69"/>
  <c r="T23" i="69"/>
  <c r="P23" i="69"/>
  <c r="H23" i="69"/>
  <c r="D23" i="69"/>
  <c r="B23" i="69"/>
  <c r="Z22" i="69"/>
  <c r="X22" i="69"/>
  <c r="T22" i="69"/>
  <c r="P22" i="69"/>
  <c r="L22" i="69"/>
  <c r="N22" i="69" s="1"/>
  <c r="H22" i="69"/>
  <c r="D22" i="69"/>
  <c r="B22" i="69"/>
  <c r="T21" i="69"/>
  <c r="P21" i="69"/>
  <c r="X21" i="69" s="1"/>
  <c r="Z21" i="69" s="1"/>
  <c r="H21" i="69"/>
  <c r="D21" i="69"/>
  <c r="L21" i="69" s="1"/>
  <c r="N21" i="69" s="1"/>
  <c r="B21" i="69"/>
  <c r="X20" i="69"/>
  <c r="T20" i="69"/>
  <c r="P20" i="69"/>
  <c r="H20" i="69"/>
  <c r="D20" i="69"/>
  <c r="L20" i="69" s="1"/>
  <c r="N20" i="69" s="1"/>
  <c r="B20" i="69"/>
  <c r="T19" i="69"/>
  <c r="P19" i="69"/>
  <c r="H19" i="69"/>
  <c r="D19" i="69"/>
  <c r="B19" i="69"/>
  <c r="Z18" i="69"/>
  <c r="X18" i="69"/>
  <c r="T18" i="69"/>
  <c r="P18" i="69"/>
  <c r="H18" i="69"/>
  <c r="D18" i="69"/>
  <c r="L18" i="69" s="1"/>
  <c r="N18" i="69" s="1"/>
  <c r="B18" i="69"/>
  <c r="T17" i="69"/>
  <c r="P17" i="69"/>
  <c r="X17" i="69" s="1"/>
  <c r="Z17" i="69" s="1"/>
  <c r="H17" i="69"/>
  <c r="D17" i="69"/>
  <c r="L17" i="69" s="1"/>
  <c r="N17" i="69" s="1"/>
  <c r="B17" i="69"/>
  <c r="T16" i="69"/>
  <c r="P16" i="69"/>
  <c r="X16" i="69" s="1"/>
  <c r="H16" i="69"/>
  <c r="D16" i="69"/>
  <c r="L16" i="69" s="1"/>
  <c r="N16" i="69" s="1"/>
  <c r="B16" i="69"/>
  <c r="T15" i="69"/>
  <c r="P15" i="69"/>
  <c r="H15" i="69"/>
  <c r="D15" i="69"/>
  <c r="B15" i="69"/>
  <c r="T14" i="69"/>
  <c r="X14" i="69" s="1"/>
  <c r="Z14" i="69" s="1"/>
  <c r="P14" i="69"/>
  <c r="N14" i="69"/>
  <c r="H14" i="69"/>
  <c r="D14" i="69"/>
  <c r="L14" i="69" s="1"/>
  <c r="B14" i="69"/>
  <c r="T13" i="69"/>
  <c r="P13" i="69"/>
  <c r="N13" i="69"/>
  <c r="L13" i="69"/>
  <c r="H13" i="69"/>
  <c r="D13" i="69"/>
  <c r="B13" i="69"/>
  <c r="D6" i="69"/>
  <c r="D4" i="69"/>
  <c r="Z60" i="68"/>
  <c r="X60" i="68"/>
  <c r="N60" i="68"/>
  <c r="L60" i="68"/>
  <c r="Z56" i="68"/>
  <c r="X56" i="68"/>
  <c r="T56" i="68"/>
  <c r="P56" i="68"/>
  <c r="H56" i="68"/>
  <c r="N56" i="68" s="1"/>
  <c r="D56" i="68"/>
  <c r="L56" i="68" s="1"/>
  <c r="X54" i="68"/>
  <c r="Z54" i="68" s="1"/>
  <c r="L54" i="68"/>
  <c r="N54" i="68" s="1"/>
  <c r="B54" i="68"/>
  <c r="X53" i="68"/>
  <c r="T53" i="68"/>
  <c r="Z53" i="68" s="1"/>
  <c r="R53" i="68"/>
  <c r="P53" i="68"/>
  <c r="L53" i="68"/>
  <c r="J53" i="68"/>
  <c r="H53" i="68"/>
  <c r="D53" i="68"/>
  <c r="B53" i="68"/>
  <c r="X52" i="68"/>
  <c r="Z52" i="68" s="1"/>
  <c r="N52" i="68"/>
  <c r="L52" i="68"/>
  <c r="J52" i="68"/>
  <c r="F52" i="68"/>
  <c r="B52" i="68"/>
  <c r="T51" i="68"/>
  <c r="P51" i="68"/>
  <c r="X51" i="68" s="1"/>
  <c r="Z51" i="68" s="1"/>
  <c r="H51" i="68"/>
  <c r="D51" i="68"/>
  <c r="B51" i="68"/>
  <c r="X50" i="68"/>
  <c r="Z50" i="68" s="1"/>
  <c r="N50" i="68"/>
  <c r="L50" i="68"/>
  <c r="B50" i="68"/>
  <c r="Z49" i="68"/>
  <c r="X49" i="68"/>
  <c r="L49" i="68"/>
  <c r="N49" i="68" s="1"/>
  <c r="B49" i="68"/>
  <c r="Z48" i="68"/>
  <c r="X48" i="68"/>
  <c r="N48" i="68"/>
  <c r="L48" i="68"/>
  <c r="B48" i="68"/>
  <c r="Z47" i="68"/>
  <c r="X47" i="68"/>
  <c r="L47" i="68"/>
  <c r="N47" i="68" s="1"/>
  <c r="B47" i="68"/>
  <c r="T46" i="68"/>
  <c r="P46" i="68"/>
  <c r="X46" i="68" s="1"/>
  <c r="N46" i="68"/>
  <c r="H46" i="68"/>
  <c r="D46" i="68"/>
  <c r="L46" i="68" s="1"/>
  <c r="B46" i="68"/>
  <c r="Z45" i="68"/>
  <c r="X45" i="68"/>
  <c r="N45" i="68"/>
  <c r="L45" i="68"/>
  <c r="F45" i="68"/>
  <c r="B45" i="68"/>
  <c r="X44" i="68"/>
  <c r="Z44" i="68" s="1"/>
  <c r="N44" i="68"/>
  <c r="L44" i="68"/>
  <c r="B44" i="68"/>
  <c r="T43" i="68"/>
  <c r="P43" i="68"/>
  <c r="X43" i="68" s="1"/>
  <c r="Z43" i="68" s="1"/>
  <c r="H43" i="68"/>
  <c r="D43" i="68"/>
  <c r="L43" i="68" s="1"/>
  <c r="N43" i="68" s="1"/>
  <c r="B43" i="68"/>
  <c r="Z42" i="68"/>
  <c r="X42" i="68"/>
  <c r="N42" i="68"/>
  <c r="L42" i="68"/>
  <c r="B42" i="68"/>
  <c r="Z41" i="68"/>
  <c r="T41" i="68"/>
  <c r="R41" i="68"/>
  <c r="P41" i="68"/>
  <c r="X41" i="68" s="1"/>
  <c r="N41" i="68"/>
  <c r="J41" i="68"/>
  <c r="H41" i="68"/>
  <c r="D41" i="68"/>
  <c r="L41" i="68" s="1"/>
  <c r="B41" i="68"/>
  <c r="X40" i="68"/>
  <c r="Z40" i="68" s="1"/>
  <c r="R40" i="68"/>
  <c r="N40" i="68"/>
  <c r="L40" i="68"/>
  <c r="B40" i="68"/>
  <c r="X39" i="68"/>
  <c r="T39" i="68"/>
  <c r="Z39" i="68" s="1"/>
  <c r="R39" i="68"/>
  <c r="P39" i="68"/>
  <c r="L39" i="68"/>
  <c r="N39" i="68" s="1"/>
  <c r="H39" i="68"/>
  <c r="D39" i="68"/>
  <c r="B39" i="68"/>
  <c r="X38" i="68"/>
  <c r="Z38" i="68" s="1"/>
  <c r="R38" i="68"/>
  <c r="N38" i="68"/>
  <c r="L38" i="68"/>
  <c r="J38" i="68"/>
  <c r="B38" i="68"/>
  <c r="T37" i="68"/>
  <c r="P37" i="68"/>
  <c r="X37" i="68" s="1"/>
  <c r="Z37" i="68" s="1"/>
  <c r="J37" i="68"/>
  <c r="H37" i="68"/>
  <c r="N37" i="68" s="1"/>
  <c r="D37" i="68"/>
  <c r="L37" i="68" s="1"/>
  <c r="B37" i="68"/>
  <c r="X36" i="68"/>
  <c r="Z36" i="68" s="1"/>
  <c r="L36" i="68"/>
  <c r="N36" i="68" s="1"/>
  <c r="F36" i="68"/>
  <c r="B36" i="68"/>
  <c r="T35" i="68"/>
  <c r="P35" i="68"/>
  <c r="X35" i="68" s="1"/>
  <c r="Z35" i="68" s="1"/>
  <c r="J35" i="68"/>
  <c r="H35" i="68"/>
  <c r="F35" i="68"/>
  <c r="D35" i="68"/>
  <c r="L35" i="68" s="1"/>
  <c r="N35" i="68" s="1"/>
  <c r="B35" i="68"/>
  <c r="X34" i="68"/>
  <c r="Z34" i="68" s="1"/>
  <c r="L34" i="68"/>
  <c r="N34" i="68" s="1"/>
  <c r="F34" i="68"/>
  <c r="B34" i="68"/>
  <c r="Z33" i="68"/>
  <c r="X33" i="68"/>
  <c r="N33" i="68"/>
  <c r="L33" i="68"/>
  <c r="J33" i="68"/>
  <c r="B33" i="68"/>
  <c r="X32" i="68"/>
  <c r="Z32" i="68" s="1"/>
  <c r="R32" i="68"/>
  <c r="N32" i="68"/>
  <c r="L32" i="68"/>
  <c r="J32" i="68"/>
  <c r="B32" i="68"/>
  <c r="Z31" i="68"/>
  <c r="X31" i="68"/>
  <c r="N31" i="68"/>
  <c r="L31" i="68"/>
  <c r="J31" i="68"/>
  <c r="F31" i="68"/>
  <c r="B31" i="68"/>
  <c r="X30" i="68"/>
  <c r="Z30" i="68" s="1"/>
  <c r="R30" i="68"/>
  <c r="L30" i="68"/>
  <c r="N30" i="68" s="1"/>
  <c r="F30" i="68"/>
  <c r="B30" i="68"/>
  <c r="Z29" i="68"/>
  <c r="X29" i="68"/>
  <c r="T29" i="68"/>
  <c r="R29" i="68"/>
  <c r="P29" i="68"/>
  <c r="N29" i="68"/>
  <c r="L29" i="68"/>
  <c r="J29" i="68"/>
  <c r="H29" i="68"/>
  <c r="F29" i="68"/>
  <c r="D29" i="68"/>
  <c r="B29" i="68"/>
  <c r="Z28" i="68"/>
  <c r="X28" i="68"/>
  <c r="R28" i="68"/>
  <c r="L28" i="68"/>
  <c r="N28" i="68" s="1"/>
  <c r="J28" i="68"/>
  <c r="B28" i="68"/>
  <c r="Z27" i="68"/>
  <c r="X27" i="68"/>
  <c r="R27" i="68"/>
  <c r="L27" i="68"/>
  <c r="N27" i="68" s="1"/>
  <c r="J27" i="68"/>
  <c r="B27" i="68"/>
  <c r="X26" i="68"/>
  <c r="Z26" i="68" s="1"/>
  <c r="R26" i="68"/>
  <c r="L26" i="68"/>
  <c r="N26" i="68" s="1"/>
  <c r="J26" i="68"/>
  <c r="B26" i="68"/>
  <c r="Z25" i="68"/>
  <c r="X25" i="68"/>
  <c r="N25" i="68"/>
  <c r="L25" i="68"/>
  <c r="J25" i="68"/>
  <c r="B25" i="68"/>
  <c r="Z24" i="68"/>
  <c r="X24" i="68"/>
  <c r="R24" i="68"/>
  <c r="L24" i="68"/>
  <c r="N24" i="68" s="1"/>
  <c r="J24" i="68"/>
  <c r="B24" i="68"/>
  <c r="Z23" i="68"/>
  <c r="X23" i="68"/>
  <c r="R23" i="68"/>
  <c r="L23" i="68"/>
  <c r="N23" i="68" s="1"/>
  <c r="J23" i="68"/>
  <c r="B23" i="68"/>
  <c r="X22" i="68"/>
  <c r="Z22" i="68" s="1"/>
  <c r="R22" i="68"/>
  <c r="L22" i="68"/>
  <c r="N22" i="68" s="1"/>
  <c r="J22" i="68"/>
  <c r="B22" i="68"/>
  <c r="Z21" i="68"/>
  <c r="X21" i="68"/>
  <c r="N21" i="68"/>
  <c r="L21" i="68"/>
  <c r="J21" i="68"/>
  <c r="B21" i="68"/>
  <c r="Z20" i="68"/>
  <c r="X20" i="68"/>
  <c r="R20" i="68"/>
  <c r="L20" i="68"/>
  <c r="N20" i="68" s="1"/>
  <c r="J20" i="68"/>
  <c r="B20" i="68"/>
  <c r="T19" i="68"/>
  <c r="P19" i="68"/>
  <c r="J19" i="68"/>
  <c r="H19" i="68"/>
  <c r="D19" i="68"/>
  <c r="L19" i="68" s="1"/>
  <c r="N19" i="68" s="1"/>
  <c r="B19" i="68"/>
  <c r="X18" i="68"/>
  <c r="V18" i="68"/>
  <c r="T18" i="68"/>
  <c r="Z18" i="68" s="1"/>
  <c r="P18" i="68"/>
  <c r="J18" i="68"/>
  <c r="H18" i="68"/>
  <c r="D18" i="68"/>
  <c r="L18" i="68" s="1"/>
  <c r="J16" i="68"/>
  <c r="X14" i="68"/>
  <c r="T14" i="68"/>
  <c r="Z14" i="68" s="1"/>
  <c r="P14" i="68"/>
  <c r="P16" i="68" s="1"/>
  <c r="J14" i="68"/>
  <c r="H14" i="68"/>
  <c r="N14" i="68" s="1"/>
  <c r="D14" i="68"/>
  <c r="L14" i="68" s="1"/>
  <c r="T12" i="68"/>
  <c r="V27" i="68" s="1"/>
  <c r="P12" i="68"/>
  <c r="N12" i="68"/>
  <c r="L12" i="68"/>
  <c r="H12" i="68"/>
  <c r="J62" i="68" s="1"/>
  <c r="D12" i="68"/>
  <c r="F33" i="68" s="1"/>
  <c r="D6" i="68"/>
  <c r="D4" i="68"/>
  <c r="F100" i="64"/>
  <c r="F97" i="64"/>
  <c r="Z95" i="64"/>
  <c r="X95" i="64"/>
  <c r="N95" i="64"/>
  <c r="L95" i="64"/>
  <c r="V93" i="64"/>
  <c r="X91" i="64"/>
  <c r="V91" i="64"/>
  <c r="T91" i="64"/>
  <c r="P91" i="64"/>
  <c r="P89" i="64" s="1"/>
  <c r="X89" i="64" s="1"/>
  <c r="Z89" i="64" s="1"/>
  <c r="H91" i="64"/>
  <c r="D91" i="64"/>
  <c r="L91" i="64" s="1"/>
  <c r="B91" i="64"/>
  <c r="X90" i="64"/>
  <c r="Z90" i="64" s="1"/>
  <c r="T90" i="64"/>
  <c r="P90" i="64"/>
  <c r="N90" i="64"/>
  <c r="L90" i="64"/>
  <c r="H90" i="64"/>
  <c r="D90" i="64"/>
  <c r="B90" i="64"/>
  <c r="T89" i="64"/>
  <c r="H89" i="64"/>
  <c r="N89" i="64" s="1"/>
  <c r="D89" i="64"/>
  <c r="L89" i="64" s="1"/>
  <c r="Z87" i="64"/>
  <c r="X87" i="64"/>
  <c r="L87" i="64"/>
  <c r="N87" i="64" s="1"/>
  <c r="B87" i="64"/>
  <c r="V86" i="64"/>
  <c r="T86" i="64"/>
  <c r="P86" i="64"/>
  <c r="H86" i="64"/>
  <c r="D86" i="64"/>
  <c r="L86" i="64" s="1"/>
  <c r="N86" i="64" s="1"/>
  <c r="B86" i="64"/>
  <c r="X85" i="64"/>
  <c r="Z85" i="64" s="1"/>
  <c r="V85" i="64"/>
  <c r="L85" i="64"/>
  <c r="N85" i="64" s="1"/>
  <c r="B85" i="64"/>
  <c r="Z84" i="64"/>
  <c r="X84" i="64"/>
  <c r="L84" i="64"/>
  <c r="N84" i="64" s="1"/>
  <c r="B84" i="64"/>
  <c r="T83" i="64"/>
  <c r="Z83" i="64" s="1"/>
  <c r="P83" i="64"/>
  <c r="X83" i="64" s="1"/>
  <c r="L83" i="64"/>
  <c r="J83" i="64"/>
  <c r="H83" i="64"/>
  <c r="D83" i="64"/>
  <c r="B83" i="64"/>
  <c r="Z82" i="64"/>
  <c r="X82" i="64"/>
  <c r="N82" i="64"/>
  <c r="L82" i="64"/>
  <c r="J82" i="64"/>
  <c r="F82" i="64"/>
  <c r="B82" i="64"/>
  <c r="X81" i="64"/>
  <c r="T81" i="64"/>
  <c r="Z81" i="64" s="1"/>
  <c r="P81" i="64"/>
  <c r="H81" i="64"/>
  <c r="F81" i="64"/>
  <c r="D81" i="64"/>
  <c r="B81" i="64"/>
  <c r="Z80" i="64"/>
  <c r="X80" i="64"/>
  <c r="N80" i="64"/>
  <c r="L80" i="64"/>
  <c r="B80" i="64"/>
  <c r="Z79" i="64"/>
  <c r="T79" i="64"/>
  <c r="P79" i="64"/>
  <c r="X79" i="64" s="1"/>
  <c r="H79" i="64"/>
  <c r="N79" i="64" s="1"/>
  <c r="D79" i="64"/>
  <c r="L79" i="64" s="1"/>
  <c r="B79" i="64"/>
  <c r="Z78" i="64"/>
  <c r="X78" i="64"/>
  <c r="N78" i="64"/>
  <c r="L78" i="64"/>
  <c r="B78" i="64"/>
  <c r="X77" i="64"/>
  <c r="Z77" i="64" s="1"/>
  <c r="V77" i="64"/>
  <c r="L77" i="64"/>
  <c r="N77" i="64" s="1"/>
  <c r="B77" i="64"/>
  <c r="Z76" i="64"/>
  <c r="X76" i="64"/>
  <c r="L76" i="64"/>
  <c r="N76" i="64" s="1"/>
  <c r="B76" i="64"/>
  <c r="X75" i="64"/>
  <c r="Z75" i="64" s="1"/>
  <c r="L75" i="64"/>
  <c r="N75" i="64" s="1"/>
  <c r="F75" i="64"/>
  <c r="B75" i="64"/>
  <c r="Z74" i="64"/>
  <c r="X74" i="64"/>
  <c r="L74" i="64"/>
  <c r="N74" i="64" s="1"/>
  <c r="B74" i="64"/>
  <c r="X73" i="64"/>
  <c r="V73" i="64"/>
  <c r="T73" i="64"/>
  <c r="P73" i="64"/>
  <c r="H73" i="64"/>
  <c r="N73" i="64" s="1"/>
  <c r="D73" i="64"/>
  <c r="L73" i="64" s="1"/>
  <c r="B73" i="64"/>
  <c r="X72" i="64"/>
  <c r="Z72" i="64" s="1"/>
  <c r="N72" i="64"/>
  <c r="L72" i="64"/>
  <c r="B72" i="64"/>
  <c r="T71" i="64"/>
  <c r="R71" i="64"/>
  <c r="P71" i="64"/>
  <c r="L71" i="64"/>
  <c r="H71" i="64"/>
  <c r="N71" i="64" s="1"/>
  <c r="D71" i="64"/>
  <c r="B71" i="64"/>
  <c r="Z70" i="64"/>
  <c r="X70" i="64"/>
  <c r="V70" i="64"/>
  <c r="R70" i="64"/>
  <c r="N70" i="64"/>
  <c r="L70" i="64"/>
  <c r="B70" i="64"/>
  <c r="X69" i="64"/>
  <c r="Z69" i="64" s="1"/>
  <c r="L69" i="64"/>
  <c r="N69" i="64" s="1"/>
  <c r="J69" i="64"/>
  <c r="B69" i="64"/>
  <c r="Z68" i="64"/>
  <c r="X68" i="64"/>
  <c r="N68" i="64"/>
  <c r="L68" i="64"/>
  <c r="J68" i="64"/>
  <c r="B68" i="64"/>
  <c r="Z67" i="64"/>
  <c r="T67" i="64"/>
  <c r="P67" i="64"/>
  <c r="X67" i="64" s="1"/>
  <c r="H67" i="64"/>
  <c r="D67" i="64"/>
  <c r="L67" i="64" s="1"/>
  <c r="B67" i="64"/>
  <c r="Z66" i="64"/>
  <c r="X66" i="64"/>
  <c r="N66" i="64"/>
  <c r="L66" i="64"/>
  <c r="B66" i="64"/>
  <c r="X65" i="64"/>
  <c r="Z65" i="64" s="1"/>
  <c r="V65" i="64"/>
  <c r="L65" i="64"/>
  <c r="N65" i="64" s="1"/>
  <c r="B65" i="64"/>
  <c r="Z64" i="64"/>
  <c r="X64" i="64"/>
  <c r="L64" i="64"/>
  <c r="N64" i="64" s="1"/>
  <c r="B64" i="64"/>
  <c r="T63" i="64"/>
  <c r="Z63" i="64" s="1"/>
  <c r="P63" i="64"/>
  <c r="X63" i="64" s="1"/>
  <c r="L63" i="64"/>
  <c r="J63" i="64"/>
  <c r="H63" i="64"/>
  <c r="N63" i="64" s="1"/>
  <c r="D63" i="64"/>
  <c r="B63" i="64"/>
  <c r="X62" i="64"/>
  <c r="Z62" i="64" s="1"/>
  <c r="N62" i="64"/>
  <c r="L62" i="64"/>
  <c r="J62" i="64"/>
  <c r="F62" i="64"/>
  <c r="B62" i="64"/>
  <c r="X61" i="64"/>
  <c r="T61" i="64"/>
  <c r="Z61" i="64" s="1"/>
  <c r="P61" i="64"/>
  <c r="H61" i="64"/>
  <c r="F61" i="64"/>
  <c r="D61" i="64"/>
  <c r="B61" i="64"/>
  <c r="Z60" i="64"/>
  <c r="X60" i="64"/>
  <c r="N60" i="64"/>
  <c r="L60" i="64"/>
  <c r="J60" i="64"/>
  <c r="B60" i="64"/>
  <c r="T59" i="64"/>
  <c r="P59" i="64"/>
  <c r="X59" i="64" s="1"/>
  <c r="Z59" i="64" s="1"/>
  <c r="H59" i="64"/>
  <c r="N59" i="64" s="1"/>
  <c r="D59" i="64"/>
  <c r="L59" i="64" s="1"/>
  <c r="B59" i="64"/>
  <c r="Z58" i="64"/>
  <c r="X58" i="64"/>
  <c r="L58" i="64"/>
  <c r="N58" i="64" s="1"/>
  <c r="B58" i="64"/>
  <c r="X57" i="64"/>
  <c r="V57" i="64"/>
  <c r="T57" i="64"/>
  <c r="P57" i="64"/>
  <c r="H57" i="64"/>
  <c r="N57" i="64" s="1"/>
  <c r="D57" i="64"/>
  <c r="L57" i="64" s="1"/>
  <c r="B57" i="64"/>
  <c r="X56" i="64"/>
  <c r="Z56" i="64" s="1"/>
  <c r="N56" i="64"/>
  <c r="L56" i="64"/>
  <c r="B56" i="64"/>
  <c r="T55" i="64"/>
  <c r="R55" i="64"/>
  <c r="P55" i="64"/>
  <c r="L55" i="64"/>
  <c r="H55" i="64"/>
  <c r="N55" i="64" s="1"/>
  <c r="D55" i="64"/>
  <c r="B55" i="64"/>
  <c r="Z54" i="64"/>
  <c r="X54" i="64"/>
  <c r="V54" i="64"/>
  <c r="R54" i="64"/>
  <c r="N54" i="64"/>
  <c r="L54" i="64"/>
  <c r="J54" i="64"/>
  <c r="B54" i="64"/>
  <c r="T53" i="64"/>
  <c r="Z53" i="64" s="1"/>
  <c r="P53" i="64"/>
  <c r="X53" i="64" s="1"/>
  <c r="H53" i="64"/>
  <c r="D53" i="64"/>
  <c r="L53" i="64" s="1"/>
  <c r="N53" i="64" s="1"/>
  <c r="B53" i="64"/>
  <c r="Z52" i="64"/>
  <c r="X52" i="64"/>
  <c r="L52" i="64"/>
  <c r="N52" i="64" s="1"/>
  <c r="B52" i="64"/>
  <c r="T51" i="64"/>
  <c r="P51" i="64"/>
  <c r="X51" i="64" s="1"/>
  <c r="L51" i="64"/>
  <c r="J51" i="64"/>
  <c r="H51" i="64"/>
  <c r="D51" i="64"/>
  <c r="B51" i="64"/>
  <c r="X50" i="64"/>
  <c r="Z50" i="64" s="1"/>
  <c r="N50" i="64"/>
  <c r="L50" i="64"/>
  <c r="J50" i="64"/>
  <c r="F50" i="64"/>
  <c r="B50" i="64"/>
  <c r="X49" i="64"/>
  <c r="T49" i="64"/>
  <c r="Z49" i="64" s="1"/>
  <c r="P49" i="64"/>
  <c r="H49" i="64"/>
  <c r="F49" i="64"/>
  <c r="D49" i="64"/>
  <c r="B49" i="64"/>
  <c r="Z48" i="64"/>
  <c r="X48" i="64"/>
  <c r="N48" i="64"/>
  <c r="L48" i="64"/>
  <c r="J48" i="64"/>
  <c r="B48" i="64"/>
  <c r="Z47" i="64"/>
  <c r="X47" i="64"/>
  <c r="N47" i="64"/>
  <c r="L47" i="64"/>
  <c r="B47" i="64"/>
  <c r="V46" i="64"/>
  <c r="T46" i="64"/>
  <c r="P46" i="64"/>
  <c r="H46" i="64"/>
  <c r="D46" i="64"/>
  <c r="L46" i="64" s="1"/>
  <c r="N46" i="64" s="1"/>
  <c r="B46" i="64"/>
  <c r="X45" i="64"/>
  <c r="Z45" i="64" s="1"/>
  <c r="V45" i="64"/>
  <c r="L45" i="64"/>
  <c r="N45" i="64" s="1"/>
  <c r="B45" i="64"/>
  <c r="Z44" i="64"/>
  <c r="X44" i="64"/>
  <c r="L44" i="64"/>
  <c r="N44" i="64" s="1"/>
  <c r="B44" i="64"/>
  <c r="T43" i="64"/>
  <c r="Z43" i="64" s="1"/>
  <c r="P43" i="64"/>
  <c r="X43" i="64" s="1"/>
  <c r="L43" i="64"/>
  <c r="J43" i="64"/>
  <c r="H43" i="64"/>
  <c r="N43" i="64" s="1"/>
  <c r="D43" i="64"/>
  <c r="B43" i="64"/>
  <c r="X42" i="64"/>
  <c r="Z42" i="64" s="1"/>
  <c r="N42" i="64"/>
  <c r="L42" i="64"/>
  <c r="J42" i="64"/>
  <c r="F42" i="64"/>
  <c r="B42" i="64"/>
  <c r="X41" i="64"/>
  <c r="T41" i="64"/>
  <c r="Z41" i="64" s="1"/>
  <c r="P41" i="64"/>
  <c r="H41" i="64"/>
  <c r="F41" i="64"/>
  <c r="D41" i="64"/>
  <c r="B41" i="64"/>
  <c r="Z40" i="64"/>
  <c r="X40" i="64"/>
  <c r="N40" i="64"/>
  <c r="L40" i="64"/>
  <c r="J40" i="64"/>
  <c r="B40" i="64"/>
  <c r="Z39" i="64"/>
  <c r="X39" i="64"/>
  <c r="R39" i="64"/>
  <c r="L39" i="64"/>
  <c r="N39" i="64" s="1"/>
  <c r="B39" i="64"/>
  <c r="V38" i="64"/>
  <c r="T38" i="64"/>
  <c r="P38" i="64"/>
  <c r="H38" i="64"/>
  <c r="D38" i="64"/>
  <c r="L38" i="64" s="1"/>
  <c r="N38" i="64" s="1"/>
  <c r="B38" i="64"/>
  <c r="X37" i="64"/>
  <c r="Z37" i="64" s="1"/>
  <c r="V37" i="64"/>
  <c r="L37" i="64"/>
  <c r="N37" i="64" s="1"/>
  <c r="B37" i="64"/>
  <c r="T36" i="64"/>
  <c r="R36" i="64"/>
  <c r="P36" i="64"/>
  <c r="X36" i="64" s="1"/>
  <c r="Z36" i="64" s="1"/>
  <c r="J36" i="64"/>
  <c r="H36" i="64"/>
  <c r="D36" i="64"/>
  <c r="L36" i="64" s="1"/>
  <c r="N36" i="64" s="1"/>
  <c r="B36" i="64"/>
  <c r="X35" i="64"/>
  <c r="Z35" i="64" s="1"/>
  <c r="R35" i="64"/>
  <c r="N35" i="64"/>
  <c r="L35" i="64"/>
  <c r="F35" i="64"/>
  <c r="B35" i="64"/>
  <c r="X34" i="64"/>
  <c r="Z34" i="64" s="1"/>
  <c r="N34" i="64"/>
  <c r="L34" i="64"/>
  <c r="J34" i="64"/>
  <c r="F34" i="64"/>
  <c r="B34" i="64"/>
  <c r="X33" i="64"/>
  <c r="Z33" i="64" s="1"/>
  <c r="N33" i="64"/>
  <c r="L33" i="64"/>
  <c r="F33" i="64"/>
  <c r="B33" i="64"/>
  <c r="X32" i="64"/>
  <c r="Z32" i="64" s="1"/>
  <c r="N32" i="64"/>
  <c r="L32" i="64"/>
  <c r="F32" i="64"/>
  <c r="B32" i="64"/>
  <c r="Z31" i="64"/>
  <c r="X31" i="64"/>
  <c r="R31" i="64"/>
  <c r="N31" i="64"/>
  <c r="L31" i="64"/>
  <c r="F31" i="64"/>
  <c r="B31" i="64"/>
  <c r="X30" i="64"/>
  <c r="Z30" i="64" s="1"/>
  <c r="N30" i="64"/>
  <c r="L30" i="64"/>
  <c r="J30" i="64"/>
  <c r="F30" i="64"/>
  <c r="B30" i="64"/>
  <c r="X29" i="64"/>
  <c r="Z29" i="64" s="1"/>
  <c r="N29" i="64"/>
  <c r="L29" i="64"/>
  <c r="F29" i="64"/>
  <c r="B29" i="64"/>
  <c r="X28" i="64"/>
  <c r="Z28" i="64" s="1"/>
  <c r="T28" i="64"/>
  <c r="R28" i="64"/>
  <c r="P28" i="64"/>
  <c r="L28" i="64"/>
  <c r="N28" i="64" s="1"/>
  <c r="H28" i="64"/>
  <c r="F28" i="64"/>
  <c r="D28" i="64"/>
  <c r="B28" i="64"/>
  <c r="Z27" i="64"/>
  <c r="X27" i="64"/>
  <c r="R27" i="64"/>
  <c r="L27" i="64"/>
  <c r="N27" i="64" s="1"/>
  <c r="J27" i="64"/>
  <c r="F27" i="64"/>
  <c r="B27" i="64"/>
  <c r="Z26" i="64"/>
  <c r="X26" i="64"/>
  <c r="V26" i="64"/>
  <c r="R26" i="64"/>
  <c r="N26" i="64"/>
  <c r="L26" i="64"/>
  <c r="J26" i="64"/>
  <c r="B26" i="64"/>
  <c r="Z25" i="64"/>
  <c r="X25" i="64"/>
  <c r="R25" i="64"/>
  <c r="L25" i="64"/>
  <c r="N25" i="64" s="1"/>
  <c r="J25" i="64"/>
  <c r="F25" i="64"/>
  <c r="B25" i="64"/>
  <c r="Z24" i="64"/>
  <c r="X24" i="64"/>
  <c r="N24" i="64"/>
  <c r="L24" i="64"/>
  <c r="J24" i="64"/>
  <c r="B24" i="64"/>
  <c r="Z23" i="64"/>
  <c r="X23" i="64"/>
  <c r="R23" i="64"/>
  <c r="L23" i="64"/>
  <c r="N23" i="64" s="1"/>
  <c r="J23" i="64"/>
  <c r="F23" i="64"/>
  <c r="B23" i="64"/>
  <c r="Z22" i="64"/>
  <c r="X22" i="64"/>
  <c r="V22" i="64"/>
  <c r="R22" i="64"/>
  <c r="N22" i="64"/>
  <c r="L22" i="64"/>
  <c r="J22" i="64"/>
  <c r="B22" i="64"/>
  <c r="Z21" i="64"/>
  <c r="X21" i="64"/>
  <c r="R21" i="64"/>
  <c r="L21" i="64"/>
  <c r="N21" i="64" s="1"/>
  <c r="J21" i="64"/>
  <c r="F21" i="64"/>
  <c r="B21" i="64"/>
  <c r="Z20" i="64"/>
  <c r="X20" i="64"/>
  <c r="N20" i="64"/>
  <c r="L20" i="64"/>
  <c r="J20" i="64"/>
  <c r="B20" i="64"/>
  <c r="T19" i="64"/>
  <c r="X19" i="64" s="1"/>
  <c r="Z19" i="64" s="1"/>
  <c r="P19" i="64"/>
  <c r="H19" i="64"/>
  <c r="D19" i="64"/>
  <c r="L19" i="64" s="1"/>
  <c r="B19" i="64"/>
  <c r="T18" i="64"/>
  <c r="P18" i="64"/>
  <c r="X18" i="64" s="1"/>
  <c r="Z18" i="64" s="1"/>
  <c r="J18" i="64"/>
  <c r="H18" i="64"/>
  <c r="F18" i="64"/>
  <c r="D18" i="64"/>
  <c r="L18" i="64" s="1"/>
  <c r="N18" i="64" s="1"/>
  <c r="J16" i="64"/>
  <c r="F16" i="64"/>
  <c r="D16" i="64"/>
  <c r="T14" i="64"/>
  <c r="Z14" i="64" s="1"/>
  <c r="P14" i="64"/>
  <c r="J14" i="64"/>
  <c r="H14" i="64"/>
  <c r="N14" i="64" s="1"/>
  <c r="F14" i="64"/>
  <c r="D14" i="64"/>
  <c r="L14" i="64" s="1"/>
  <c r="T12" i="64"/>
  <c r="V89" i="64" s="1"/>
  <c r="P12" i="64"/>
  <c r="R93" i="64" s="1"/>
  <c r="L12" i="64"/>
  <c r="H12" i="64"/>
  <c r="J53" i="64" s="1"/>
  <c r="D12" i="64"/>
  <c r="F84" i="64" s="1"/>
  <c r="D6" i="64"/>
  <c r="D4" i="64"/>
  <c r="R58" i="61"/>
  <c r="F58" i="61"/>
  <c r="R55" i="61"/>
  <c r="F55" i="61"/>
  <c r="Z53" i="61"/>
  <c r="X53" i="61"/>
  <c r="N53" i="61"/>
  <c r="L53" i="61"/>
  <c r="F53" i="61"/>
  <c r="V51" i="61"/>
  <c r="F51" i="61"/>
  <c r="V49" i="61"/>
  <c r="T49" i="61"/>
  <c r="Z49" i="61" s="1"/>
  <c r="R49" i="61"/>
  <c r="P49" i="61"/>
  <c r="X49" i="61" s="1"/>
  <c r="H49" i="61"/>
  <c r="N49" i="61" s="1"/>
  <c r="F49" i="61"/>
  <c r="D49" i="61"/>
  <c r="L49" i="61" s="1"/>
  <c r="X47" i="61"/>
  <c r="Z47" i="61" s="1"/>
  <c r="V47" i="61"/>
  <c r="N47" i="61"/>
  <c r="L47" i="61"/>
  <c r="B47" i="61"/>
  <c r="X46" i="61"/>
  <c r="Z46" i="61" s="1"/>
  <c r="V46" i="61"/>
  <c r="T46" i="61"/>
  <c r="P46" i="61"/>
  <c r="H46" i="61"/>
  <c r="D46" i="61"/>
  <c r="L46" i="61" s="1"/>
  <c r="N46" i="61" s="1"/>
  <c r="B46" i="61"/>
  <c r="Z45" i="61"/>
  <c r="X45" i="61"/>
  <c r="N45" i="61"/>
  <c r="L45" i="61"/>
  <c r="J45" i="61"/>
  <c r="F45" i="61"/>
  <c r="B45" i="61"/>
  <c r="X44" i="61"/>
  <c r="V44" i="61"/>
  <c r="T44" i="61"/>
  <c r="R44" i="61"/>
  <c r="P44" i="61"/>
  <c r="L44" i="61"/>
  <c r="H44" i="61"/>
  <c r="F44" i="61"/>
  <c r="D44" i="61"/>
  <c r="B44" i="61"/>
  <c r="Z43" i="61"/>
  <c r="X43" i="61"/>
  <c r="V43" i="61"/>
  <c r="R43" i="61"/>
  <c r="N43" i="61"/>
  <c r="L43" i="61"/>
  <c r="B43" i="61"/>
  <c r="Z42" i="61"/>
  <c r="X42" i="61"/>
  <c r="R42" i="61"/>
  <c r="L42" i="61"/>
  <c r="N42" i="61" s="1"/>
  <c r="B42" i="61"/>
  <c r="Z41" i="61"/>
  <c r="V41" i="61"/>
  <c r="T41" i="61"/>
  <c r="X41" i="61" s="1"/>
  <c r="P41" i="61"/>
  <c r="J41" i="61"/>
  <c r="H41" i="61"/>
  <c r="L41" i="61" s="1"/>
  <c r="D41" i="61"/>
  <c r="B41" i="61"/>
  <c r="Z40" i="61"/>
  <c r="X40" i="61"/>
  <c r="V40" i="61"/>
  <c r="N40" i="61"/>
  <c r="L40" i="61"/>
  <c r="F40" i="61"/>
  <c r="B40" i="61"/>
  <c r="V39" i="61"/>
  <c r="T39" i="61"/>
  <c r="Z39" i="61" s="1"/>
  <c r="R39" i="61"/>
  <c r="P39" i="61"/>
  <c r="X39" i="61" s="1"/>
  <c r="J39" i="61"/>
  <c r="H39" i="61"/>
  <c r="N39" i="61" s="1"/>
  <c r="F39" i="61"/>
  <c r="D39" i="61"/>
  <c r="L39" i="61" s="1"/>
  <c r="B39" i="61"/>
  <c r="X38" i="61"/>
  <c r="Z38" i="61" s="1"/>
  <c r="V38" i="61"/>
  <c r="R38" i="61"/>
  <c r="N38" i="61"/>
  <c r="L38" i="61"/>
  <c r="F38" i="61"/>
  <c r="B38" i="61"/>
  <c r="Z37" i="61"/>
  <c r="X37" i="61"/>
  <c r="T37" i="61"/>
  <c r="R37" i="61"/>
  <c r="P37" i="61"/>
  <c r="H37" i="61"/>
  <c r="F37" i="61"/>
  <c r="D37" i="61"/>
  <c r="L37" i="61" s="1"/>
  <c r="N37" i="61" s="1"/>
  <c r="B37" i="61"/>
  <c r="Z36" i="61"/>
  <c r="X36" i="61"/>
  <c r="R36" i="61"/>
  <c r="L36" i="61"/>
  <c r="N36" i="61" s="1"/>
  <c r="B36" i="61"/>
  <c r="Z35" i="61"/>
  <c r="X35" i="61"/>
  <c r="V35" i="61"/>
  <c r="T35" i="61"/>
  <c r="P35" i="61"/>
  <c r="H35" i="61"/>
  <c r="D35" i="61"/>
  <c r="B35" i="61"/>
  <c r="Z34" i="61"/>
  <c r="X34" i="61"/>
  <c r="V34" i="61"/>
  <c r="N34" i="61"/>
  <c r="L34" i="61"/>
  <c r="F34" i="61"/>
  <c r="B34" i="61"/>
  <c r="X33" i="61"/>
  <c r="Z33" i="61" s="1"/>
  <c r="V33" i="61"/>
  <c r="R33" i="61"/>
  <c r="N33" i="61"/>
  <c r="L33" i="61"/>
  <c r="B33" i="61"/>
  <c r="X32" i="61"/>
  <c r="Z32" i="61" s="1"/>
  <c r="V32" i="61"/>
  <c r="N32" i="61"/>
  <c r="L32" i="61"/>
  <c r="F32" i="61"/>
  <c r="B32" i="61"/>
  <c r="X31" i="61"/>
  <c r="Z31" i="61" s="1"/>
  <c r="V31" i="61"/>
  <c r="N31" i="61"/>
  <c r="L31" i="61"/>
  <c r="B31" i="61"/>
  <c r="X30" i="61"/>
  <c r="Z30" i="61" s="1"/>
  <c r="V30" i="61"/>
  <c r="N30" i="61"/>
  <c r="L30" i="61"/>
  <c r="F30" i="61"/>
  <c r="B30" i="61"/>
  <c r="X29" i="61"/>
  <c r="Z29" i="61" s="1"/>
  <c r="V29" i="61"/>
  <c r="R29" i="61"/>
  <c r="L29" i="61"/>
  <c r="N29" i="61" s="1"/>
  <c r="B29" i="61"/>
  <c r="X28" i="61"/>
  <c r="Z28" i="61" s="1"/>
  <c r="V28" i="61"/>
  <c r="T28" i="61"/>
  <c r="P28" i="61"/>
  <c r="H28" i="61"/>
  <c r="D28" i="61"/>
  <c r="L28" i="61" s="1"/>
  <c r="N28" i="61" s="1"/>
  <c r="B28" i="61"/>
  <c r="Z27" i="61"/>
  <c r="X27" i="61"/>
  <c r="N27" i="61"/>
  <c r="L27" i="61"/>
  <c r="F27" i="61"/>
  <c r="B27" i="61"/>
  <c r="X26" i="61"/>
  <c r="Z26" i="61" s="1"/>
  <c r="V26" i="61"/>
  <c r="R26" i="61"/>
  <c r="N26" i="61"/>
  <c r="L26" i="61"/>
  <c r="F26" i="61"/>
  <c r="B26" i="61"/>
  <c r="Z25" i="61"/>
  <c r="X25" i="61"/>
  <c r="N25" i="61"/>
  <c r="L25" i="61"/>
  <c r="J25" i="61"/>
  <c r="F25" i="61"/>
  <c r="B25" i="61"/>
  <c r="X24" i="61"/>
  <c r="Z24" i="61" s="1"/>
  <c r="V24" i="61"/>
  <c r="N24" i="61"/>
  <c r="L24" i="61"/>
  <c r="F24" i="61"/>
  <c r="B24" i="61"/>
  <c r="Z23" i="61"/>
  <c r="X23" i="61"/>
  <c r="N23" i="61"/>
  <c r="L23" i="61"/>
  <c r="F23" i="61"/>
  <c r="B23" i="61"/>
  <c r="X22" i="61"/>
  <c r="Z22" i="61" s="1"/>
  <c r="V22" i="61"/>
  <c r="R22" i="61"/>
  <c r="N22" i="61"/>
  <c r="L22" i="61"/>
  <c r="F22" i="61"/>
  <c r="B22" i="61"/>
  <c r="Z21" i="61"/>
  <c r="X21" i="61"/>
  <c r="V21" i="61"/>
  <c r="N21" i="61"/>
  <c r="L21" i="61"/>
  <c r="F21" i="61"/>
  <c r="B21" i="61"/>
  <c r="X20" i="61"/>
  <c r="Z20" i="61" s="1"/>
  <c r="V20" i="61"/>
  <c r="R20" i="61"/>
  <c r="N20" i="61"/>
  <c r="L20" i="61"/>
  <c r="F20" i="61"/>
  <c r="B20" i="61"/>
  <c r="Z19" i="61"/>
  <c r="X19" i="61"/>
  <c r="V19" i="61"/>
  <c r="T19" i="61"/>
  <c r="R19" i="61"/>
  <c r="P19" i="61"/>
  <c r="L19" i="61"/>
  <c r="N19" i="61" s="1"/>
  <c r="H19" i="61"/>
  <c r="F19" i="61"/>
  <c r="D19" i="61"/>
  <c r="B19" i="61"/>
  <c r="T18" i="61"/>
  <c r="P18" i="61"/>
  <c r="H18" i="61"/>
  <c r="F18" i="61"/>
  <c r="D18" i="61"/>
  <c r="T16" i="61"/>
  <c r="T51" i="61" s="1"/>
  <c r="R16" i="61"/>
  <c r="N16" i="61"/>
  <c r="F16" i="61"/>
  <c r="D16" i="61"/>
  <c r="D51" i="61" s="1"/>
  <c r="T14" i="61"/>
  <c r="Z14" i="61" s="1"/>
  <c r="P14" i="61"/>
  <c r="P16" i="61" s="1"/>
  <c r="H14" i="61"/>
  <c r="H16" i="61" s="1"/>
  <c r="H51" i="61" s="1"/>
  <c r="F14" i="61"/>
  <c r="D14" i="61"/>
  <c r="Z12" i="61"/>
  <c r="T12" i="61"/>
  <c r="V42" i="61" s="1"/>
  <c r="P12" i="61"/>
  <c r="R51" i="61" s="1"/>
  <c r="H12" i="61"/>
  <c r="J27" i="61" s="1"/>
  <c r="D12" i="61"/>
  <c r="F47" i="61" s="1"/>
  <c r="D6" i="61"/>
  <c r="D4" i="61"/>
  <c r="V56" i="60"/>
  <c r="J56" i="60"/>
  <c r="V53" i="60"/>
  <c r="J53" i="60"/>
  <c r="Z51" i="60"/>
  <c r="X51" i="60"/>
  <c r="V51" i="60"/>
  <c r="N51" i="60"/>
  <c r="L51" i="60"/>
  <c r="T47" i="60"/>
  <c r="Z47" i="60" s="1"/>
  <c r="P47" i="60"/>
  <c r="H47" i="60"/>
  <c r="N47" i="60" s="1"/>
  <c r="D47" i="60"/>
  <c r="Z45" i="60"/>
  <c r="X45" i="60"/>
  <c r="N45" i="60"/>
  <c r="L45" i="60"/>
  <c r="J45" i="60"/>
  <c r="B45" i="60"/>
  <c r="Z44" i="60"/>
  <c r="V44" i="60"/>
  <c r="T44" i="60"/>
  <c r="P44" i="60"/>
  <c r="X44" i="60" s="1"/>
  <c r="N44" i="60"/>
  <c r="L44" i="60"/>
  <c r="J44" i="60"/>
  <c r="H44" i="60"/>
  <c r="D44" i="60"/>
  <c r="B44" i="60"/>
  <c r="X43" i="60"/>
  <c r="Z43" i="60" s="1"/>
  <c r="N43" i="60"/>
  <c r="L43" i="60"/>
  <c r="J43" i="60"/>
  <c r="F43" i="60"/>
  <c r="B43" i="60"/>
  <c r="T42" i="60"/>
  <c r="P42" i="60"/>
  <c r="X42" i="60" s="1"/>
  <c r="J42" i="60"/>
  <c r="H42" i="60"/>
  <c r="F42" i="60"/>
  <c r="D42" i="60"/>
  <c r="L42" i="60" s="1"/>
  <c r="B42" i="60"/>
  <c r="X41" i="60"/>
  <c r="Z41" i="60" s="1"/>
  <c r="V41" i="60"/>
  <c r="N41" i="60"/>
  <c r="L41" i="60"/>
  <c r="J41" i="60"/>
  <c r="B41" i="60"/>
  <c r="X40" i="60"/>
  <c r="Z40" i="60" s="1"/>
  <c r="N40" i="60"/>
  <c r="L40" i="60"/>
  <c r="J40" i="60"/>
  <c r="F40" i="60"/>
  <c r="B40" i="60"/>
  <c r="Z39" i="60"/>
  <c r="X39" i="60"/>
  <c r="V39" i="60"/>
  <c r="T39" i="60"/>
  <c r="P39" i="60"/>
  <c r="L39" i="60"/>
  <c r="J39" i="60"/>
  <c r="H39" i="60"/>
  <c r="F39" i="60"/>
  <c r="D39" i="60"/>
  <c r="B39" i="60"/>
  <c r="Z38" i="60"/>
  <c r="X38" i="60"/>
  <c r="V38" i="60"/>
  <c r="N38" i="60"/>
  <c r="L38" i="60"/>
  <c r="J38" i="60"/>
  <c r="B38" i="60"/>
  <c r="Z37" i="60"/>
  <c r="X37" i="60"/>
  <c r="T37" i="60"/>
  <c r="P37" i="60"/>
  <c r="L37" i="60"/>
  <c r="H37" i="60"/>
  <c r="N37" i="60" s="1"/>
  <c r="F37" i="60"/>
  <c r="D37" i="60"/>
  <c r="B37" i="60"/>
  <c r="Z36" i="60"/>
  <c r="X36" i="60"/>
  <c r="N36" i="60"/>
  <c r="L36" i="60"/>
  <c r="B36" i="60"/>
  <c r="X35" i="60"/>
  <c r="Z35" i="60" s="1"/>
  <c r="V35" i="60"/>
  <c r="N35" i="60"/>
  <c r="L35" i="60"/>
  <c r="J35" i="60"/>
  <c r="B35" i="60"/>
  <c r="T34" i="60"/>
  <c r="P34" i="60"/>
  <c r="X34" i="60" s="1"/>
  <c r="Z34" i="60" s="1"/>
  <c r="J34" i="60"/>
  <c r="H34" i="60"/>
  <c r="N34" i="60" s="1"/>
  <c r="D34" i="60"/>
  <c r="L34" i="60" s="1"/>
  <c r="B34" i="60"/>
  <c r="Z33" i="60"/>
  <c r="X33" i="60"/>
  <c r="V33" i="60"/>
  <c r="N33" i="60"/>
  <c r="L33" i="60"/>
  <c r="J33" i="60"/>
  <c r="F33" i="60"/>
  <c r="B33" i="60"/>
  <c r="V32" i="60"/>
  <c r="T32" i="60"/>
  <c r="Z32" i="60" s="1"/>
  <c r="P32" i="60"/>
  <c r="X32" i="60" s="1"/>
  <c r="L32" i="60"/>
  <c r="J32" i="60"/>
  <c r="H32" i="60"/>
  <c r="N32" i="60" s="1"/>
  <c r="F32" i="60"/>
  <c r="D32" i="60"/>
  <c r="B32" i="60"/>
  <c r="Z31" i="60"/>
  <c r="X31" i="60"/>
  <c r="V31" i="60"/>
  <c r="N31" i="60"/>
  <c r="L31" i="60"/>
  <c r="J31" i="60"/>
  <c r="B31" i="60"/>
  <c r="Z30" i="60"/>
  <c r="X30" i="60"/>
  <c r="T30" i="60"/>
  <c r="P30" i="60"/>
  <c r="H30" i="60"/>
  <c r="D30" i="60"/>
  <c r="B30" i="60"/>
  <c r="Z29" i="60"/>
  <c r="X29" i="60"/>
  <c r="V29" i="60"/>
  <c r="N29" i="60"/>
  <c r="L29" i="60"/>
  <c r="J29" i="60"/>
  <c r="B29" i="60"/>
  <c r="V28" i="60"/>
  <c r="T28" i="60"/>
  <c r="P28" i="60"/>
  <c r="X28" i="60" s="1"/>
  <c r="H28" i="60"/>
  <c r="N28" i="60" s="1"/>
  <c r="D28" i="60"/>
  <c r="L28" i="60" s="1"/>
  <c r="B28" i="60"/>
  <c r="X27" i="60"/>
  <c r="Z27" i="60" s="1"/>
  <c r="V27" i="60"/>
  <c r="N27" i="60"/>
  <c r="L27" i="60"/>
  <c r="J27" i="60"/>
  <c r="B27" i="60"/>
  <c r="X26" i="60"/>
  <c r="Z26" i="60" s="1"/>
  <c r="V26" i="60"/>
  <c r="N26" i="60"/>
  <c r="L26" i="60"/>
  <c r="J26" i="60"/>
  <c r="B26" i="60"/>
  <c r="Z25" i="60"/>
  <c r="X25" i="60"/>
  <c r="V25" i="60"/>
  <c r="N25" i="60"/>
  <c r="L25" i="60"/>
  <c r="J25" i="60"/>
  <c r="F25" i="60"/>
  <c r="B25" i="60"/>
  <c r="X24" i="60"/>
  <c r="Z24" i="60" s="1"/>
  <c r="V24" i="60"/>
  <c r="R24" i="60"/>
  <c r="L24" i="60"/>
  <c r="N24" i="60" s="1"/>
  <c r="J24" i="60"/>
  <c r="F24" i="60"/>
  <c r="B24" i="60"/>
  <c r="X23" i="60"/>
  <c r="Z23" i="60" s="1"/>
  <c r="V23" i="60"/>
  <c r="N23" i="60"/>
  <c r="L23" i="60"/>
  <c r="J23" i="60"/>
  <c r="B23" i="60"/>
  <c r="X22" i="60"/>
  <c r="Z22" i="60" s="1"/>
  <c r="V22" i="60"/>
  <c r="N22" i="60"/>
  <c r="L22" i="60"/>
  <c r="J22" i="60"/>
  <c r="B22" i="60"/>
  <c r="Z21" i="60"/>
  <c r="X21" i="60"/>
  <c r="V21" i="60"/>
  <c r="N21" i="60"/>
  <c r="L21" i="60"/>
  <c r="J21" i="60"/>
  <c r="F21" i="60"/>
  <c r="B21" i="60"/>
  <c r="X20" i="60"/>
  <c r="Z20" i="60" s="1"/>
  <c r="V20" i="60"/>
  <c r="R20" i="60"/>
  <c r="L20" i="60"/>
  <c r="N20" i="60" s="1"/>
  <c r="J20" i="60"/>
  <c r="F20" i="60"/>
  <c r="B20" i="60"/>
  <c r="X19" i="60"/>
  <c r="Z19" i="60" s="1"/>
  <c r="V19" i="60"/>
  <c r="T19" i="60"/>
  <c r="P19" i="60"/>
  <c r="J19" i="60"/>
  <c r="H19" i="60"/>
  <c r="F19" i="60"/>
  <c r="D19" i="60"/>
  <c r="L19" i="60" s="1"/>
  <c r="N19" i="60" s="1"/>
  <c r="B19" i="60"/>
  <c r="Z18" i="60"/>
  <c r="X18" i="60"/>
  <c r="T18" i="60"/>
  <c r="P18" i="60"/>
  <c r="J18" i="60"/>
  <c r="H18" i="60"/>
  <c r="D18" i="60"/>
  <c r="Z16" i="60"/>
  <c r="J16" i="60"/>
  <c r="H16" i="60"/>
  <c r="Z14" i="60"/>
  <c r="X14" i="60"/>
  <c r="T14" i="60"/>
  <c r="T16" i="60" s="1"/>
  <c r="T49" i="60" s="1"/>
  <c r="P14" i="60"/>
  <c r="P16" i="60" s="1"/>
  <c r="J14" i="60"/>
  <c r="H14" i="60"/>
  <c r="D14" i="60"/>
  <c r="Z12" i="60"/>
  <c r="X12" i="60"/>
  <c r="T12" i="60"/>
  <c r="V34" i="60" s="1"/>
  <c r="P12" i="60"/>
  <c r="R42" i="60" s="1"/>
  <c r="N12" i="60"/>
  <c r="L12" i="60"/>
  <c r="H12" i="60"/>
  <c r="J30" i="60" s="1"/>
  <c r="D12" i="60"/>
  <c r="F29" i="60" s="1"/>
  <c r="D6" i="60"/>
  <c r="D4" i="60"/>
  <c r="V69" i="59"/>
  <c r="V66" i="59"/>
  <c r="Z64" i="59"/>
  <c r="X64" i="59"/>
  <c r="V64" i="59"/>
  <c r="N64" i="59"/>
  <c r="L64" i="59"/>
  <c r="J64" i="59"/>
  <c r="T60" i="59"/>
  <c r="P60" i="59"/>
  <c r="N60" i="59"/>
  <c r="L60" i="59"/>
  <c r="H60" i="59"/>
  <c r="D60" i="59"/>
  <c r="Z58" i="59"/>
  <c r="X58" i="59"/>
  <c r="N58" i="59"/>
  <c r="L58" i="59"/>
  <c r="J58" i="59"/>
  <c r="B58" i="59"/>
  <c r="Z57" i="59"/>
  <c r="X57" i="59"/>
  <c r="V57" i="59"/>
  <c r="N57" i="59"/>
  <c r="L57" i="59"/>
  <c r="J57" i="59"/>
  <c r="B57" i="59"/>
  <c r="Z56" i="59"/>
  <c r="X56" i="59"/>
  <c r="T56" i="59"/>
  <c r="P56" i="59"/>
  <c r="H56" i="59"/>
  <c r="D56" i="59"/>
  <c r="B56" i="59"/>
  <c r="Z55" i="59"/>
  <c r="X55" i="59"/>
  <c r="N55" i="59"/>
  <c r="L55" i="59"/>
  <c r="J55" i="59"/>
  <c r="B55" i="59"/>
  <c r="V54" i="59"/>
  <c r="T54" i="59"/>
  <c r="P54" i="59"/>
  <c r="X54" i="59" s="1"/>
  <c r="H54" i="59"/>
  <c r="N54" i="59" s="1"/>
  <c r="D54" i="59"/>
  <c r="L54" i="59" s="1"/>
  <c r="B54" i="59"/>
  <c r="X53" i="59"/>
  <c r="Z53" i="59" s="1"/>
  <c r="V53" i="59"/>
  <c r="N53" i="59"/>
  <c r="L53" i="59"/>
  <c r="J53" i="59"/>
  <c r="B53" i="59"/>
  <c r="X52" i="59"/>
  <c r="Z52" i="59" s="1"/>
  <c r="L52" i="59"/>
  <c r="N52" i="59" s="1"/>
  <c r="B52" i="59"/>
  <c r="T51" i="59"/>
  <c r="R51" i="59"/>
  <c r="P51" i="59"/>
  <c r="X51" i="59" s="1"/>
  <c r="Z51" i="59" s="1"/>
  <c r="L51" i="59"/>
  <c r="N51" i="59" s="1"/>
  <c r="J51" i="59"/>
  <c r="H51" i="59"/>
  <c r="D51" i="59"/>
  <c r="B51" i="59"/>
  <c r="X50" i="59"/>
  <c r="Z50" i="59" s="1"/>
  <c r="L50" i="59"/>
  <c r="N50" i="59" s="1"/>
  <c r="J50" i="59"/>
  <c r="B50" i="59"/>
  <c r="Z49" i="59"/>
  <c r="X49" i="59"/>
  <c r="V49" i="59"/>
  <c r="N49" i="59"/>
  <c r="L49" i="59"/>
  <c r="J49" i="59"/>
  <c r="B49" i="59"/>
  <c r="X48" i="59"/>
  <c r="Z48" i="59" s="1"/>
  <c r="T48" i="59"/>
  <c r="P48" i="59"/>
  <c r="H48" i="59"/>
  <c r="D48" i="59"/>
  <c r="B48" i="59"/>
  <c r="Z47" i="59"/>
  <c r="X47" i="59"/>
  <c r="N47" i="59"/>
  <c r="L47" i="59"/>
  <c r="J47" i="59"/>
  <c r="B47" i="59"/>
  <c r="X46" i="59"/>
  <c r="Z46" i="59" s="1"/>
  <c r="V46" i="59"/>
  <c r="L46" i="59"/>
  <c r="N46" i="59" s="1"/>
  <c r="J46" i="59"/>
  <c r="B46" i="59"/>
  <c r="Z45" i="59"/>
  <c r="X45" i="59"/>
  <c r="V45" i="59"/>
  <c r="L45" i="59"/>
  <c r="N45" i="59" s="1"/>
  <c r="J45" i="59"/>
  <c r="B45" i="59"/>
  <c r="T44" i="59"/>
  <c r="Z44" i="59" s="1"/>
  <c r="P44" i="59"/>
  <c r="X44" i="59" s="1"/>
  <c r="J44" i="59"/>
  <c r="H44" i="59"/>
  <c r="D44" i="59"/>
  <c r="L44" i="59" s="1"/>
  <c r="B44" i="59"/>
  <c r="Z43" i="59"/>
  <c r="X43" i="59"/>
  <c r="N43" i="59"/>
  <c r="L43" i="59"/>
  <c r="J43" i="59"/>
  <c r="B43" i="59"/>
  <c r="T42" i="59"/>
  <c r="P42" i="59"/>
  <c r="L42" i="59"/>
  <c r="J42" i="59"/>
  <c r="H42" i="59"/>
  <c r="N42" i="59" s="1"/>
  <c r="D42" i="59"/>
  <c r="B42" i="59"/>
  <c r="Z41" i="59"/>
  <c r="X41" i="59"/>
  <c r="V41" i="59"/>
  <c r="N41" i="59"/>
  <c r="L41" i="59"/>
  <c r="J41" i="59"/>
  <c r="B41" i="59"/>
  <c r="Z40" i="59"/>
  <c r="X40" i="59"/>
  <c r="T40" i="59"/>
  <c r="P40" i="59"/>
  <c r="H40" i="59"/>
  <c r="D40" i="59"/>
  <c r="B40" i="59"/>
  <c r="Z39" i="59"/>
  <c r="X39" i="59"/>
  <c r="N39" i="59"/>
  <c r="L39" i="59"/>
  <c r="J39" i="59"/>
  <c r="B39" i="59"/>
  <c r="X38" i="59"/>
  <c r="Z38" i="59" s="1"/>
  <c r="V38" i="59"/>
  <c r="R38" i="59"/>
  <c r="L38" i="59"/>
  <c r="N38" i="59" s="1"/>
  <c r="J38" i="59"/>
  <c r="B38" i="59"/>
  <c r="V37" i="59"/>
  <c r="T37" i="59"/>
  <c r="P37" i="59"/>
  <c r="X37" i="59" s="1"/>
  <c r="Z37" i="59" s="1"/>
  <c r="J37" i="59"/>
  <c r="H37" i="59"/>
  <c r="L37" i="59" s="1"/>
  <c r="N37" i="59" s="1"/>
  <c r="D37" i="59"/>
  <c r="B37" i="59"/>
  <c r="X36" i="59"/>
  <c r="Z36" i="59" s="1"/>
  <c r="N36" i="59"/>
  <c r="L36" i="59"/>
  <c r="J36" i="59"/>
  <c r="B36" i="59"/>
  <c r="V35" i="59"/>
  <c r="T35" i="59"/>
  <c r="P35" i="59"/>
  <c r="X35" i="59" s="1"/>
  <c r="Z35" i="59" s="1"/>
  <c r="N35" i="59"/>
  <c r="L35" i="59"/>
  <c r="J35" i="59"/>
  <c r="H35" i="59"/>
  <c r="D35" i="59"/>
  <c r="B35" i="59"/>
  <c r="Z34" i="59"/>
  <c r="X34" i="59"/>
  <c r="N34" i="59"/>
  <c r="L34" i="59"/>
  <c r="J34" i="59"/>
  <c r="F34" i="59"/>
  <c r="B34" i="59"/>
  <c r="Z33" i="59"/>
  <c r="X33" i="59"/>
  <c r="V33" i="59"/>
  <c r="N33" i="59"/>
  <c r="L33" i="59"/>
  <c r="J33" i="59"/>
  <c r="B33" i="59"/>
  <c r="Z32" i="59"/>
  <c r="X32" i="59"/>
  <c r="L32" i="59"/>
  <c r="N32" i="59" s="1"/>
  <c r="B32" i="59"/>
  <c r="Z31" i="59"/>
  <c r="X31" i="59"/>
  <c r="R31" i="59"/>
  <c r="N31" i="59"/>
  <c r="L31" i="59"/>
  <c r="J31" i="59"/>
  <c r="B31" i="59"/>
  <c r="X30" i="59"/>
  <c r="Z30" i="59" s="1"/>
  <c r="L30" i="59"/>
  <c r="N30" i="59" s="1"/>
  <c r="J30" i="59"/>
  <c r="F30" i="59"/>
  <c r="B30" i="59"/>
  <c r="Z29" i="59"/>
  <c r="X29" i="59"/>
  <c r="V29" i="59"/>
  <c r="T29" i="59"/>
  <c r="P29" i="59"/>
  <c r="J29" i="59"/>
  <c r="H29" i="59"/>
  <c r="L29" i="59" s="1"/>
  <c r="D29" i="59"/>
  <c r="B29" i="59"/>
  <c r="X28" i="59"/>
  <c r="Z28" i="59" s="1"/>
  <c r="L28" i="59"/>
  <c r="N28" i="59" s="1"/>
  <c r="J28" i="59"/>
  <c r="B28" i="59"/>
  <c r="Z27" i="59"/>
  <c r="X27" i="59"/>
  <c r="V27" i="59"/>
  <c r="N27" i="59"/>
  <c r="L27" i="59"/>
  <c r="J27" i="59"/>
  <c r="B27" i="59"/>
  <c r="X26" i="59"/>
  <c r="Z26" i="59" s="1"/>
  <c r="V26" i="59"/>
  <c r="L26" i="59"/>
  <c r="N26" i="59" s="1"/>
  <c r="J26" i="59"/>
  <c r="B26" i="59"/>
  <c r="Z25" i="59"/>
  <c r="X25" i="59"/>
  <c r="V25" i="59"/>
  <c r="N25" i="59"/>
  <c r="L25" i="59"/>
  <c r="J25" i="59"/>
  <c r="B25" i="59"/>
  <c r="X24" i="59"/>
  <c r="Z24" i="59" s="1"/>
  <c r="L24" i="59"/>
  <c r="N24" i="59" s="1"/>
  <c r="J24" i="59"/>
  <c r="B24" i="59"/>
  <c r="Z23" i="59"/>
  <c r="X23" i="59"/>
  <c r="V23" i="59"/>
  <c r="N23" i="59"/>
  <c r="L23" i="59"/>
  <c r="J23" i="59"/>
  <c r="B23" i="59"/>
  <c r="X22" i="59"/>
  <c r="Z22" i="59" s="1"/>
  <c r="V22" i="59"/>
  <c r="L22" i="59"/>
  <c r="N22" i="59" s="1"/>
  <c r="J22" i="59"/>
  <c r="B22" i="59"/>
  <c r="Z21" i="59"/>
  <c r="X21" i="59"/>
  <c r="V21" i="59"/>
  <c r="L21" i="59"/>
  <c r="N21" i="59" s="1"/>
  <c r="J21" i="59"/>
  <c r="B21" i="59"/>
  <c r="X20" i="59"/>
  <c r="Z20" i="59" s="1"/>
  <c r="L20" i="59"/>
  <c r="N20" i="59" s="1"/>
  <c r="J20" i="59"/>
  <c r="B20" i="59"/>
  <c r="Z19" i="59"/>
  <c r="V19" i="59"/>
  <c r="T19" i="59"/>
  <c r="X19" i="59" s="1"/>
  <c r="P19" i="59"/>
  <c r="J19" i="59"/>
  <c r="H19" i="59"/>
  <c r="D19" i="59"/>
  <c r="L19" i="59" s="1"/>
  <c r="N19" i="59" s="1"/>
  <c r="B19" i="59"/>
  <c r="T18" i="59"/>
  <c r="P18" i="59"/>
  <c r="X18" i="59" s="1"/>
  <c r="L18" i="59"/>
  <c r="J18" i="59"/>
  <c r="H18" i="59"/>
  <c r="D18" i="59"/>
  <c r="J16" i="59"/>
  <c r="T14" i="59"/>
  <c r="P14" i="59"/>
  <c r="L14" i="59"/>
  <c r="J14" i="59"/>
  <c r="H14" i="59"/>
  <c r="N14" i="59" s="1"/>
  <c r="D14" i="59"/>
  <c r="T12" i="59"/>
  <c r="V56" i="59" s="1"/>
  <c r="P12" i="59"/>
  <c r="R30" i="59" s="1"/>
  <c r="N12" i="59"/>
  <c r="H12" i="59"/>
  <c r="J62" i="59" s="1"/>
  <c r="D12" i="59"/>
  <c r="D6" i="59"/>
  <c r="D4" i="59"/>
  <c r="Z73" i="58"/>
  <c r="X73" i="58"/>
  <c r="N73" i="58"/>
  <c r="L73" i="58"/>
  <c r="R71" i="58"/>
  <c r="T69" i="58"/>
  <c r="Z69" i="58" s="1"/>
  <c r="P69" i="58"/>
  <c r="X69" i="58" s="1"/>
  <c r="H69" i="58"/>
  <c r="N69" i="58" s="1"/>
  <c r="D69" i="58"/>
  <c r="L69" i="58" s="1"/>
  <c r="X67" i="58"/>
  <c r="Z67" i="58" s="1"/>
  <c r="N67" i="58"/>
  <c r="L67" i="58"/>
  <c r="B67" i="58"/>
  <c r="Z66" i="58"/>
  <c r="T66" i="58"/>
  <c r="P66" i="58"/>
  <c r="X66" i="58" s="1"/>
  <c r="L66" i="58"/>
  <c r="N66" i="58" s="1"/>
  <c r="H66" i="58"/>
  <c r="D66" i="58"/>
  <c r="B66" i="58"/>
  <c r="X65" i="58"/>
  <c r="Z65" i="58" s="1"/>
  <c r="L65" i="58"/>
  <c r="N65" i="58" s="1"/>
  <c r="J65" i="58"/>
  <c r="F65" i="58"/>
  <c r="B65" i="58"/>
  <c r="Z64" i="58"/>
  <c r="X64" i="58"/>
  <c r="T64" i="58"/>
  <c r="P64" i="58"/>
  <c r="N64" i="58"/>
  <c r="H64" i="58"/>
  <c r="L64" i="58" s="1"/>
  <c r="F64" i="58"/>
  <c r="D64" i="58"/>
  <c r="B64" i="58"/>
  <c r="X63" i="58"/>
  <c r="Z63" i="58" s="1"/>
  <c r="L63" i="58"/>
  <c r="N63" i="58" s="1"/>
  <c r="B63" i="58"/>
  <c r="Z62" i="58"/>
  <c r="T62" i="58"/>
  <c r="X62" i="58" s="1"/>
  <c r="P62" i="58"/>
  <c r="J62" i="58"/>
  <c r="H62" i="58"/>
  <c r="D62" i="58"/>
  <c r="L62" i="58" s="1"/>
  <c r="N62" i="58" s="1"/>
  <c r="B62" i="58"/>
  <c r="X61" i="58"/>
  <c r="Z61" i="58" s="1"/>
  <c r="L61" i="58"/>
  <c r="N61" i="58" s="1"/>
  <c r="B61" i="58"/>
  <c r="X60" i="58"/>
  <c r="Z60" i="58" s="1"/>
  <c r="N60" i="58"/>
  <c r="L60" i="58"/>
  <c r="J60" i="58"/>
  <c r="B60" i="58"/>
  <c r="X59" i="58"/>
  <c r="Z59" i="58" s="1"/>
  <c r="N59" i="58"/>
  <c r="L59" i="58"/>
  <c r="B59" i="58"/>
  <c r="Z58" i="58"/>
  <c r="T58" i="58"/>
  <c r="P58" i="58"/>
  <c r="X58" i="58" s="1"/>
  <c r="L58" i="58"/>
  <c r="N58" i="58" s="1"/>
  <c r="J58" i="58"/>
  <c r="H58" i="58"/>
  <c r="D58" i="58"/>
  <c r="B58" i="58"/>
  <c r="X57" i="58"/>
  <c r="Z57" i="58" s="1"/>
  <c r="N57" i="58"/>
  <c r="L57" i="58"/>
  <c r="J57" i="58"/>
  <c r="F57" i="58"/>
  <c r="B57" i="58"/>
  <c r="Z56" i="58"/>
  <c r="X56" i="58"/>
  <c r="V56" i="58"/>
  <c r="T56" i="58"/>
  <c r="P56" i="58"/>
  <c r="N56" i="58"/>
  <c r="H56" i="58"/>
  <c r="L56" i="58" s="1"/>
  <c r="F56" i="58"/>
  <c r="D56" i="58"/>
  <c r="B56" i="58"/>
  <c r="X55" i="58"/>
  <c r="Z55" i="58" s="1"/>
  <c r="L55" i="58"/>
  <c r="N55" i="58" s="1"/>
  <c r="B55" i="58"/>
  <c r="Z54" i="58"/>
  <c r="X54" i="58"/>
  <c r="N54" i="58"/>
  <c r="L54" i="58"/>
  <c r="B54" i="58"/>
  <c r="T53" i="58"/>
  <c r="P53" i="58"/>
  <c r="L53" i="58"/>
  <c r="H53" i="58"/>
  <c r="D53" i="58"/>
  <c r="B53" i="58"/>
  <c r="X52" i="58"/>
  <c r="Z52" i="58" s="1"/>
  <c r="V52" i="58"/>
  <c r="N52" i="58"/>
  <c r="L52" i="58"/>
  <c r="J52" i="58"/>
  <c r="B52" i="58"/>
  <c r="Z51" i="58"/>
  <c r="X51" i="58"/>
  <c r="N51" i="58"/>
  <c r="L51" i="58"/>
  <c r="B51" i="58"/>
  <c r="Z50" i="58"/>
  <c r="X50" i="58"/>
  <c r="V50" i="58"/>
  <c r="N50" i="58"/>
  <c r="L50" i="58"/>
  <c r="F50" i="58"/>
  <c r="B50" i="58"/>
  <c r="T49" i="58"/>
  <c r="P49" i="58"/>
  <c r="H49" i="58"/>
  <c r="D49" i="58"/>
  <c r="L49" i="58" s="1"/>
  <c r="B49" i="58"/>
  <c r="Z48" i="58"/>
  <c r="X48" i="58"/>
  <c r="N48" i="58"/>
  <c r="L48" i="58"/>
  <c r="B48" i="58"/>
  <c r="T47" i="58"/>
  <c r="P47" i="58"/>
  <c r="X47" i="58" s="1"/>
  <c r="Z47" i="58" s="1"/>
  <c r="H47" i="58"/>
  <c r="D47" i="58"/>
  <c r="B47" i="58"/>
  <c r="Z46" i="58"/>
  <c r="X46" i="58"/>
  <c r="N46" i="58"/>
  <c r="L46" i="58"/>
  <c r="J46" i="58"/>
  <c r="B46" i="58"/>
  <c r="T45" i="58"/>
  <c r="P45" i="58"/>
  <c r="X45" i="58" s="1"/>
  <c r="L45" i="58"/>
  <c r="H45" i="58"/>
  <c r="D45" i="58"/>
  <c r="B45" i="58"/>
  <c r="X44" i="58"/>
  <c r="Z44" i="58" s="1"/>
  <c r="N44" i="58"/>
  <c r="L44" i="58"/>
  <c r="J44" i="58"/>
  <c r="B44" i="58"/>
  <c r="X43" i="58"/>
  <c r="T43" i="58"/>
  <c r="Z43" i="58" s="1"/>
  <c r="R43" i="58"/>
  <c r="P43" i="58"/>
  <c r="H43" i="58"/>
  <c r="D43" i="58"/>
  <c r="B43" i="58"/>
  <c r="Z42" i="58"/>
  <c r="X42" i="58"/>
  <c r="N42" i="58"/>
  <c r="L42" i="58"/>
  <c r="B42" i="58"/>
  <c r="X41" i="58"/>
  <c r="T41" i="58"/>
  <c r="P41" i="58"/>
  <c r="N41" i="58"/>
  <c r="L41" i="58"/>
  <c r="H41" i="58"/>
  <c r="D41" i="58"/>
  <c r="B41" i="58"/>
  <c r="Z40" i="58"/>
  <c r="X40" i="58"/>
  <c r="L40" i="58"/>
  <c r="N40" i="58" s="1"/>
  <c r="J40" i="58"/>
  <c r="B40" i="58"/>
  <c r="T39" i="58"/>
  <c r="P39" i="58"/>
  <c r="H39" i="58"/>
  <c r="D39" i="58"/>
  <c r="B39" i="58"/>
  <c r="Z38" i="58"/>
  <c r="X38" i="58"/>
  <c r="V38" i="58"/>
  <c r="N38" i="58"/>
  <c r="L38" i="58"/>
  <c r="F38" i="58"/>
  <c r="B38" i="58"/>
  <c r="X37" i="58"/>
  <c r="T37" i="58"/>
  <c r="P37" i="58"/>
  <c r="H37" i="58"/>
  <c r="F37" i="58"/>
  <c r="D37" i="58"/>
  <c r="L37" i="58" s="1"/>
  <c r="B37" i="58"/>
  <c r="Z36" i="58"/>
  <c r="X36" i="58"/>
  <c r="N36" i="58"/>
  <c r="L36" i="58"/>
  <c r="B36" i="58"/>
  <c r="X35" i="58"/>
  <c r="T35" i="58"/>
  <c r="Z35" i="58" s="1"/>
  <c r="P35" i="58"/>
  <c r="H35" i="58"/>
  <c r="D35" i="58"/>
  <c r="B35" i="58"/>
  <c r="Z34" i="58"/>
  <c r="X34" i="58"/>
  <c r="N34" i="58"/>
  <c r="L34" i="58"/>
  <c r="J34" i="58"/>
  <c r="B34" i="58"/>
  <c r="X33" i="58"/>
  <c r="Z33" i="58" s="1"/>
  <c r="V33" i="58"/>
  <c r="R33" i="58"/>
  <c r="L33" i="58"/>
  <c r="N33" i="58" s="1"/>
  <c r="F33" i="58"/>
  <c r="B33" i="58"/>
  <c r="Z32" i="58"/>
  <c r="X32" i="58"/>
  <c r="L32" i="58"/>
  <c r="N32" i="58" s="1"/>
  <c r="J32" i="58"/>
  <c r="B32" i="58"/>
  <c r="X31" i="58"/>
  <c r="Z31" i="58" s="1"/>
  <c r="R31" i="58"/>
  <c r="L31" i="58"/>
  <c r="N31" i="58" s="1"/>
  <c r="B31" i="58"/>
  <c r="Z30" i="58"/>
  <c r="T30" i="58"/>
  <c r="X30" i="58" s="1"/>
  <c r="P30" i="58"/>
  <c r="J30" i="58"/>
  <c r="H30" i="58"/>
  <c r="D30" i="58"/>
  <c r="L30" i="58" s="1"/>
  <c r="N30" i="58" s="1"/>
  <c r="B30" i="58"/>
  <c r="X29" i="58"/>
  <c r="Z29" i="58" s="1"/>
  <c r="R29" i="58"/>
  <c r="L29" i="58"/>
  <c r="N29" i="58" s="1"/>
  <c r="F29" i="58"/>
  <c r="B29" i="58"/>
  <c r="X28" i="58"/>
  <c r="Z28" i="58" s="1"/>
  <c r="N28" i="58"/>
  <c r="L28" i="58"/>
  <c r="J28" i="58"/>
  <c r="B28" i="58"/>
  <c r="X27" i="58"/>
  <c r="Z27" i="58" s="1"/>
  <c r="N27" i="58"/>
  <c r="L27" i="58"/>
  <c r="F27" i="58"/>
  <c r="B27" i="58"/>
  <c r="Z26" i="58"/>
  <c r="X26" i="58"/>
  <c r="N26" i="58"/>
  <c r="L26" i="58"/>
  <c r="F26" i="58"/>
  <c r="B26" i="58"/>
  <c r="Z25" i="58"/>
  <c r="X25" i="58"/>
  <c r="R25" i="58"/>
  <c r="N25" i="58"/>
  <c r="L25" i="58"/>
  <c r="F25" i="58"/>
  <c r="B25" i="58"/>
  <c r="X24" i="58"/>
  <c r="Z24" i="58" s="1"/>
  <c r="N24" i="58"/>
  <c r="L24" i="58"/>
  <c r="B24" i="58"/>
  <c r="X23" i="58"/>
  <c r="Z23" i="58" s="1"/>
  <c r="N23" i="58"/>
  <c r="L23" i="58"/>
  <c r="F23" i="58"/>
  <c r="B23" i="58"/>
  <c r="Z22" i="58"/>
  <c r="X22" i="58"/>
  <c r="N22" i="58"/>
  <c r="L22" i="58"/>
  <c r="F22" i="58"/>
  <c r="B22" i="58"/>
  <c r="X21" i="58"/>
  <c r="Z21" i="58" s="1"/>
  <c r="V21" i="58"/>
  <c r="R21" i="58"/>
  <c r="L21" i="58"/>
  <c r="N21" i="58" s="1"/>
  <c r="F21" i="58"/>
  <c r="B21" i="58"/>
  <c r="X20" i="58"/>
  <c r="Z20" i="58" s="1"/>
  <c r="N20" i="58"/>
  <c r="L20" i="58"/>
  <c r="B20" i="58"/>
  <c r="X19" i="58"/>
  <c r="T19" i="58"/>
  <c r="R19" i="58"/>
  <c r="P19" i="58"/>
  <c r="L19" i="58"/>
  <c r="H19" i="58"/>
  <c r="D19" i="58"/>
  <c r="B19" i="58"/>
  <c r="Z18" i="58"/>
  <c r="T18" i="58"/>
  <c r="X18" i="58" s="1"/>
  <c r="R18" i="58"/>
  <c r="P18" i="58"/>
  <c r="N18" i="58"/>
  <c r="L18" i="58"/>
  <c r="J18" i="58"/>
  <c r="H18" i="58"/>
  <c r="F18" i="58"/>
  <c r="D18" i="58"/>
  <c r="J16" i="58"/>
  <c r="F16" i="58"/>
  <c r="Z14" i="58"/>
  <c r="T14" i="58"/>
  <c r="X14" i="58" s="1"/>
  <c r="P14" i="58"/>
  <c r="N14" i="58"/>
  <c r="L14" i="58"/>
  <c r="H14" i="58"/>
  <c r="F14" i="58"/>
  <c r="D14" i="58"/>
  <c r="T12" i="58"/>
  <c r="V14" i="58" s="1"/>
  <c r="P12" i="58"/>
  <c r="R61" i="58" s="1"/>
  <c r="N12" i="58"/>
  <c r="H12" i="58"/>
  <c r="J66" i="58" s="1"/>
  <c r="D12" i="58"/>
  <c r="F49" i="58" s="1"/>
  <c r="D6" i="58"/>
  <c r="D4" i="58"/>
  <c r="V71" i="57"/>
  <c r="R71" i="57"/>
  <c r="J71" i="57"/>
  <c r="F71" i="57"/>
  <c r="J68" i="57"/>
  <c r="F68" i="57"/>
  <c r="Z66" i="57"/>
  <c r="X66" i="57"/>
  <c r="N66" i="57"/>
  <c r="L66" i="57"/>
  <c r="R64" i="57"/>
  <c r="J64" i="57"/>
  <c r="F64" i="57"/>
  <c r="Z62" i="57"/>
  <c r="X62" i="57"/>
  <c r="T62" i="57"/>
  <c r="P62" i="57"/>
  <c r="J62" i="57"/>
  <c r="H62" i="57"/>
  <c r="F62" i="57"/>
  <c r="D62" i="57"/>
  <c r="Z60" i="57"/>
  <c r="X60" i="57"/>
  <c r="N60" i="57"/>
  <c r="L60" i="57"/>
  <c r="B60" i="57"/>
  <c r="T59" i="57"/>
  <c r="R59" i="57"/>
  <c r="P59" i="57"/>
  <c r="L59" i="57"/>
  <c r="H59" i="57"/>
  <c r="D59" i="57"/>
  <c r="B59" i="57"/>
  <c r="Z58" i="57"/>
  <c r="X58" i="57"/>
  <c r="N58" i="57"/>
  <c r="L58" i="57"/>
  <c r="J58" i="57"/>
  <c r="B58" i="57"/>
  <c r="X57" i="57"/>
  <c r="T57" i="57"/>
  <c r="P57" i="57"/>
  <c r="L57" i="57"/>
  <c r="H57" i="57"/>
  <c r="N57" i="57" s="1"/>
  <c r="D57" i="57"/>
  <c r="B57" i="57"/>
  <c r="Z56" i="57"/>
  <c r="X56" i="57"/>
  <c r="N56" i="57"/>
  <c r="L56" i="57"/>
  <c r="B56" i="57"/>
  <c r="X55" i="57"/>
  <c r="Z55" i="57" s="1"/>
  <c r="N55" i="57"/>
  <c r="L55" i="57"/>
  <c r="F55" i="57"/>
  <c r="B55" i="57"/>
  <c r="Z54" i="57"/>
  <c r="X54" i="57"/>
  <c r="V54" i="57"/>
  <c r="N54" i="57"/>
  <c r="L54" i="57"/>
  <c r="B54" i="57"/>
  <c r="T53" i="57"/>
  <c r="P53" i="57"/>
  <c r="X53" i="57" s="1"/>
  <c r="L53" i="57"/>
  <c r="H53" i="57"/>
  <c r="F53" i="57"/>
  <c r="D53" i="57"/>
  <c r="B53" i="57"/>
  <c r="Z52" i="57"/>
  <c r="X52" i="57"/>
  <c r="N52" i="57"/>
  <c r="L52" i="57"/>
  <c r="J52" i="57"/>
  <c r="B52" i="57"/>
  <c r="Z51" i="57"/>
  <c r="T51" i="57"/>
  <c r="X51" i="57" s="1"/>
  <c r="P51" i="57"/>
  <c r="H51" i="57"/>
  <c r="N51" i="57" s="1"/>
  <c r="D51" i="57"/>
  <c r="L51" i="57" s="1"/>
  <c r="B51" i="57"/>
  <c r="Z50" i="57"/>
  <c r="X50" i="57"/>
  <c r="V50" i="57"/>
  <c r="R50" i="57"/>
  <c r="N50" i="57"/>
  <c r="L50" i="57"/>
  <c r="B50" i="57"/>
  <c r="T49" i="57"/>
  <c r="P49" i="57"/>
  <c r="X49" i="57" s="1"/>
  <c r="H49" i="57"/>
  <c r="N49" i="57" s="1"/>
  <c r="D49" i="57"/>
  <c r="L49" i="57" s="1"/>
  <c r="B49" i="57"/>
  <c r="Z48" i="57"/>
  <c r="X48" i="57"/>
  <c r="N48" i="57"/>
  <c r="L48" i="57"/>
  <c r="B48" i="57"/>
  <c r="X47" i="57"/>
  <c r="Z47" i="57" s="1"/>
  <c r="R47" i="57"/>
  <c r="N47" i="57"/>
  <c r="L47" i="57"/>
  <c r="F47" i="57"/>
  <c r="B47" i="57"/>
  <c r="Z46" i="57"/>
  <c r="X46" i="57"/>
  <c r="N46" i="57"/>
  <c r="L46" i="57"/>
  <c r="F46" i="57"/>
  <c r="B46" i="57"/>
  <c r="X45" i="57"/>
  <c r="V45" i="57"/>
  <c r="T45" i="57"/>
  <c r="P45" i="57"/>
  <c r="L45" i="57"/>
  <c r="H45" i="57"/>
  <c r="F45" i="57"/>
  <c r="D45" i="57"/>
  <c r="B45" i="57"/>
  <c r="Z44" i="57"/>
  <c r="X44" i="57"/>
  <c r="V44" i="57"/>
  <c r="N44" i="57"/>
  <c r="L44" i="57"/>
  <c r="B44" i="57"/>
  <c r="Z43" i="57"/>
  <c r="T43" i="57"/>
  <c r="P43" i="57"/>
  <c r="X43" i="57" s="1"/>
  <c r="H43" i="57"/>
  <c r="N43" i="57" s="1"/>
  <c r="D43" i="57"/>
  <c r="L43" i="57" s="1"/>
  <c r="B43" i="57"/>
  <c r="Z42" i="57"/>
  <c r="X42" i="57"/>
  <c r="V42" i="57"/>
  <c r="N42" i="57"/>
  <c r="L42" i="57"/>
  <c r="B42" i="57"/>
  <c r="T41" i="57"/>
  <c r="P41" i="57"/>
  <c r="X41" i="57" s="1"/>
  <c r="N41" i="57"/>
  <c r="H41" i="57"/>
  <c r="L41" i="57" s="1"/>
  <c r="D41" i="57"/>
  <c r="B41" i="57"/>
  <c r="Z40" i="57"/>
  <c r="X40" i="57"/>
  <c r="N40" i="57"/>
  <c r="L40" i="57"/>
  <c r="J40" i="57"/>
  <c r="B40" i="57"/>
  <c r="X39" i="57"/>
  <c r="T39" i="57"/>
  <c r="P39" i="57"/>
  <c r="H39" i="57"/>
  <c r="D39" i="57"/>
  <c r="L39" i="57" s="1"/>
  <c r="B39" i="57"/>
  <c r="Z38" i="57"/>
  <c r="X38" i="57"/>
  <c r="V38" i="57"/>
  <c r="R38" i="57"/>
  <c r="N38" i="57"/>
  <c r="L38" i="57"/>
  <c r="F38" i="57"/>
  <c r="B38" i="57"/>
  <c r="T37" i="57"/>
  <c r="P37" i="57"/>
  <c r="X37" i="57" s="1"/>
  <c r="H37" i="57"/>
  <c r="F37" i="57"/>
  <c r="D37" i="57"/>
  <c r="B37" i="57"/>
  <c r="Z36" i="57"/>
  <c r="X36" i="57"/>
  <c r="L36" i="57"/>
  <c r="N36" i="57" s="1"/>
  <c r="B36" i="57"/>
  <c r="X35" i="57"/>
  <c r="T35" i="57"/>
  <c r="P35" i="57"/>
  <c r="L35" i="57"/>
  <c r="H35" i="57"/>
  <c r="D35" i="57"/>
  <c r="B35" i="57"/>
  <c r="Z34" i="57"/>
  <c r="X34" i="57"/>
  <c r="N34" i="57"/>
  <c r="L34" i="57"/>
  <c r="J34" i="57"/>
  <c r="F34" i="57"/>
  <c r="B34" i="57"/>
  <c r="X33" i="57"/>
  <c r="T33" i="57"/>
  <c r="P33" i="57"/>
  <c r="H33" i="57"/>
  <c r="N33" i="57" s="1"/>
  <c r="F33" i="57"/>
  <c r="D33" i="57"/>
  <c r="L33" i="57" s="1"/>
  <c r="B33" i="57"/>
  <c r="Z32" i="57"/>
  <c r="X32" i="57"/>
  <c r="V32" i="57"/>
  <c r="N32" i="57"/>
  <c r="L32" i="57"/>
  <c r="B32" i="57"/>
  <c r="Z31" i="57"/>
  <c r="X31" i="57"/>
  <c r="L31" i="57"/>
  <c r="N31" i="57" s="1"/>
  <c r="F31" i="57"/>
  <c r="B31" i="57"/>
  <c r="Z30" i="57"/>
  <c r="X30" i="57"/>
  <c r="N30" i="57"/>
  <c r="L30" i="57"/>
  <c r="F30" i="57"/>
  <c r="B30" i="57"/>
  <c r="X29" i="57"/>
  <c r="Z29" i="57" s="1"/>
  <c r="R29" i="57"/>
  <c r="L29" i="57"/>
  <c r="N29" i="57" s="1"/>
  <c r="J29" i="57"/>
  <c r="F29" i="57"/>
  <c r="B29" i="57"/>
  <c r="Z28" i="57"/>
  <c r="X28" i="57"/>
  <c r="T28" i="57"/>
  <c r="P28" i="57"/>
  <c r="N28" i="57"/>
  <c r="J28" i="57"/>
  <c r="H28" i="57"/>
  <c r="L28" i="57" s="1"/>
  <c r="F28" i="57"/>
  <c r="D28" i="57"/>
  <c r="B28" i="57"/>
  <c r="Z27" i="57"/>
  <c r="X27" i="57"/>
  <c r="L27" i="57"/>
  <c r="N27" i="57" s="1"/>
  <c r="F27" i="57"/>
  <c r="B27" i="57"/>
  <c r="Z26" i="57"/>
  <c r="X26" i="57"/>
  <c r="N26" i="57"/>
  <c r="L26" i="57"/>
  <c r="B26" i="57"/>
  <c r="X25" i="57"/>
  <c r="Z25" i="57" s="1"/>
  <c r="L25" i="57"/>
  <c r="N25" i="57" s="1"/>
  <c r="J25" i="57"/>
  <c r="F25" i="57"/>
  <c r="B25" i="57"/>
  <c r="Z24" i="57"/>
  <c r="X24" i="57"/>
  <c r="N24" i="57"/>
  <c r="L24" i="57"/>
  <c r="J24" i="57"/>
  <c r="B24" i="57"/>
  <c r="X23" i="57"/>
  <c r="Z23" i="57" s="1"/>
  <c r="R23" i="57"/>
  <c r="L23" i="57"/>
  <c r="N23" i="57" s="1"/>
  <c r="F23" i="57"/>
  <c r="B23" i="57"/>
  <c r="Z22" i="57"/>
  <c r="X22" i="57"/>
  <c r="N22" i="57"/>
  <c r="L22" i="57"/>
  <c r="B22" i="57"/>
  <c r="X21" i="57"/>
  <c r="Z21" i="57" s="1"/>
  <c r="V21" i="57"/>
  <c r="L21" i="57"/>
  <c r="N21" i="57" s="1"/>
  <c r="J21" i="57"/>
  <c r="F21" i="57"/>
  <c r="B21" i="57"/>
  <c r="Z20" i="57"/>
  <c r="X20" i="57"/>
  <c r="L20" i="57"/>
  <c r="N20" i="57" s="1"/>
  <c r="J20" i="57"/>
  <c r="B20" i="57"/>
  <c r="X19" i="57"/>
  <c r="Z19" i="57" s="1"/>
  <c r="T19" i="57"/>
  <c r="P19" i="57"/>
  <c r="J19" i="57"/>
  <c r="H19" i="57"/>
  <c r="D19" i="57"/>
  <c r="L19" i="57" s="1"/>
  <c r="B19" i="57"/>
  <c r="Z18" i="57"/>
  <c r="X18" i="57"/>
  <c r="T18" i="57"/>
  <c r="P18" i="57"/>
  <c r="J18" i="57"/>
  <c r="H18" i="57"/>
  <c r="F18" i="57"/>
  <c r="D18" i="57"/>
  <c r="L18" i="57" s="1"/>
  <c r="N18" i="57" s="1"/>
  <c r="J16" i="57"/>
  <c r="F16" i="57"/>
  <c r="Z14" i="57"/>
  <c r="X14" i="57"/>
  <c r="T14" i="57"/>
  <c r="T16" i="57" s="1"/>
  <c r="P14" i="57"/>
  <c r="J14" i="57"/>
  <c r="H14" i="57"/>
  <c r="N14" i="57" s="1"/>
  <c r="F14" i="57"/>
  <c r="D14" i="57"/>
  <c r="L14" i="57" s="1"/>
  <c r="Z12" i="57"/>
  <c r="X12" i="57"/>
  <c r="T12" i="57"/>
  <c r="V66" i="57" s="1"/>
  <c r="P12" i="57"/>
  <c r="R51" i="57" s="1"/>
  <c r="N12" i="57"/>
  <c r="H12" i="57"/>
  <c r="J66" i="57" s="1"/>
  <c r="D12" i="57"/>
  <c r="D6" i="57"/>
  <c r="D4" i="57"/>
  <c r="V78" i="56"/>
  <c r="V75" i="56"/>
  <c r="Z73" i="56"/>
  <c r="X73" i="56"/>
  <c r="V73" i="56"/>
  <c r="R73" i="56"/>
  <c r="N73" i="56"/>
  <c r="L73" i="56"/>
  <c r="T69" i="56"/>
  <c r="Z69" i="56" s="1"/>
  <c r="P69" i="56"/>
  <c r="X69" i="56" s="1"/>
  <c r="N69" i="56"/>
  <c r="L69" i="56"/>
  <c r="H69" i="56"/>
  <c r="D69" i="56"/>
  <c r="Z67" i="56"/>
  <c r="X67" i="56"/>
  <c r="L67" i="56"/>
  <c r="N67" i="56" s="1"/>
  <c r="J67" i="56"/>
  <c r="F67" i="56"/>
  <c r="B67" i="56"/>
  <c r="Z66" i="56"/>
  <c r="X66" i="56"/>
  <c r="L66" i="56"/>
  <c r="N66" i="56" s="1"/>
  <c r="B66" i="56"/>
  <c r="Z65" i="56"/>
  <c r="X65" i="56"/>
  <c r="T65" i="56"/>
  <c r="P65" i="56"/>
  <c r="H65" i="56"/>
  <c r="D65" i="56"/>
  <c r="L65" i="56" s="1"/>
  <c r="B65" i="56"/>
  <c r="Z64" i="56"/>
  <c r="X64" i="56"/>
  <c r="V64" i="56"/>
  <c r="L64" i="56"/>
  <c r="N64" i="56" s="1"/>
  <c r="B64" i="56"/>
  <c r="V63" i="56"/>
  <c r="T63" i="56"/>
  <c r="P63" i="56"/>
  <c r="H63" i="56"/>
  <c r="D63" i="56"/>
  <c r="L63" i="56" s="1"/>
  <c r="N63" i="56" s="1"/>
  <c r="B63" i="56"/>
  <c r="X62" i="56"/>
  <c r="Z62" i="56" s="1"/>
  <c r="V62" i="56"/>
  <c r="N62" i="56"/>
  <c r="L62" i="56"/>
  <c r="B62" i="56"/>
  <c r="T61" i="56"/>
  <c r="Z61" i="56" s="1"/>
  <c r="R61" i="56"/>
  <c r="P61" i="56"/>
  <c r="X61" i="56" s="1"/>
  <c r="L61" i="56"/>
  <c r="N61" i="56" s="1"/>
  <c r="H61" i="56"/>
  <c r="D61" i="56"/>
  <c r="B61" i="56"/>
  <c r="Z60" i="56"/>
  <c r="X60" i="56"/>
  <c r="V60" i="56"/>
  <c r="R60" i="56"/>
  <c r="N60" i="56"/>
  <c r="L60" i="56"/>
  <c r="B60" i="56"/>
  <c r="Z59" i="56"/>
  <c r="X59" i="56"/>
  <c r="R59" i="56"/>
  <c r="L59" i="56"/>
  <c r="N59" i="56" s="1"/>
  <c r="J59" i="56"/>
  <c r="F59" i="56"/>
  <c r="B59" i="56"/>
  <c r="Z58" i="56"/>
  <c r="X58" i="56"/>
  <c r="L58" i="56"/>
  <c r="N58" i="56" s="1"/>
  <c r="B58" i="56"/>
  <c r="Z57" i="56"/>
  <c r="X57" i="56"/>
  <c r="T57" i="56"/>
  <c r="P57" i="56"/>
  <c r="H57" i="56"/>
  <c r="D57" i="56"/>
  <c r="L57" i="56" s="1"/>
  <c r="B57" i="56"/>
  <c r="Z56" i="56"/>
  <c r="X56" i="56"/>
  <c r="V56" i="56"/>
  <c r="N56" i="56"/>
  <c r="L56" i="56"/>
  <c r="B56" i="56"/>
  <c r="X55" i="56"/>
  <c r="V55" i="56"/>
  <c r="T55" i="56"/>
  <c r="R55" i="56"/>
  <c r="P55" i="56"/>
  <c r="N55" i="56"/>
  <c r="H55" i="56"/>
  <c r="D55" i="56"/>
  <c r="L55" i="56" s="1"/>
  <c r="B55" i="56"/>
  <c r="Z54" i="56"/>
  <c r="X54" i="56"/>
  <c r="V54" i="56"/>
  <c r="R54" i="56"/>
  <c r="N54" i="56"/>
  <c r="L54" i="56"/>
  <c r="B54" i="56"/>
  <c r="Z53" i="56"/>
  <c r="X53" i="56"/>
  <c r="R53" i="56"/>
  <c r="N53" i="56"/>
  <c r="L53" i="56"/>
  <c r="F53" i="56"/>
  <c r="B53" i="56"/>
  <c r="Z52" i="56"/>
  <c r="X52" i="56"/>
  <c r="R52" i="56"/>
  <c r="N52" i="56"/>
  <c r="L52" i="56"/>
  <c r="J52" i="56"/>
  <c r="F52" i="56"/>
  <c r="B52" i="56"/>
  <c r="X51" i="56"/>
  <c r="Z51" i="56" s="1"/>
  <c r="T51" i="56"/>
  <c r="P51" i="56"/>
  <c r="H51" i="56"/>
  <c r="F51" i="56"/>
  <c r="D51" i="56"/>
  <c r="B51" i="56"/>
  <c r="Z50" i="56"/>
  <c r="X50" i="56"/>
  <c r="N50" i="56"/>
  <c r="L50" i="56"/>
  <c r="B50" i="56"/>
  <c r="Z49" i="56"/>
  <c r="X49" i="56"/>
  <c r="R49" i="56"/>
  <c r="N49" i="56"/>
  <c r="L49" i="56"/>
  <c r="B49" i="56"/>
  <c r="Z48" i="56"/>
  <c r="X48" i="56"/>
  <c r="V48" i="56"/>
  <c r="R48" i="56"/>
  <c r="N48" i="56"/>
  <c r="L48" i="56"/>
  <c r="B48" i="56"/>
  <c r="T47" i="56"/>
  <c r="P47" i="56"/>
  <c r="X47" i="56" s="1"/>
  <c r="L47" i="56"/>
  <c r="N47" i="56" s="1"/>
  <c r="H47" i="56"/>
  <c r="D47" i="56"/>
  <c r="B47" i="56"/>
  <c r="X46" i="56"/>
  <c r="Z46" i="56" s="1"/>
  <c r="N46" i="56"/>
  <c r="L46" i="56"/>
  <c r="B46" i="56"/>
  <c r="T45" i="56"/>
  <c r="R45" i="56"/>
  <c r="P45" i="56"/>
  <c r="X45" i="56" s="1"/>
  <c r="Z45" i="56" s="1"/>
  <c r="H45" i="56"/>
  <c r="D45" i="56"/>
  <c r="B45" i="56"/>
  <c r="Z44" i="56"/>
  <c r="X44" i="56"/>
  <c r="R44" i="56"/>
  <c r="N44" i="56"/>
  <c r="L44" i="56"/>
  <c r="J44" i="56"/>
  <c r="F44" i="56"/>
  <c r="B44" i="56"/>
  <c r="X43" i="56"/>
  <c r="Z43" i="56" s="1"/>
  <c r="T43" i="56"/>
  <c r="P43" i="56"/>
  <c r="H43" i="56"/>
  <c r="N43" i="56" s="1"/>
  <c r="F43" i="56"/>
  <c r="D43" i="56"/>
  <c r="L43" i="56" s="1"/>
  <c r="B43" i="56"/>
  <c r="Z42" i="56"/>
  <c r="X42" i="56"/>
  <c r="N42" i="56"/>
  <c r="L42" i="56"/>
  <c r="B42" i="56"/>
  <c r="X41" i="56"/>
  <c r="Z41" i="56" s="1"/>
  <c r="T41" i="56"/>
  <c r="R41" i="56"/>
  <c r="P41" i="56"/>
  <c r="H41" i="56"/>
  <c r="N41" i="56" s="1"/>
  <c r="D41" i="56"/>
  <c r="L41" i="56" s="1"/>
  <c r="B41" i="56"/>
  <c r="Z40" i="56"/>
  <c r="X40" i="56"/>
  <c r="V40" i="56"/>
  <c r="R40" i="56"/>
  <c r="N40" i="56"/>
  <c r="L40" i="56"/>
  <c r="B40" i="56"/>
  <c r="V39" i="56"/>
  <c r="T39" i="56"/>
  <c r="X39" i="56" s="1"/>
  <c r="R39" i="56"/>
  <c r="P39" i="56"/>
  <c r="H39" i="56"/>
  <c r="D39" i="56"/>
  <c r="L39" i="56" s="1"/>
  <c r="N39" i="56" s="1"/>
  <c r="B39" i="56"/>
  <c r="Z38" i="56"/>
  <c r="X38" i="56"/>
  <c r="V38" i="56"/>
  <c r="R38" i="56"/>
  <c r="N38" i="56"/>
  <c r="L38" i="56"/>
  <c r="B38" i="56"/>
  <c r="T37" i="56"/>
  <c r="R37" i="56"/>
  <c r="P37" i="56"/>
  <c r="L37" i="56"/>
  <c r="N37" i="56" s="1"/>
  <c r="H37" i="56"/>
  <c r="D37" i="56"/>
  <c r="B37" i="56"/>
  <c r="Z36" i="56"/>
  <c r="X36" i="56"/>
  <c r="V36" i="56"/>
  <c r="R36" i="56"/>
  <c r="N36" i="56"/>
  <c r="L36" i="56"/>
  <c r="B36" i="56"/>
  <c r="T35" i="56"/>
  <c r="P35" i="56"/>
  <c r="X35" i="56" s="1"/>
  <c r="L35" i="56"/>
  <c r="N35" i="56" s="1"/>
  <c r="H35" i="56"/>
  <c r="D35" i="56"/>
  <c r="B35" i="56"/>
  <c r="X34" i="56"/>
  <c r="Z34" i="56" s="1"/>
  <c r="N34" i="56"/>
  <c r="L34" i="56"/>
  <c r="J34" i="56"/>
  <c r="B34" i="56"/>
  <c r="T33" i="56"/>
  <c r="R33" i="56"/>
  <c r="P33" i="56"/>
  <c r="X33" i="56" s="1"/>
  <c r="Z33" i="56" s="1"/>
  <c r="H33" i="56"/>
  <c r="D33" i="56"/>
  <c r="B33" i="56"/>
  <c r="Z32" i="56"/>
  <c r="X32" i="56"/>
  <c r="R32" i="56"/>
  <c r="N32" i="56"/>
  <c r="L32" i="56"/>
  <c r="J32" i="56"/>
  <c r="F32" i="56"/>
  <c r="B32" i="56"/>
  <c r="X31" i="56"/>
  <c r="Z31" i="56" s="1"/>
  <c r="R31" i="56"/>
  <c r="N31" i="56"/>
  <c r="L31" i="56"/>
  <c r="B31" i="56"/>
  <c r="Z30" i="56"/>
  <c r="X30" i="56"/>
  <c r="V30" i="56"/>
  <c r="R30" i="56"/>
  <c r="N30" i="56"/>
  <c r="L30" i="56"/>
  <c r="B30" i="56"/>
  <c r="T29" i="56"/>
  <c r="R29" i="56"/>
  <c r="P29" i="56"/>
  <c r="L29" i="56"/>
  <c r="H29" i="56"/>
  <c r="N29" i="56" s="1"/>
  <c r="D29" i="56"/>
  <c r="B29" i="56"/>
  <c r="Z28" i="56"/>
  <c r="X28" i="56"/>
  <c r="V28" i="56"/>
  <c r="R28" i="56"/>
  <c r="N28" i="56"/>
  <c r="L28" i="56"/>
  <c r="B28" i="56"/>
  <c r="Z27" i="56"/>
  <c r="X27" i="56"/>
  <c r="R27" i="56"/>
  <c r="L27" i="56"/>
  <c r="N27" i="56" s="1"/>
  <c r="J27" i="56"/>
  <c r="F27" i="56"/>
  <c r="B27" i="56"/>
  <c r="Z26" i="56"/>
  <c r="X26" i="56"/>
  <c r="R26" i="56"/>
  <c r="L26" i="56"/>
  <c r="N26" i="56" s="1"/>
  <c r="B26" i="56"/>
  <c r="Z25" i="56"/>
  <c r="X25" i="56"/>
  <c r="V25" i="56"/>
  <c r="R25" i="56"/>
  <c r="N25" i="56"/>
  <c r="L25" i="56"/>
  <c r="B25" i="56"/>
  <c r="Z24" i="56"/>
  <c r="X24" i="56"/>
  <c r="V24" i="56"/>
  <c r="R24" i="56"/>
  <c r="N24" i="56"/>
  <c r="L24" i="56"/>
  <c r="B24" i="56"/>
  <c r="Z23" i="56"/>
  <c r="X23" i="56"/>
  <c r="R23" i="56"/>
  <c r="L23" i="56"/>
  <c r="N23" i="56" s="1"/>
  <c r="F23" i="56"/>
  <c r="B23" i="56"/>
  <c r="Z22" i="56"/>
  <c r="X22" i="56"/>
  <c r="V22" i="56"/>
  <c r="R22" i="56"/>
  <c r="L22" i="56"/>
  <c r="N22" i="56" s="1"/>
  <c r="B22" i="56"/>
  <c r="Z21" i="56"/>
  <c r="X21" i="56"/>
  <c r="V21" i="56"/>
  <c r="R21" i="56"/>
  <c r="L21" i="56"/>
  <c r="N21" i="56" s="1"/>
  <c r="B21" i="56"/>
  <c r="Z20" i="56"/>
  <c r="X20" i="56"/>
  <c r="V20" i="56"/>
  <c r="R20" i="56"/>
  <c r="N20" i="56"/>
  <c r="L20" i="56"/>
  <c r="B20" i="56"/>
  <c r="V19" i="56"/>
  <c r="T19" i="56"/>
  <c r="Z19" i="56" s="1"/>
  <c r="P19" i="56"/>
  <c r="X19" i="56" s="1"/>
  <c r="N19" i="56"/>
  <c r="L19" i="56"/>
  <c r="H19" i="56"/>
  <c r="D19" i="56"/>
  <c r="B19" i="56"/>
  <c r="T18" i="56"/>
  <c r="R18" i="56"/>
  <c r="P18" i="56"/>
  <c r="X18" i="56" s="1"/>
  <c r="N18" i="56"/>
  <c r="L18" i="56"/>
  <c r="H18" i="56"/>
  <c r="D18" i="56"/>
  <c r="R16" i="56"/>
  <c r="P16" i="56"/>
  <c r="T14" i="56"/>
  <c r="Z14" i="56" s="1"/>
  <c r="R14" i="56"/>
  <c r="P14" i="56"/>
  <c r="X14" i="56" s="1"/>
  <c r="N14" i="56"/>
  <c r="L14" i="56"/>
  <c r="H14" i="56"/>
  <c r="D14" i="56"/>
  <c r="X12" i="56"/>
  <c r="T12" i="56"/>
  <c r="V65" i="56" s="1"/>
  <c r="P12" i="56"/>
  <c r="R78" i="56" s="1"/>
  <c r="N12" i="56"/>
  <c r="L12" i="56"/>
  <c r="H12" i="56"/>
  <c r="D12" i="56"/>
  <c r="F46" i="56" s="1"/>
  <c r="D6" i="56"/>
  <c r="D4" i="56"/>
  <c r="J38" i="55"/>
  <c r="F38" i="55"/>
  <c r="J35" i="55"/>
  <c r="F35" i="55"/>
  <c r="Z33" i="55"/>
  <c r="X33" i="55"/>
  <c r="N33" i="55"/>
  <c r="L33" i="55"/>
  <c r="J33" i="55"/>
  <c r="F33" i="55"/>
  <c r="V31" i="55"/>
  <c r="F31" i="55"/>
  <c r="Z29" i="55"/>
  <c r="X29" i="55"/>
  <c r="V29" i="55"/>
  <c r="T29" i="55"/>
  <c r="P29" i="55"/>
  <c r="H29" i="55"/>
  <c r="N29" i="55" s="1"/>
  <c r="F29" i="55"/>
  <c r="D29" i="55"/>
  <c r="L29" i="55" s="1"/>
  <c r="Z27" i="55"/>
  <c r="X27" i="55"/>
  <c r="V27" i="55"/>
  <c r="N27" i="55"/>
  <c r="L27" i="55"/>
  <c r="B27" i="55"/>
  <c r="X26" i="55"/>
  <c r="Z26" i="55" s="1"/>
  <c r="V26" i="55"/>
  <c r="R26" i="55"/>
  <c r="L26" i="55"/>
  <c r="N26" i="55" s="1"/>
  <c r="F26" i="55"/>
  <c r="B26" i="55"/>
  <c r="T25" i="55"/>
  <c r="Z25" i="55" s="1"/>
  <c r="R25" i="55"/>
  <c r="P25" i="55"/>
  <c r="X25" i="55" s="1"/>
  <c r="N25" i="55"/>
  <c r="L25" i="55"/>
  <c r="J25" i="55"/>
  <c r="H25" i="55"/>
  <c r="F25" i="55"/>
  <c r="D25" i="55"/>
  <c r="B25" i="55"/>
  <c r="X24" i="55"/>
  <c r="Z24" i="55" s="1"/>
  <c r="R24" i="55"/>
  <c r="N24" i="55"/>
  <c r="L24" i="55"/>
  <c r="J24" i="55"/>
  <c r="F24" i="55"/>
  <c r="B24" i="55"/>
  <c r="X23" i="55"/>
  <c r="Z23" i="55" s="1"/>
  <c r="T23" i="55"/>
  <c r="P23" i="55"/>
  <c r="N23" i="55"/>
  <c r="L23" i="55"/>
  <c r="J23" i="55"/>
  <c r="H23" i="55"/>
  <c r="F23" i="55"/>
  <c r="D23" i="55"/>
  <c r="B23" i="55"/>
  <c r="Z22" i="55"/>
  <c r="X22" i="55"/>
  <c r="L22" i="55"/>
  <c r="N22" i="55" s="1"/>
  <c r="J22" i="55"/>
  <c r="F22" i="55"/>
  <c r="B22" i="55"/>
  <c r="V21" i="55"/>
  <c r="T21" i="55"/>
  <c r="X21" i="55" s="1"/>
  <c r="Z21" i="55" s="1"/>
  <c r="P21" i="55"/>
  <c r="J21" i="55"/>
  <c r="H21" i="55"/>
  <c r="F21" i="55"/>
  <c r="D21" i="55"/>
  <c r="L21" i="55" s="1"/>
  <c r="B21" i="55"/>
  <c r="X20" i="55"/>
  <c r="Z20" i="55" s="1"/>
  <c r="V20" i="55"/>
  <c r="N20" i="55"/>
  <c r="L20" i="55"/>
  <c r="F20" i="55"/>
  <c r="B20" i="55"/>
  <c r="Z19" i="55"/>
  <c r="X19" i="55"/>
  <c r="V19" i="55"/>
  <c r="T19" i="55"/>
  <c r="P19" i="55"/>
  <c r="H19" i="55"/>
  <c r="N19" i="55" s="1"/>
  <c r="F19" i="55"/>
  <c r="D19" i="55"/>
  <c r="L19" i="55" s="1"/>
  <c r="B19" i="55"/>
  <c r="X18" i="55"/>
  <c r="Z18" i="55" s="1"/>
  <c r="T18" i="55"/>
  <c r="P18" i="55"/>
  <c r="H18" i="55"/>
  <c r="F18" i="55"/>
  <c r="D18" i="55"/>
  <c r="H16" i="55"/>
  <c r="F16" i="55"/>
  <c r="Z14" i="55"/>
  <c r="X14" i="55"/>
  <c r="T14" i="55"/>
  <c r="T16" i="55" s="1"/>
  <c r="P14" i="55"/>
  <c r="H14" i="55"/>
  <c r="N14" i="55" s="1"/>
  <c r="F14" i="55"/>
  <c r="D14" i="55"/>
  <c r="L14" i="55" s="1"/>
  <c r="Z12" i="55"/>
  <c r="X12" i="55"/>
  <c r="T12" i="55"/>
  <c r="V18" i="55" s="1"/>
  <c r="P12" i="55"/>
  <c r="R27" i="55" s="1"/>
  <c r="N12" i="55"/>
  <c r="H12" i="55"/>
  <c r="J26" i="55" s="1"/>
  <c r="D12" i="55"/>
  <c r="L12" i="55" s="1"/>
  <c r="D6" i="55"/>
  <c r="D4" i="55"/>
  <c r="V31" i="54"/>
  <c r="Z29" i="54"/>
  <c r="X29" i="54"/>
  <c r="V29" i="54"/>
  <c r="T29" i="54"/>
  <c r="P29" i="54"/>
  <c r="H29" i="54"/>
  <c r="D29" i="54"/>
  <c r="L29" i="54" s="1"/>
  <c r="N29" i="54" s="1"/>
  <c r="Z28" i="54"/>
  <c r="X28" i="54"/>
  <c r="V28" i="54"/>
  <c r="T28" i="54"/>
  <c r="P28" i="54"/>
  <c r="H28" i="54"/>
  <c r="D28" i="54"/>
  <c r="L28" i="54" s="1"/>
  <c r="N28" i="54" s="1"/>
  <c r="V26" i="54"/>
  <c r="Z24" i="54"/>
  <c r="X24" i="54"/>
  <c r="V24" i="54"/>
  <c r="N24" i="54"/>
  <c r="L24" i="54"/>
  <c r="T20" i="54"/>
  <c r="Z20" i="54" s="1"/>
  <c r="P20" i="54"/>
  <c r="N20" i="54"/>
  <c r="L20" i="54"/>
  <c r="H20" i="54"/>
  <c r="D20" i="54"/>
  <c r="T18" i="54"/>
  <c r="Z18" i="54" s="1"/>
  <c r="R18" i="54"/>
  <c r="P18" i="54"/>
  <c r="N18" i="54"/>
  <c r="L18" i="54"/>
  <c r="H18" i="54"/>
  <c r="D18" i="54"/>
  <c r="T16" i="54"/>
  <c r="Z16" i="54" s="1"/>
  <c r="T14" i="54"/>
  <c r="Z14" i="54" s="1"/>
  <c r="P14" i="54"/>
  <c r="N14" i="54"/>
  <c r="L14" i="54"/>
  <c r="H14" i="54"/>
  <c r="D14" i="54"/>
  <c r="Z12" i="54"/>
  <c r="T12" i="54"/>
  <c r="V22" i="54" s="1"/>
  <c r="P12" i="54"/>
  <c r="R16" i="54" s="1"/>
  <c r="N12" i="54"/>
  <c r="L12" i="54"/>
  <c r="H12" i="54"/>
  <c r="J22" i="54" s="1"/>
  <c r="D12" i="54"/>
  <c r="F22" i="54" s="1"/>
  <c r="D6" i="54"/>
  <c r="D4" i="54"/>
  <c r="Z102" i="51"/>
  <c r="X102" i="51"/>
  <c r="N102" i="51"/>
  <c r="L102" i="51"/>
  <c r="X98" i="51"/>
  <c r="Z98" i="51" s="1"/>
  <c r="T98" i="51"/>
  <c r="P98" i="51"/>
  <c r="L98" i="51"/>
  <c r="H98" i="51"/>
  <c r="D98" i="51"/>
  <c r="B98" i="51"/>
  <c r="Z97" i="51"/>
  <c r="X97" i="51"/>
  <c r="T97" i="51"/>
  <c r="P97" i="51"/>
  <c r="N97" i="51"/>
  <c r="L97" i="51"/>
  <c r="H97" i="51"/>
  <c r="D97" i="51"/>
  <c r="B97" i="51"/>
  <c r="T96" i="51"/>
  <c r="T95" i="51" s="1"/>
  <c r="P96" i="51"/>
  <c r="X96" i="51" s="1"/>
  <c r="Z96" i="51" s="1"/>
  <c r="L96" i="51"/>
  <c r="N96" i="51" s="1"/>
  <c r="H96" i="51"/>
  <c r="D96" i="51"/>
  <c r="D95" i="51" s="1"/>
  <c r="B96" i="51"/>
  <c r="P95" i="51"/>
  <c r="X95" i="51" s="1"/>
  <c r="X93" i="51"/>
  <c r="Z93" i="51" s="1"/>
  <c r="L93" i="51"/>
  <c r="N93" i="51" s="1"/>
  <c r="B93" i="51"/>
  <c r="X92" i="51"/>
  <c r="Z92" i="51" s="1"/>
  <c r="T92" i="51"/>
  <c r="P92" i="51"/>
  <c r="H92" i="51"/>
  <c r="D92" i="51"/>
  <c r="L92" i="51" s="1"/>
  <c r="B92" i="51"/>
  <c r="Z91" i="51"/>
  <c r="X91" i="51"/>
  <c r="N91" i="51"/>
  <c r="L91" i="51"/>
  <c r="B91" i="51"/>
  <c r="X90" i="51"/>
  <c r="T90" i="51"/>
  <c r="Z90" i="51" s="1"/>
  <c r="P90" i="51"/>
  <c r="H90" i="51"/>
  <c r="N90" i="51" s="1"/>
  <c r="D90" i="51"/>
  <c r="B90" i="51"/>
  <c r="Z89" i="51"/>
  <c r="X89" i="51"/>
  <c r="L89" i="51"/>
  <c r="N89" i="51" s="1"/>
  <c r="B89" i="51"/>
  <c r="T88" i="51"/>
  <c r="P88" i="51"/>
  <c r="H88" i="51"/>
  <c r="D88" i="51"/>
  <c r="L88" i="51" s="1"/>
  <c r="N88" i="51" s="1"/>
  <c r="B88" i="51"/>
  <c r="Z87" i="51"/>
  <c r="X87" i="51"/>
  <c r="N87" i="51"/>
  <c r="L87" i="51"/>
  <c r="B87" i="51"/>
  <c r="X86" i="51"/>
  <c r="Z86" i="51" s="1"/>
  <c r="L86" i="51"/>
  <c r="N86" i="51" s="1"/>
  <c r="B86" i="51"/>
  <c r="T85" i="51"/>
  <c r="P85" i="51"/>
  <c r="X85" i="51" s="1"/>
  <c r="N85" i="51"/>
  <c r="L85" i="51"/>
  <c r="H85" i="51"/>
  <c r="D85" i="51"/>
  <c r="B85" i="51"/>
  <c r="Z84" i="51"/>
  <c r="X84" i="51"/>
  <c r="N84" i="51"/>
  <c r="L84" i="51"/>
  <c r="B84" i="51"/>
  <c r="Z83" i="51"/>
  <c r="X83" i="51"/>
  <c r="T83" i="51"/>
  <c r="P83" i="51"/>
  <c r="N83" i="51"/>
  <c r="L83" i="51"/>
  <c r="H83" i="51"/>
  <c r="D83" i="51"/>
  <c r="B83" i="51"/>
  <c r="Z82" i="51"/>
  <c r="X82" i="51"/>
  <c r="L82" i="51"/>
  <c r="N82" i="51" s="1"/>
  <c r="B82" i="51"/>
  <c r="Z81" i="51"/>
  <c r="T81" i="51"/>
  <c r="X81" i="51" s="1"/>
  <c r="P81" i="51"/>
  <c r="H81" i="51"/>
  <c r="D81" i="51"/>
  <c r="B81" i="51"/>
  <c r="X80" i="51"/>
  <c r="Z80" i="51" s="1"/>
  <c r="N80" i="51"/>
  <c r="L80" i="51"/>
  <c r="B80" i="51"/>
  <c r="Z79" i="51"/>
  <c r="X79" i="51"/>
  <c r="T79" i="51"/>
  <c r="P79" i="51"/>
  <c r="H79" i="51"/>
  <c r="D79" i="51"/>
  <c r="L79" i="51" s="1"/>
  <c r="N79" i="51" s="1"/>
  <c r="B79" i="51"/>
  <c r="X78" i="51"/>
  <c r="Z78" i="51" s="1"/>
  <c r="N78" i="51"/>
  <c r="L78" i="51"/>
  <c r="B78" i="51"/>
  <c r="Z77" i="51"/>
  <c r="X77" i="51"/>
  <c r="T77" i="51"/>
  <c r="P77" i="51"/>
  <c r="N77" i="51"/>
  <c r="L77" i="51"/>
  <c r="H77" i="51"/>
  <c r="D77" i="51"/>
  <c r="B77" i="51"/>
  <c r="X76" i="51"/>
  <c r="Z76" i="51" s="1"/>
  <c r="L76" i="51"/>
  <c r="N76" i="51" s="1"/>
  <c r="B76" i="51"/>
  <c r="T75" i="51"/>
  <c r="P75" i="51"/>
  <c r="X75" i="51" s="1"/>
  <c r="N75" i="51"/>
  <c r="H75" i="51"/>
  <c r="L75" i="51" s="1"/>
  <c r="D75" i="51"/>
  <c r="B75" i="51"/>
  <c r="X74" i="51"/>
  <c r="Z74" i="51" s="1"/>
  <c r="L74" i="51"/>
  <c r="N74" i="51" s="1"/>
  <c r="B74" i="51"/>
  <c r="T73" i="51"/>
  <c r="Z73" i="51" s="1"/>
  <c r="P73" i="51"/>
  <c r="X73" i="51" s="1"/>
  <c r="H73" i="51"/>
  <c r="D73" i="51"/>
  <c r="L73" i="51" s="1"/>
  <c r="N73" i="51" s="1"/>
  <c r="B73" i="51"/>
  <c r="Z72" i="51"/>
  <c r="X72" i="51"/>
  <c r="N72" i="51"/>
  <c r="L72" i="51"/>
  <c r="B72" i="51"/>
  <c r="Z71" i="51"/>
  <c r="X71" i="51"/>
  <c r="T71" i="51"/>
  <c r="P71" i="51"/>
  <c r="L71" i="51"/>
  <c r="N71" i="51" s="1"/>
  <c r="H71" i="51"/>
  <c r="D71" i="51"/>
  <c r="B71" i="51"/>
  <c r="Z70" i="51"/>
  <c r="X70" i="51"/>
  <c r="L70" i="51"/>
  <c r="N70" i="51" s="1"/>
  <c r="B70" i="51"/>
  <c r="Z69" i="51"/>
  <c r="X69" i="51"/>
  <c r="N69" i="51"/>
  <c r="L69" i="51"/>
  <c r="B69" i="51"/>
  <c r="Z68" i="51"/>
  <c r="X68" i="51"/>
  <c r="L68" i="51"/>
  <c r="N68" i="51" s="1"/>
  <c r="B68" i="51"/>
  <c r="Z67" i="51"/>
  <c r="X67" i="51"/>
  <c r="N67" i="51"/>
  <c r="L67" i="51"/>
  <c r="B67" i="51"/>
  <c r="T66" i="51"/>
  <c r="P66" i="51"/>
  <c r="X66" i="51" s="1"/>
  <c r="Z66" i="51" s="1"/>
  <c r="H66" i="51"/>
  <c r="D66" i="51"/>
  <c r="L66" i="51" s="1"/>
  <c r="N66" i="51" s="1"/>
  <c r="B66" i="51"/>
  <c r="X65" i="51"/>
  <c r="Z65" i="51" s="1"/>
  <c r="N65" i="51"/>
  <c r="L65" i="51"/>
  <c r="B65" i="51"/>
  <c r="X64" i="51"/>
  <c r="Z64" i="51" s="1"/>
  <c r="N64" i="51"/>
  <c r="L64" i="51"/>
  <c r="B64" i="51"/>
  <c r="X63" i="51"/>
  <c r="Z63" i="51" s="1"/>
  <c r="N63" i="51"/>
  <c r="L63" i="51"/>
  <c r="B63" i="51"/>
  <c r="X62" i="51"/>
  <c r="Z62" i="51" s="1"/>
  <c r="L62" i="51"/>
  <c r="N62" i="51" s="1"/>
  <c r="B62" i="51"/>
  <c r="X61" i="51"/>
  <c r="Z61" i="51" s="1"/>
  <c r="N61" i="51"/>
  <c r="L61" i="51"/>
  <c r="B61" i="51"/>
  <c r="X60" i="51"/>
  <c r="Z60" i="51" s="1"/>
  <c r="N60" i="51"/>
  <c r="L60" i="51"/>
  <c r="B60" i="51"/>
  <c r="Z59" i="51"/>
  <c r="X59" i="51"/>
  <c r="N59" i="51"/>
  <c r="L59" i="51"/>
  <c r="B59" i="51"/>
  <c r="X58" i="51"/>
  <c r="Z58" i="51" s="1"/>
  <c r="N58" i="51"/>
  <c r="L58" i="51"/>
  <c r="B58" i="51"/>
  <c r="X57" i="51"/>
  <c r="Z57" i="51" s="1"/>
  <c r="N57" i="51"/>
  <c r="L57" i="51"/>
  <c r="B57" i="51"/>
  <c r="X56" i="51"/>
  <c r="Z56" i="51" s="1"/>
  <c r="T56" i="51"/>
  <c r="P56" i="51"/>
  <c r="H56" i="51"/>
  <c r="D56" i="51"/>
  <c r="L56" i="51" s="1"/>
  <c r="B56" i="51"/>
  <c r="Z55" i="51"/>
  <c r="X55" i="51"/>
  <c r="T55" i="51"/>
  <c r="P55" i="51"/>
  <c r="H55" i="51"/>
  <c r="D55" i="51"/>
  <c r="X51" i="51"/>
  <c r="Z51" i="51" s="1"/>
  <c r="N51" i="51"/>
  <c r="L51" i="51"/>
  <c r="B51" i="51"/>
  <c r="X50" i="51"/>
  <c r="Z50" i="51" s="1"/>
  <c r="N50" i="51"/>
  <c r="L50" i="51"/>
  <c r="B50" i="51"/>
  <c r="Z49" i="51"/>
  <c r="X49" i="51"/>
  <c r="N49" i="51"/>
  <c r="L49" i="51"/>
  <c r="B49" i="51"/>
  <c r="Z48" i="51"/>
  <c r="X48" i="51"/>
  <c r="N48" i="51"/>
  <c r="L48" i="51"/>
  <c r="B48" i="51"/>
  <c r="X47" i="51"/>
  <c r="Z47" i="51" s="1"/>
  <c r="N47" i="51"/>
  <c r="L47" i="51"/>
  <c r="B47" i="51"/>
  <c r="Z46" i="51"/>
  <c r="X46" i="51"/>
  <c r="N46" i="51"/>
  <c r="L46" i="51"/>
  <c r="B46" i="51"/>
  <c r="Z45" i="51"/>
  <c r="X45" i="51"/>
  <c r="N45" i="51"/>
  <c r="L45" i="51"/>
  <c r="B45" i="51"/>
  <c r="Z44" i="51"/>
  <c r="X44" i="51"/>
  <c r="L44" i="51"/>
  <c r="N44" i="51" s="1"/>
  <c r="B44" i="51"/>
  <c r="Z43" i="51"/>
  <c r="X43" i="51"/>
  <c r="N43" i="51"/>
  <c r="L43" i="51"/>
  <c r="B43" i="51"/>
  <c r="X42" i="51"/>
  <c r="Z42" i="51" s="1"/>
  <c r="N42" i="51"/>
  <c r="L42" i="51"/>
  <c r="B42" i="51"/>
  <c r="Z41" i="51"/>
  <c r="X41" i="51"/>
  <c r="N41" i="51"/>
  <c r="L41" i="51"/>
  <c r="B41" i="51"/>
  <c r="Z40" i="51"/>
  <c r="X40" i="51"/>
  <c r="N40" i="51"/>
  <c r="L40" i="51"/>
  <c r="B40" i="51"/>
  <c r="X39" i="51"/>
  <c r="Z39" i="51" s="1"/>
  <c r="N39" i="51"/>
  <c r="L39" i="51"/>
  <c r="B39" i="51"/>
  <c r="X38" i="51"/>
  <c r="T38" i="51"/>
  <c r="Z38" i="51" s="1"/>
  <c r="P38" i="51"/>
  <c r="H38" i="51"/>
  <c r="D38" i="51"/>
  <c r="L38" i="51" s="1"/>
  <c r="N38" i="51" s="1"/>
  <c r="Z36" i="51"/>
  <c r="T36" i="51"/>
  <c r="P36" i="51"/>
  <c r="X36" i="51" s="1"/>
  <c r="H36" i="51"/>
  <c r="N36" i="51" s="1"/>
  <c r="D36" i="51"/>
  <c r="B36" i="51"/>
  <c r="T35" i="51"/>
  <c r="P35" i="51"/>
  <c r="X35" i="51" s="1"/>
  <c r="H35" i="51"/>
  <c r="D35" i="51"/>
  <c r="L35" i="51" s="1"/>
  <c r="N35" i="51" s="1"/>
  <c r="B35" i="51"/>
  <c r="Z34" i="51"/>
  <c r="T34" i="51"/>
  <c r="P34" i="51"/>
  <c r="X34" i="51" s="1"/>
  <c r="H34" i="51"/>
  <c r="N34" i="51" s="1"/>
  <c r="D34" i="51"/>
  <c r="L34" i="51" s="1"/>
  <c r="B34" i="51"/>
  <c r="Z33" i="51"/>
  <c r="T33" i="51"/>
  <c r="P33" i="51"/>
  <c r="X33" i="51" s="1"/>
  <c r="H33" i="51"/>
  <c r="N33" i="51" s="1"/>
  <c r="D33" i="51"/>
  <c r="B33" i="51"/>
  <c r="T32" i="51"/>
  <c r="P32" i="51"/>
  <c r="X32" i="51" s="1"/>
  <c r="H32" i="51"/>
  <c r="D32" i="51"/>
  <c r="B32" i="51"/>
  <c r="Z31" i="51"/>
  <c r="T31" i="51"/>
  <c r="P31" i="51"/>
  <c r="X31" i="51" s="1"/>
  <c r="H31" i="51"/>
  <c r="N31" i="51" s="1"/>
  <c r="D31" i="51"/>
  <c r="L31" i="51" s="1"/>
  <c r="B31" i="51"/>
  <c r="Z30" i="51"/>
  <c r="T30" i="51"/>
  <c r="P30" i="51"/>
  <c r="X30" i="51" s="1"/>
  <c r="N30" i="51"/>
  <c r="H30" i="51"/>
  <c r="D30" i="51"/>
  <c r="L30" i="51" s="1"/>
  <c r="B30" i="51"/>
  <c r="X29" i="51"/>
  <c r="Z29" i="51" s="1"/>
  <c r="T29" i="51"/>
  <c r="P29" i="51"/>
  <c r="H29" i="51"/>
  <c r="D29" i="51"/>
  <c r="B29" i="51"/>
  <c r="T28" i="51"/>
  <c r="P28" i="51"/>
  <c r="X28" i="51" s="1"/>
  <c r="Z28" i="51" s="1"/>
  <c r="H28" i="51"/>
  <c r="D28" i="51"/>
  <c r="L28" i="51" s="1"/>
  <c r="N28" i="51" s="1"/>
  <c r="B28" i="51"/>
  <c r="T27" i="51"/>
  <c r="P27" i="51"/>
  <c r="X27" i="51" s="1"/>
  <c r="Z27" i="51" s="1"/>
  <c r="H27" i="51"/>
  <c r="D27" i="51"/>
  <c r="L27" i="51" s="1"/>
  <c r="N27" i="51" s="1"/>
  <c r="B27" i="51"/>
  <c r="T26" i="51"/>
  <c r="P26" i="51"/>
  <c r="X26" i="51" s="1"/>
  <c r="Z26" i="51" s="1"/>
  <c r="N26" i="51"/>
  <c r="H26" i="51"/>
  <c r="D26" i="51"/>
  <c r="L26" i="51" s="1"/>
  <c r="B26" i="51"/>
  <c r="T25" i="51"/>
  <c r="P25" i="51"/>
  <c r="X25" i="51" s="1"/>
  <c r="Z25" i="51" s="1"/>
  <c r="H25" i="51"/>
  <c r="D25" i="51"/>
  <c r="L25" i="51" s="1"/>
  <c r="B25" i="51"/>
  <c r="T24" i="51"/>
  <c r="P24" i="51"/>
  <c r="X24" i="51" s="1"/>
  <c r="Z24" i="51" s="1"/>
  <c r="H24" i="51"/>
  <c r="D24" i="51"/>
  <c r="B24" i="51"/>
  <c r="T23" i="51"/>
  <c r="P23" i="51"/>
  <c r="N23" i="51"/>
  <c r="H23" i="51"/>
  <c r="D23" i="51"/>
  <c r="L23" i="51" s="1"/>
  <c r="B23" i="51"/>
  <c r="T22" i="51"/>
  <c r="P22" i="51"/>
  <c r="X22" i="51" s="1"/>
  <c r="Z22" i="51" s="1"/>
  <c r="H22" i="51"/>
  <c r="D22" i="51"/>
  <c r="B22" i="51"/>
  <c r="T21" i="51"/>
  <c r="P21" i="51"/>
  <c r="X21" i="51" s="1"/>
  <c r="Z21" i="51" s="1"/>
  <c r="H21" i="51"/>
  <c r="D21" i="51"/>
  <c r="B21" i="51"/>
  <c r="T20" i="51"/>
  <c r="P20" i="51"/>
  <c r="X20" i="51" s="1"/>
  <c r="H20" i="51"/>
  <c r="D20" i="51"/>
  <c r="B20" i="51"/>
  <c r="T19" i="51"/>
  <c r="P19" i="51"/>
  <c r="X19" i="51" s="1"/>
  <c r="Z19" i="51" s="1"/>
  <c r="H19" i="51"/>
  <c r="D19" i="51"/>
  <c r="B19" i="51"/>
  <c r="T18" i="51"/>
  <c r="P18" i="51"/>
  <c r="X18" i="51" s="1"/>
  <c r="Z18" i="51" s="1"/>
  <c r="H18" i="51"/>
  <c r="D18" i="51"/>
  <c r="L18" i="51" s="1"/>
  <c r="N18" i="51" s="1"/>
  <c r="B18" i="51"/>
  <c r="X17" i="51"/>
  <c r="Z17" i="51" s="1"/>
  <c r="T17" i="51"/>
  <c r="P17" i="51"/>
  <c r="H17" i="51"/>
  <c r="D17" i="51"/>
  <c r="B17" i="51"/>
  <c r="T16" i="51"/>
  <c r="P16" i="51"/>
  <c r="X16" i="51" s="1"/>
  <c r="Z16" i="51" s="1"/>
  <c r="N16" i="51"/>
  <c r="H16" i="51"/>
  <c r="D16" i="51"/>
  <c r="L16" i="51" s="1"/>
  <c r="B16" i="51"/>
  <c r="T15" i="51"/>
  <c r="P15" i="51"/>
  <c r="X15" i="51" s="1"/>
  <c r="Z15" i="51" s="1"/>
  <c r="H15" i="51"/>
  <c r="D15" i="51"/>
  <c r="L15" i="51" s="1"/>
  <c r="N15" i="51" s="1"/>
  <c r="B15" i="51"/>
  <c r="X14" i="51"/>
  <c r="Z14" i="51" s="1"/>
  <c r="T14" i="51"/>
  <c r="P14" i="51"/>
  <c r="H14" i="51"/>
  <c r="N14" i="51" s="1"/>
  <c r="D14" i="51"/>
  <c r="L14" i="51" s="1"/>
  <c r="B14" i="51"/>
  <c r="X13" i="51"/>
  <c r="Z13" i="51" s="1"/>
  <c r="T13" i="51"/>
  <c r="P13" i="51"/>
  <c r="H13" i="51"/>
  <c r="D13" i="51"/>
  <c r="D12" i="51" s="1"/>
  <c r="F80" i="51" s="1"/>
  <c r="B13" i="51"/>
  <c r="D4" i="51"/>
  <c r="X69" i="48"/>
  <c r="Z69" i="48" s="1"/>
  <c r="L69" i="48"/>
  <c r="N69" i="48" s="1"/>
  <c r="Z65" i="48"/>
  <c r="T65" i="48"/>
  <c r="P65" i="48"/>
  <c r="X65" i="48" s="1"/>
  <c r="H65" i="48"/>
  <c r="D65" i="48"/>
  <c r="B65" i="48"/>
  <c r="T64" i="48"/>
  <c r="P64" i="48"/>
  <c r="X64" i="48" s="1"/>
  <c r="Z64" i="48" s="1"/>
  <c r="H64" i="48"/>
  <c r="H63" i="48" s="1"/>
  <c r="D64" i="48"/>
  <c r="B64" i="48"/>
  <c r="T63" i="48"/>
  <c r="Z61" i="48"/>
  <c r="X61" i="48"/>
  <c r="L61" i="48"/>
  <c r="N61" i="48" s="1"/>
  <c r="B61" i="48"/>
  <c r="X60" i="48"/>
  <c r="T60" i="48"/>
  <c r="Z60" i="48" s="1"/>
  <c r="P60" i="48"/>
  <c r="N60" i="48"/>
  <c r="L60" i="48"/>
  <c r="H60" i="48"/>
  <c r="D60" i="48"/>
  <c r="B60" i="48"/>
  <c r="Z59" i="48"/>
  <c r="X59" i="48"/>
  <c r="L59" i="48"/>
  <c r="N59" i="48" s="1"/>
  <c r="B59" i="48"/>
  <c r="Z58" i="48"/>
  <c r="X58" i="48"/>
  <c r="N58" i="48"/>
  <c r="L58" i="48"/>
  <c r="B58" i="48"/>
  <c r="X57" i="48"/>
  <c r="Z57" i="48" s="1"/>
  <c r="N57" i="48"/>
  <c r="L57" i="48"/>
  <c r="B57" i="48"/>
  <c r="Z56" i="48"/>
  <c r="X56" i="48"/>
  <c r="N56" i="48"/>
  <c r="L56" i="48"/>
  <c r="B56" i="48"/>
  <c r="Z55" i="48"/>
  <c r="T55" i="48"/>
  <c r="P55" i="48"/>
  <c r="X55" i="48" s="1"/>
  <c r="H55" i="48"/>
  <c r="D55" i="48"/>
  <c r="B55" i="48"/>
  <c r="Z54" i="48"/>
  <c r="X54" i="48"/>
  <c r="N54" i="48"/>
  <c r="L54" i="48"/>
  <c r="B54" i="48"/>
  <c r="Z53" i="48"/>
  <c r="X53" i="48"/>
  <c r="V53" i="48"/>
  <c r="N53" i="48"/>
  <c r="L53" i="48"/>
  <c r="B53" i="48"/>
  <c r="T52" i="48"/>
  <c r="P52" i="48"/>
  <c r="X52" i="48" s="1"/>
  <c r="Z52" i="48" s="1"/>
  <c r="N52" i="48"/>
  <c r="H52" i="48"/>
  <c r="D52" i="48"/>
  <c r="L52" i="48" s="1"/>
  <c r="B52" i="48"/>
  <c r="X51" i="48"/>
  <c r="Z51" i="48" s="1"/>
  <c r="N51" i="48"/>
  <c r="L51" i="48"/>
  <c r="B51" i="48"/>
  <c r="Z50" i="48"/>
  <c r="X50" i="48"/>
  <c r="T50" i="48"/>
  <c r="P50" i="48"/>
  <c r="L50" i="48"/>
  <c r="H50" i="48"/>
  <c r="D50" i="48"/>
  <c r="B50" i="48"/>
  <c r="X49" i="48"/>
  <c r="Z49" i="48" s="1"/>
  <c r="N49" i="48"/>
  <c r="L49" i="48"/>
  <c r="B49" i="48"/>
  <c r="T48" i="48"/>
  <c r="P48" i="48"/>
  <c r="X48" i="48" s="1"/>
  <c r="N48" i="48"/>
  <c r="H48" i="48"/>
  <c r="D48" i="48"/>
  <c r="L48" i="48" s="1"/>
  <c r="B48" i="48"/>
  <c r="X47" i="48"/>
  <c r="Z47" i="48" s="1"/>
  <c r="L47" i="48"/>
  <c r="N47" i="48" s="1"/>
  <c r="B47" i="48"/>
  <c r="T46" i="48"/>
  <c r="P46" i="48"/>
  <c r="X46" i="48" s="1"/>
  <c r="Z46" i="48" s="1"/>
  <c r="H46" i="48"/>
  <c r="D46" i="48"/>
  <c r="L46" i="48" s="1"/>
  <c r="N46" i="48" s="1"/>
  <c r="B46" i="48"/>
  <c r="Z45" i="48"/>
  <c r="X45" i="48"/>
  <c r="N45" i="48"/>
  <c r="L45" i="48"/>
  <c r="F45" i="48"/>
  <c r="B45" i="48"/>
  <c r="X44" i="48"/>
  <c r="T44" i="48"/>
  <c r="P44" i="48"/>
  <c r="N44" i="48"/>
  <c r="L44" i="48"/>
  <c r="H44" i="48"/>
  <c r="D44" i="48"/>
  <c r="B44" i="48"/>
  <c r="Z43" i="48"/>
  <c r="X43" i="48"/>
  <c r="N43" i="48"/>
  <c r="L43" i="48"/>
  <c r="B43" i="48"/>
  <c r="T42" i="48"/>
  <c r="X42" i="48" s="1"/>
  <c r="P42" i="48"/>
  <c r="H42" i="48"/>
  <c r="N42" i="48" s="1"/>
  <c r="D42" i="48"/>
  <c r="L42" i="48" s="1"/>
  <c r="B42" i="48"/>
  <c r="Z41" i="48"/>
  <c r="X41" i="48"/>
  <c r="N41" i="48"/>
  <c r="L41" i="48"/>
  <c r="B41" i="48"/>
  <c r="Z40" i="48"/>
  <c r="V40" i="48"/>
  <c r="T40" i="48"/>
  <c r="P40" i="48"/>
  <c r="X40" i="48" s="1"/>
  <c r="N40" i="48"/>
  <c r="H40" i="48"/>
  <c r="D40" i="48"/>
  <c r="L40" i="48" s="1"/>
  <c r="B40" i="48"/>
  <c r="X39" i="48"/>
  <c r="Z39" i="48" s="1"/>
  <c r="N39" i="48"/>
  <c r="L39" i="48"/>
  <c r="B39" i="48"/>
  <c r="Z38" i="48"/>
  <c r="X38" i="48"/>
  <c r="T38" i="48"/>
  <c r="P38" i="48"/>
  <c r="L38" i="48"/>
  <c r="H38" i="48"/>
  <c r="N38" i="48" s="1"/>
  <c r="D38" i="48"/>
  <c r="B38" i="48"/>
  <c r="X37" i="48"/>
  <c r="Z37" i="48" s="1"/>
  <c r="R37" i="48"/>
  <c r="N37" i="48"/>
  <c r="L37" i="48"/>
  <c r="B37" i="48"/>
  <c r="T36" i="48"/>
  <c r="Z36" i="48" s="1"/>
  <c r="P36" i="48"/>
  <c r="X36" i="48" s="1"/>
  <c r="H36" i="48"/>
  <c r="D36" i="48"/>
  <c r="B36" i="48"/>
  <c r="Z35" i="48"/>
  <c r="X35" i="48"/>
  <c r="N35" i="48"/>
  <c r="L35" i="48"/>
  <c r="B35" i="48"/>
  <c r="Z34" i="48"/>
  <c r="X34" i="48"/>
  <c r="N34" i="48"/>
  <c r="L34" i="48"/>
  <c r="B34" i="48"/>
  <c r="Z33" i="48"/>
  <c r="X33" i="48"/>
  <c r="V33" i="48"/>
  <c r="N33" i="48"/>
  <c r="L33" i="48"/>
  <c r="B33" i="48"/>
  <c r="Z32" i="48"/>
  <c r="X32" i="48"/>
  <c r="V32" i="48"/>
  <c r="L32" i="48"/>
  <c r="N32" i="48" s="1"/>
  <c r="B32" i="48"/>
  <c r="X31" i="48"/>
  <c r="Z31" i="48" s="1"/>
  <c r="L31" i="48"/>
  <c r="N31" i="48" s="1"/>
  <c r="B31" i="48"/>
  <c r="Z30" i="48"/>
  <c r="X30" i="48"/>
  <c r="N30" i="48"/>
  <c r="L30" i="48"/>
  <c r="B30" i="48"/>
  <c r="V29" i="48"/>
  <c r="T29" i="48"/>
  <c r="Z29" i="48" s="1"/>
  <c r="P29" i="48"/>
  <c r="X29" i="48" s="1"/>
  <c r="H29" i="48"/>
  <c r="D29" i="48"/>
  <c r="L29" i="48" s="1"/>
  <c r="B29" i="48"/>
  <c r="X28" i="48"/>
  <c r="Z28" i="48" s="1"/>
  <c r="N28" i="48"/>
  <c r="L28" i="48"/>
  <c r="B28" i="48"/>
  <c r="X27" i="48"/>
  <c r="Z27" i="48" s="1"/>
  <c r="N27" i="48"/>
  <c r="L27" i="48"/>
  <c r="B27" i="48"/>
  <c r="Z26" i="48"/>
  <c r="X26" i="48"/>
  <c r="N26" i="48"/>
  <c r="L26" i="48"/>
  <c r="F26" i="48"/>
  <c r="B26" i="48"/>
  <c r="Z25" i="48"/>
  <c r="X25" i="48"/>
  <c r="L25" i="48"/>
  <c r="N25" i="48" s="1"/>
  <c r="F25" i="48"/>
  <c r="B25" i="48"/>
  <c r="X24" i="48"/>
  <c r="Z24" i="48" s="1"/>
  <c r="N24" i="48"/>
  <c r="L24" i="48"/>
  <c r="J24" i="48"/>
  <c r="B24" i="48"/>
  <c r="X23" i="48"/>
  <c r="Z23" i="48" s="1"/>
  <c r="N23" i="48"/>
  <c r="L23" i="48"/>
  <c r="B23" i="48"/>
  <c r="Z22" i="48"/>
  <c r="X22" i="48"/>
  <c r="N22" i="48"/>
  <c r="L22" i="48"/>
  <c r="B22" i="48"/>
  <c r="Z21" i="48"/>
  <c r="X21" i="48"/>
  <c r="L21" i="48"/>
  <c r="N21" i="48" s="1"/>
  <c r="F21" i="48"/>
  <c r="B21" i="48"/>
  <c r="X20" i="48"/>
  <c r="T20" i="48"/>
  <c r="Z20" i="48" s="1"/>
  <c r="P20" i="48"/>
  <c r="N20" i="48"/>
  <c r="L20" i="48"/>
  <c r="H20" i="48"/>
  <c r="F20" i="48"/>
  <c r="D20" i="48"/>
  <c r="B20" i="48"/>
  <c r="Z19" i="48"/>
  <c r="T19" i="48"/>
  <c r="P19" i="48"/>
  <c r="X19" i="48" s="1"/>
  <c r="H19" i="48"/>
  <c r="D19" i="48"/>
  <c r="P17" i="48"/>
  <c r="Z15" i="48"/>
  <c r="T15" i="48"/>
  <c r="P15" i="48"/>
  <c r="X15" i="48" s="1"/>
  <c r="H15" i="48"/>
  <c r="D15" i="48"/>
  <c r="Z13" i="48"/>
  <c r="X13" i="48"/>
  <c r="T13" i="48"/>
  <c r="T12" i="48" s="1"/>
  <c r="V41" i="48" s="1"/>
  <c r="P13" i="48"/>
  <c r="L13" i="48"/>
  <c r="H13" i="48"/>
  <c r="H12" i="48" s="1"/>
  <c r="D13" i="48"/>
  <c r="D12" i="48" s="1"/>
  <c r="B13" i="48"/>
  <c r="P12" i="48"/>
  <c r="R49" i="48" s="1"/>
  <c r="D4" i="48"/>
  <c r="X94" i="45"/>
  <c r="Z94" i="45" s="1"/>
  <c r="N94" i="45"/>
  <c r="L94" i="45"/>
  <c r="T90" i="45"/>
  <c r="Z90" i="45" s="1"/>
  <c r="P90" i="45"/>
  <c r="X90" i="45" s="1"/>
  <c r="H90" i="45"/>
  <c r="N90" i="45" s="1"/>
  <c r="D90" i="45"/>
  <c r="X88" i="45"/>
  <c r="Z88" i="45" s="1"/>
  <c r="L88" i="45"/>
  <c r="N88" i="45" s="1"/>
  <c r="B88" i="45"/>
  <c r="Z87" i="45"/>
  <c r="X87" i="45"/>
  <c r="N87" i="45"/>
  <c r="L87" i="45"/>
  <c r="B87" i="45"/>
  <c r="T86" i="45"/>
  <c r="P86" i="45"/>
  <c r="X86" i="45" s="1"/>
  <c r="L86" i="45"/>
  <c r="H86" i="45"/>
  <c r="D86" i="45"/>
  <c r="B86" i="45"/>
  <c r="X85" i="45"/>
  <c r="Z85" i="45" s="1"/>
  <c r="N85" i="45"/>
  <c r="L85" i="45"/>
  <c r="B85" i="45"/>
  <c r="T84" i="45"/>
  <c r="P84" i="45"/>
  <c r="X84" i="45" s="1"/>
  <c r="Z84" i="45" s="1"/>
  <c r="H84" i="45"/>
  <c r="D84" i="45"/>
  <c r="L84" i="45" s="1"/>
  <c r="B84" i="45"/>
  <c r="Z83" i="45"/>
  <c r="X83" i="45"/>
  <c r="N83" i="45"/>
  <c r="L83" i="45"/>
  <c r="B83" i="45"/>
  <c r="T82" i="45"/>
  <c r="P82" i="45"/>
  <c r="L82" i="45"/>
  <c r="N82" i="45" s="1"/>
  <c r="H82" i="45"/>
  <c r="D82" i="45"/>
  <c r="B82" i="45"/>
  <c r="Z81" i="45"/>
  <c r="X81" i="45"/>
  <c r="L81" i="45"/>
  <c r="N81" i="45" s="1"/>
  <c r="B81" i="45"/>
  <c r="X80" i="45"/>
  <c r="Z80" i="45" s="1"/>
  <c r="L80" i="45"/>
  <c r="N80" i="45" s="1"/>
  <c r="B80" i="45"/>
  <c r="Z79" i="45"/>
  <c r="X79" i="45"/>
  <c r="N79" i="45"/>
  <c r="L79" i="45"/>
  <c r="B79" i="45"/>
  <c r="Z78" i="45"/>
  <c r="X78" i="45"/>
  <c r="L78" i="45"/>
  <c r="N78" i="45" s="1"/>
  <c r="B78" i="45"/>
  <c r="Z77" i="45"/>
  <c r="X77" i="45"/>
  <c r="L77" i="45"/>
  <c r="N77" i="45" s="1"/>
  <c r="B77" i="45"/>
  <c r="X76" i="45"/>
  <c r="Z76" i="45" s="1"/>
  <c r="L76" i="45"/>
  <c r="N76" i="45" s="1"/>
  <c r="B76" i="45"/>
  <c r="Z75" i="45"/>
  <c r="X75" i="45"/>
  <c r="N75" i="45"/>
  <c r="L75" i="45"/>
  <c r="B75" i="45"/>
  <c r="Z74" i="45"/>
  <c r="X74" i="45"/>
  <c r="L74" i="45"/>
  <c r="N74" i="45" s="1"/>
  <c r="B74" i="45"/>
  <c r="T73" i="45"/>
  <c r="P73" i="45"/>
  <c r="X73" i="45" s="1"/>
  <c r="Z73" i="45" s="1"/>
  <c r="N73" i="45"/>
  <c r="H73" i="45"/>
  <c r="D73" i="45"/>
  <c r="L73" i="45" s="1"/>
  <c r="B73" i="45"/>
  <c r="X72" i="45"/>
  <c r="Z72" i="45" s="1"/>
  <c r="L72" i="45"/>
  <c r="N72" i="45" s="1"/>
  <c r="B72" i="45"/>
  <c r="Z71" i="45"/>
  <c r="X71" i="45"/>
  <c r="N71" i="45"/>
  <c r="L71" i="45"/>
  <c r="B71" i="45"/>
  <c r="X70" i="45"/>
  <c r="Z70" i="45" s="1"/>
  <c r="L70" i="45"/>
  <c r="N70" i="45" s="1"/>
  <c r="B70" i="45"/>
  <c r="X69" i="45"/>
  <c r="T69" i="45"/>
  <c r="Z69" i="45" s="1"/>
  <c r="P69" i="45"/>
  <c r="L69" i="45"/>
  <c r="N69" i="45" s="1"/>
  <c r="H69" i="45"/>
  <c r="D69" i="45"/>
  <c r="B69" i="45"/>
  <c r="X68" i="45"/>
  <c r="Z68" i="45" s="1"/>
  <c r="N68" i="45"/>
  <c r="L68" i="45"/>
  <c r="B68" i="45"/>
  <c r="Z67" i="45"/>
  <c r="X67" i="45"/>
  <c r="N67" i="45"/>
  <c r="L67" i="45"/>
  <c r="B67" i="45"/>
  <c r="X66" i="45"/>
  <c r="Z66" i="45" s="1"/>
  <c r="N66" i="45"/>
  <c r="L66" i="45"/>
  <c r="B66" i="45"/>
  <c r="T65" i="45"/>
  <c r="R65" i="45"/>
  <c r="P65" i="45"/>
  <c r="H65" i="45"/>
  <c r="L65" i="45" s="1"/>
  <c r="D65" i="45"/>
  <c r="B65" i="45"/>
  <c r="X64" i="45"/>
  <c r="Z64" i="45" s="1"/>
  <c r="L64" i="45"/>
  <c r="N64" i="45" s="1"/>
  <c r="B64" i="45"/>
  <c r="Z63" i="45"/>
  <c r="T63" i="45"/>
  <c r="P63" i="45"/>
  <c r="X63" i="45" s="1"/>
  <c r="N63" i="45"/>
  <c r="H63" i="45"/>
  <c r="D63" i="45"/>
  <c r="L63" i="45" s="1"/>
  <c r="B63" i="45"/>
  <c r="X62" i="45"/>
  <c r="Z62" i="45" s="1"/>
  <c r="L62" i="45"/>
  <c r="N62" i="45" s="1"/>
  <c r="B62" i="45"/>
  <c r="X61" i="45"/>
  <c r="T61" i="45"/>
  <c r="Z61" i="45" s="1"/>
  <c r="P61" i="45"/>
  <c r="L61" i="45"/>
  <c r="N61" i="45" s="1"/>
  <c r="H61" i="45"/>
  <c r="D61" i="45"/>
  <c r="B61" i="45"/>
  <c r="X60" i="45"/>
  <c r="Z60" i="45" s="1"/>
  <c r="L60" i="45"/>
  <c r="N60" i="45" s="1"/>
  <c r="B60" i="45"/>
  <c r="Z59" i="45"/>
  <c r="T59" i="45"/>
  <c r="X59" i="45" s="1"/>
  <c r="P59" i="45"/>
  <c r="H59" i="45"/>
  <c r="D59" i="45"/>
  <c r="L59" i="45" s="1"/>
  <c r="B59" i="45"/>
  <c r="Z58" i="45"/>
  <c r="X58" i="45"/>
  <c r="N58" i="45"/>
  <c r="L58" i="45"/>
  <c r="B58" i="45"/>
  <c r="T57" i="45"/>
  <c r="P57" i="45"/>
  <c r="X57" i="45" s="1"/>
  <c r="Z57" i="45" s="1"/>
  <c r="N57" i="45"/>
  <c r="H57" i="45"/>
  <c r="D57" i="45"/>
  <c r="L57" i="45" s="1"/>
  <c r="B57" i="45"/>
  <c r="X56" i="45"/>
  <c r="Z56" i="45" s="1"/>
  <c r="N56" i="45"/>
  <c r="L56" i="45"/>
  <c r="B56" i="45"/>
  <c r="T55" i="45"/>
  <c r="P55" i="45"/>
  <c r="X55" i="45" s="1"/>
  <c r="Z55" i="45" s="1"/>
  <c r="L55" i="45"/>
  <c r="H55" i="45"/>
  <c r="N55" i="45" s="1"/>
  <c r="D55" i="45"/>
  <c r="B55" i="45"/>
  <c r="X54" i="45"/>
  <c r="Z54" i="45" s="1"/>
  <c r="N54" i="45"/>
  <c r="L54" i="45"/>
  <c r="B54" i="45"/>
  <c r="T53" i="45"/>
  <c r="R53" i="45"/>
  <c r="P53" i="45"/>
  <c r="L53" i="45"/>
  <c r="H53" i="45"/>
  <c r="N53" i="45" s="1"/>
  <c r="D53" i="45"/>
  <c r="B53" i="45"/>
  <c r="X52" i="45"/>
  <c r="Z52" i="45" s="1"/>
  <c r="L52" i="45"/>
  <c r="N52" i="45" s="1"/>
  <c r="B52" i="45"/>
  <c r="T51" i="45"/>
  <c r="P51" i="45"/>
  <c r="X51" i="45" s="1"/>
  <c r="Z51" i="45" s="1"/>
  <c r="H51" i="45"/>
  <c r="D51" i="45"/>
  <c r="B51" i="45"/>
  <c r="Z50" i="45"/>
  <c r="X50" i="45"/>
  <c r="L50" i="45"/>
  <c r="N50" i="45" s="1"/>
  <c r="B50" i="45"/>
  <c r="X49" i="45"/>
  <c r="T49" i="45"/>
  <c r="Z49" i="45" s="1"/>
  <c r="P49" i="45"/>
  <c r="H49" i="45"/>
  <c r="D49" i="45"/>
  <c r="L49" i="45" s="1"/>
  <c r="N49" i="45" s="1"/>
  <c r="B49" i="45"/>
  <c r="Z48" i="45"/>
  <c r="X48" i="45"/>
  <c r="L48" i="45"/>
  <c r="N48" i="45" s="1"/>
  <c r="B48" i="45"/>
  <c r="Z47" i="45"/>
  <c r="T47" i="45"/>
  <c r="P47" i="45"/>
  <c r="X47" i="45" s="1"/>
  <c r="H47" i="45"/>
  <c r="D47" i="45"/>
  <c r="L47" i="45" s="1"/>
  <c r="B47" i="45"/>
  <c r="Z46" i="45"/>
  <c r="X46" i="45"/>
  <c r="V46" i="45"/>
  <c r="N46" i="45"/>
  <c r="L46" i="45"/>
  <c r="B46" i="45"/>
  <c r="T45" i="45"/>
  <c r="Z45" i="45" s="1"/>
  <c r="P45" i="45"/>
  <c r="X45" i="45" s="1"/>
  <c r="L45" i="45"/>
  <c r="N45" i="45" s="1"/>
  <c r="H45" i="45"/>
  <c r="D45" i="45"/>
  <c r="B45" i="45"/>
  <c r="X44" i="45"/>
  <c r="Z44" i="45" s="1"/>
  <c r="N44" i="45"/>
  <c r="L44" i="45"/>
  <c r="B44" i="45"/>
  <c r="X43" i="45"/>
  <c r="Z43" i="45" s="1"/>
  <c r="L43" i="45"/>
  <c r="N43" i="45" s="1"/>
  <c r="B43" i="45"/>
  <c r="X42" i="45"/>
  <c r="Z42" i="45" s="1"/>
  <c r="R42" i="45"/>
  <c r="L42" i="45"/>
  <c r="N42" i="45" s="1"/>
  <c r="B42" i="45"/>
  <c r="X41" i="45"/>
  <c r="Z41" i="45" s="1"/>
  <c r="N41" i="45"/>
  <c r="L41" i="45"/>
  <c r="B41" i="45"/>
  <c r="X40" i="45"/>
  <c r="Z40" i="45" s="1"/>
  <c r="N40" i="45"/>
  <c r="L40" i="45"/>
  <c r="B40" i="45"/>
  <c r="X39" i="45"/>
  <c r="Z39" i="45" s="1"/>
  <c r="V39" i="45"/>
  <c r="L39" i="45"/>
  <c r="N39" i="45" s="1"/>
  <c r="B39" i="45"/>
  <c r="X38" i="45"/>
  <c r="Z38" i="45" s="1"/>
  <c r="L38" i="45"/>
  <c r="N38" i="45" s="1"/>
  <c r="B38" i="45"/>
  <c r="T37" i="45"/>
  <c r="P37" i="45"/>
  <c r="X37" i="45" s="1"/>
  <c r="Z37" i="45" s="1"/>
  <c r="H37" i="45"/>
  <c r="D37" i="45"/>
  <c r="B37" i="45"/>
  <c r="X36" i="45"/>
  <c r="Z36" i="45" s="1"/>
  <c r="N36" i="45"/>
  <c r="L36" i="45"/>
  <c r="B36" i="45"/>
  <c r="X35" i="45"/>
  <c r="Z35" i="45" s="1"/>
  <c r="N35" i="45"/>
  <c r="L35" i="45"/>
  <c r="B35" i="45"/>
  <c r="X34" i="45"/>
  <c r="Z34" i="45" s="1"/>
  <c r="V34" i="45"/>
  <c r="L34" i="45"/>
  <c r="N34" i="45" s="1"/>
  <c r="B34" i="45"/>
  <c r="X33" i="45"/>
  <c r="Z33" i="45" s="1"/>
  <c r="L33" i="45"/>
  <c r="N33" i="45" s="1"/>
  <c r="B33" i="45"/>
  <c r="X32" i="45"/>
  <c r="Z32" i="45" s="1"/>
  <c r="N32" i="45"/>
  <c r="L32" i="45"/>
  <c r="B32" i="45"/>
  <c r="X31" i="45"/>
  <c r="Z31" i="45" s="1"/>
  <c r="V31" i="45"/>
  <c r="N31" i="45"/>
  <c r="L31" i="45"/>
  <c r="B31" i="45"/>
  <c r="X30" i="45"/>
  <c r="Z30" i="45" s="1"/>
  <c r="V30" i="45"/>
  <c r="L30" i="45"/>
  <c r="N30" i="45" s="1"/>
  <c r="B30" i="45"/>
  <c r="X29" i="45"/>
  <c r="Z29" i="45" s="1"/>
  <c r="L29" i="45"/>
  <c r="N29" i="45" s="1"/>
  <c r="B29" i="45"/>
  <c r="X28" i="45"/>
  <c r="Z28" i="45" s="1"/>
  <c r="N28" i="45"/>
  <c r="L28" i="45"/>
  <c r="B28" i="45"/>
  <c r="V27" i="45"/>
  <c r="T27" i="45"/>
  <c r="X27" i="45" s="1"/>
  <c r="P27" i="45"/>
  <c r="H27" i="45"/>
  <c r="D27" i="45"/>
  <c r="L27" i="45" s="1"/>
  <c r="B27" i="45"/>
  <c r="X26" i="45"/>
  <c r="T26" i="45"/>
  <c r="Z26" i="45" s="1"/>
  <c r="P26" i="45"/>
  <c r="H26" i="45"/>
  <c r="L26" i="45" s="1"/>
  <c r="N26" i="45" s="1"/>
  <c r="D26" i="45"/>
  <c r="T24" i="45"/>
  <c r="X22" i="45"/>
  <c r="Z22" i="45" s="1"/>
  <c r="L22" i="45"/>
  <c r="N22" i="45" s="1"/>
  <c r="B22" i="45"/>
  <c r="X21" i="45"/>
  <c r="Z21" i="45" s="1"/>
  <c r="N21" i="45"/>
  <c r="L21" i="45"/>
  <c r="B21" i="45"/>
  <c r="T20" i="45"/>
  <c r="X20" i="45" s="1"/>
  <c r="Z20" i="45" s="1"/>
  <c r="R20" i="45"/>
  <c r="P20" i="45"/>
  <c r="L20" i="45"/>
  <c r="H20" i="45"/>
  <c r="N20" i="45" s="1"/>
  <c r="D20" i="45"/>
  <c r="T18" i="45"/>
  <c r="P18" i="45"/>
  <c r="X18" i="45" s="1"/>
  <c r="Z18" i="45" s="1"/>
  <c r="N18" i="45"/>
  <c r="H18" i="45"/>
  <c r="D18" i="45"/>
  <c r="L18" i="45" s="1"/>
  <c r="B18" i="45"/>
  <c r="T17" i="45"/>
  <c r="P17" i="45"/>
  <c r="X17" i="45" s="1"/>
  <c r="Z17" i="45" s="1"/>
  <c r="H17" i="45"/>
  <c r="N17" i="45" s="1"/>
  <c r="D17" i="45"/>
  <c r="L17" i="45" s="1"/>
  <c r="B17" i="45"/>
  <c r="X16" i="45"/>
  <c r="T16" i="45"/>
  <c r="Z16" i="45" s="1"/>
  <c r="P16" i="45"/>
  <c r="H16" i="45"/>
  <c r="N16" i="45" s="1"/>
  <c r="D16" i="45"/>
  <c r="L16" i="45" s="1"/>
  <c r="B16" i="45"/>
  <c r="X15" i="45"/>
  <c r="Z15" i="45" s="1"/>
  <c r="T15" i="45"/>
  <c r="P15" i="45"/>
  <c r="H15" i="45"/>
  <c r="L15" i="45" s="1"/>
  <c r="N15" i="45" s="1"/>
  <c r="D15" i="45"/>
  <c r="B15" i="45"/>
  <c r="T14" i="45"/>
  <c r="P14" i="45"/>
  <c r="X14" i="45" s="1"/>
  <c r="Z14" i="45" s="1"/>
  <c r="N14" i="45"/>
  <c r="H14" i="45"/>
  <c r="D14" i="45"/>
  <c r="L14" i="45" s="1"/>
  <c r="B14" i="45"/>
  <c r="T13" i="45"/>
  <c r="P13" i="45"/>
  <c r="X13" i="45" s="1"/>
  <c r="Z13" i="45" s="1"/>
  <c r="H13" i="45"/>
  <c r="D13" i="45"/>
  <c r="B13" i="45"/>
  <c r="X12" i="45"/>
  <c r="T12" i="45"/>
  <c r="V86" i="45" s="1"/>
  <c r="P12" i="45"/>
  <c r="R26" i="45" s="1"/>
  <c r="D4" i="45"/>
  <c r="X119" i="42"/>
  <c r="Z119" i="42" s="1"/>
  <c r="N119" i="42"/>
  <c r="L119" i="42"/>
  <c r="T115" i="42"/>
  <c r="P115" i="42"/>
  <c r="H115" i="42"/>
  <c r="D115" i="42"/>
  <c r="L115" i="42" s="1"/>
  <c r="N115" i="42" s="1"/>
  <c r="B115" i="42"/>
  <c r="T114" i="42"/>
  <c r="P114" i="42"/>
  <c r="L114" i="42"/>
  <c r="N114" i="42" s="1"/>
  <c r="H114" i="42"/>
  <c r="D114" i="42"/>
  <c r="B114" i="42"/>
  <c r="X113" i="42"/>
  <c r="Z113" i="42" s="1"/>
  <c r="T113" i="42"/>
  <c r="P113" i="42"/>
  <c r="H113" i="42"/>
  <c r="H112" i="42" s="1"/>
  <c r="D113" i="42"/>
  <c r="L113" i="42" s="1"/>
  <c r="N113" i="42" s="1"/>
  <c r="B113" i="42"/>
  <c r="T112" i="42"/>
  <c r="Z110" i="42"/>
  <c r="X110" i="42"/>
  <c r="L110" i="42"/>
  <c r="N110" i="42" s="1"/>
  <c r="B110" i="42"/>
  <c r="T109" i="42"/>
  <c r="P109" i="42"/>
  <c r="H109" i="42"/>
  <c r="D109" i="42"/>
  <c r="L109" i="42" s="1"/>
  <c r="N109" i="42" s="1"/>
  <c r="B109" i="42"/>
  <c r="Z108" i="42"/>
  <c r="X108" i="42"/>
  <c r="L108" i="42"/>
  <c r="N108" i="42" s="1"/>
  <c r="B108" i="42"/>
  <c r="X107" i="42"/>
  <c r="Z107" i="42" s="1"/>
  <c r="N107" i="42"/>
  <c r="L107" i="42"/>
  <c r="B107" i="42"/>
  <c r="X106" i="42"/>
  <c r="Z106" i="42" s="1"/>
  <c r="N106" i="42"/>
  <c r="L106" i="42"/>
  <c r="B106" i="42"/>
  <c r="T105" i="42"/>
  <c r="X105" i="42" s="1"/>
  <c r="P105" i="42"/>
  <c r="H105" i="42"/>
  <c r="D105" i="42"/>
  <c r="L105" i="42" s="1"/>
  <c r="B105" i="42"/>
  <c r="X104" i="42"/>
  <c r="Z104" i="42" s="1"/>
  <c r="L104" i="42"/>
  <c r="N104" i="42" s="1"/>
  <c r="B104" i="42"/>
  <c r="X103" i="42"/>
  <c r="Z103" i="42" s="1"/>
  <c r="T103" i="42"/>
  <c r="P103" i="42"/>
  <c r="H103" i="42"/>
  <c r="D103" i="42"/>
  <c r="L103" i="42" s="1"/>
  <c r="N103" i="42" s="1"/>
  <c r="B103" i="42"/>
  <c r="Z102" i="42"/>
  <c r="X102" i="42"/>
  <c r="L102" i="42"/>
  <c r="N102" i="42" s="1"/>
  <c r="B102" i="42"/>
  <c r="T101" i="42"/>
  <c r="P101" i="42"/>
  <c r="H101" i="42"/>
  <c r="D101" i="42"/>
  <c r="L101" i="42" s="1"/>
  <c r="N101" i="42" s="1"/>
  <c r="B101" i="42"/>
  <c r="Z100" i="42"/>
  <c r="X100" i="42"/>
  <c r="L100" i="42"/>
  <c r="N100" i="42" s="1"/>
  <c r="B100" i="42"/>
  <c r="X99" i="42"/>
  <c r="Z99" i="42" s="1"/>
  <c r="L99" i="42"/>
  <c r="N99" i="42" s="1"/>
  <c r="B99" i="42"/>
  <c r="Z98" i="42"/>
  <c r="X98" i="42"/>
  <c r="N98" i="42"/>
  <c r="L98" i="42"/>
  <c r="B98" i="42"/>
  <c r="X97" i="42"/>
  <c r="Z97" i="42" s="1"/>
  <c r="N97" i="42"/>
  <c r="L97" i="42"/>
  <c r="B97" i="42"/>
  <c r="Z96" i="42"/>
  <c r="X96" i="42"/>
  <c r="L96" i="42"/>
  <c r="N96" i="42" s="1"/>
  <c r="B96" i="42"/>
  <c r="X95" i="42"/>
  <c r="Z95" i="42" s="1"/>
  <c r="L95" i="42"/>
  <c r="N95" i="42" s="1"/>
  <c r="B95" i="42"/>
  <c r="X94" i="42"/>
  <c r="Z94" i="42" s="1"/>
  <c r="N94" i="42"/>
  <c r="L94" i="42"/>
  <c r="B94" i="42"/>
  <c r="X93" i="42"/>
  <c r="Z93" i="42" s="1"/>
  <c r="N93" i="42"/>
  <c r="L93" i="42"/>
  <c r="B93" i="42"/>
  <c r="T92" i="42"/>
  <c r="P92" i="42"/>
  <c r="X92" i="42" s="1"/>
  <c r="Z92" i="42" s="1"/>
  <c r="L92" i="42"/>
  <c r="N92" i="42" s="1"/>
  <c r="H92" i="42"/>
  <c r="D92" i="42"/>
  <c r="B92" i="42"/>
  <c r="X91" i="42"/>
  <c r="Z91" i="42" s="1"/>
  <c r="N91" i="42"/>
  <c r="L91" i="42"/>
  <c r="B91" i="42"/>
  <c r="T90" i="42"/>
  <c r="X90" i="42" s="1"/>
  <c r="Z90" i="42" s="1"/>
  <c r="P90" i="42"/>
  <c r="H90" i="42"/>
  <c r="D90" i="42"/>
  <c r="B90" i="42"/>
  <c r="X89" i="42"/>
  <c r="Z89" i="42" s="1"/>
  <c r="L89" i="42"/>
  <c r="N89" i="42" s="1"/>
  <c r="B89" i="42"/>
  <c r="X88" i="42"/>
  <c r="Z88" i="42" s="1"/>
  <c r="N88" i="42"/>
  <c r="L88" i="42"/>
  <c r="B88" i="42"/>
  <c r="Z87" i="42"/>
  <c r="X87" i="42"/>
  <c r="L87" i="42"/>
  <c r="N87" i="42" s="1"/>
  <c r="B87" i="42"/>
  <c r="Z86" i="42"/>
  <c r="X86" i="42"/>
  <c r="L86" i="42"/>
  <c r="N86" i="42" s="1"/>
  <c r="B86" i="42"/>
  <c r="X85" i="42"/>
  <c r="Z85" i="42" s="1"/>
  <c r="L85" i="42"/>
  <c r="N85" i="42" s="1"/>
  <c r="B85" i="42"/>
  <c r="T84" i="42"/>
  <c r="P84" i="42"/>
  <c r="X84" i="42" s="1"/>
  <c r="H84" i="42"/>
  <c r="D84" i="42"/>
  <c r="B84" i="42"/>
  <c r="X83" i="42"/>
  <c r="Z83" i="42" s="1"/>
  <c r="N83" i="42"/>
  <c r="L83" i="42"/>
  <c r="B83" i="42"/>
  <c r="X82" i="42"/>
  <c r="Z82" i="42" s="1"/>
  <c r="N82" i="42"/>
  <c r="L82" i="42"/>
  <c r="F82" i="42"/>
  <c r="B82" i="42"/>
  <c r="T81" i="42"/>
  <c r="X81" i="42" s="1"/>
  <c r="P81" i="42"/>
  <c r="H81" i="42"/>
  <c r="D81" i="42"/>
  <c r="L81" i="42" s="1"/>
  <c r="B81" i="42"/>
  <c r="X80" i="42"/>
  <c r="Z80" i="42" s="1"/>
  <c r="L80" i="42"/>
  <c r="N80" i="42" s="1"/>
  <c r="B80" i="42"/>
  <c r="Z79" i="42"/>
  <c r="X79" i="42"/>
  <c r="N79" i="42"/>
  <c r="L79" i="42"/>
  <c r="B79" i="42"/>
  <c r="Z78" i="42"/>
  <c r="X78" i="42"/>
  <c r="N78" i="42"/>
  <c r="L78" i="42"/>
  <c r="B78" i="42"/>
  <c r="T77" i="42"/>
  <c r="P77" i="42"/>
  <c r="L77" i="42"/>
  <c r="N77" i="42" s="1"/>
  <c r="H77" i="42"/>
  <c r="D77" i="42"/>
  <c r="B77" i="42"/>
  <c r="X76" i="42"/>
  <c r="Z76" i="42" s="1"/>
  <c r="N76" i="42"/>
  <c r="L76" i="42"/>
  <c r="B76" i="42"/>
  <c r="T75" i="42"/>
  <c r="P75" i="42"/>
  <c r="X75" i="42" s="1"/>
  <c r="Z75" i="42" s="1"/>
  <c r="H75" i="42"/>
  <c r="L75" i="42" s="1"/>
  <c r="D75" i="42"/>
  <c r="B75" i="42"/>
  <c r="Z74" i="42"/>
  <c r="X74" i="42"/>
  <c r="N74" i="42"/>
  <c r="L74" i="42"/>
  <c r="B74" i="42"/>
  <c r="T73" i="42"/>
  <c r="P73" i="42"/>
  <c r="H73" i="42"/>
  <c r="N73" i="42" s="1"/>
  <c r="D73" i="42"/>
  <c r="L73" i="42" s="1"/>
  <c r="B73" i="42"/>
  <c r="X72" i="42"/>
  <c r="Z72" i="42" s="1"/>
  <c r="L72" i="42"/>
  <c r="N72" i="42" s="1"/>
  <c r="B72" i="42"/>
  <c r="T71" i="42"/>
  <c r="P71" i="42"/>
  <c r="X71" i="42" s="1"/>
  <c r="Z71" i="42" s="1"/>
  <c r="H71" i="42"/>
  <c r="D71" i="42"/>
  <c r="B71" i="42"/>
  <c r="Z70" i="42"/>
  <c r="X70" i="42"/>
  <c r="L70" i="42"/>
  <c r="N70" i="42" s="1"/>
  <c r="B70" i="42"/>
  <c r="T69" i="42"/>
  <c r="P69" i="42"/>
  <c r="N69" i="42"/>
  <c r="L69" i="42"/>
  <c r="H69" i="42"/>
  <c r="D69" i="42"/>
  <c r="B69" i="42"/>
  <c r="X68" i="42"/>
  <c r="Z68" i="42" s="1"/>
  <c r="L68" i="42"/>
  <c r="N68" i="42" s="1"/>
  <c r="B68" i="42"/>
  <c r="X67" i="42"/>
  <c r="Z67" i="42" s="1"/>
  <c r="L67" i="42"/>
  <c r="N67" i="42" s="1"/>
  <c r="B67" i="42"/>
  <c r="X66" i="42"/>
  <c r="Z66" i="42" s="1"/>
  <c r="T66" i="42"/>
  <c r="P66" i="42"/>
  <c r="N66" i="42"/>
  <c r="L66" i="42"/>
  <c r="H66" i="42"/>
  <c r="D66" i="42"/>
  <c r="B66" i="42"/>
  <c r="Z65" i="42"/>
  <c r="X65" i="42"/>
  <c r="L65" i="42"/>
  <c r="N65" i="42" s="1"/>
  <c r="B65" i="42"/>
  <c r="X64" i="42"/>
  <c r="T64" i="42"/>
  <c r="P64" i="42"/>
  <c r="N64" i="42"/>
  <c r="L64" i="42"/>
  <c r="H64" i="42"/>
  <c r="D64" i="42"/>
  <c r="B64" i="42"/>
  <c r="Z63" i="42"/>
  <c r="X63" i="42"/>
  <c r="L63" i="42"/>
  <c r="N63" i="42" s="1"/>
  <c r="B63" i="42"/>
  <c r="T62" i="42"/>
  <c r="P62" i="42"/>
  <c r="H62" i="42"/>
  <c r="D62" i="42"/>
  <c r="B62" i="42"/>
  <c r="X61" i="42"/>
  <c r="Z61" i="42" s="1"/>
  <c r="N61" i="42"/>
  <c r="L61" i="42"/>
  <c r="B61" i="42"/>
  <c r="Z60" i="42"/>
  <c r="X60" i="42"/>
  <c r="T60" i="42"/>
  <c r="P60" i="42"/>
  <c r="N60" i="42"/>
  <c r="L60" i="42"/>
  <c r="H60" i="42"/>
  <c r="D60" i="42"/>
  <c r="B60" i="42"/>
  <c r="X59" i="42"/>
  <c r="Z59" i="42" s="1"/>
  <c r="N59" i="42"/>
  <c r="L59" i="42"/>
  <c r="B59" i="42"/>
  <c r="Z58" i="42"/>
  <c r="X58" i="42"/>
  <c r="N58" i="42"/>
  <c r="L58" i="42"/>
  <c r="B58" i="42"/>
  <c r="Z57" i="42"/>
  <c r="X57" i="42"/>
  <c r="L57" i="42"/>
  <c r="N57" i="42" s="1"/>
  <c r="B57" i="42"/>
  <c r="X56" i="42"/>
  <c r="T56" i="42"/>
  <c r="P56" i="42"/>
  <c r="N56" i="42"/>
  <c r="L56" i="42"/>
  <c r="H56" i="42"/>
  <c r="D56" i="42"/>
  <c r="B56" i="42"/>
  <c r="Z55" i="42"/>
  <c r="X55" i="42"/>
  <c r="L55" i="42"/>
  <c r="N55" i="42" s="1"/>
  <c r="B55" i="42"/>
  <c r="T54" i="42"/>
  <c r="P54" i="42"/>
  <c r="X54" i="42" s="1"/>
  <c r="Z54" i="42" s="1"/>
  <c r="H54" i="42"/>
  <c r="D54" i="42"/>
  <c r="L54" i="42" s="1"/>
  <c r="B54" i="42"/>
  <c r="X53" i="42"/>
  <c r="Z53" i="42" s="1"/>
  <c r="N53" i="42"/>
  <c r="L53" i="42"/>
  <c r="B53" i="42"/>
  <c r="X52" i="42"/>
  <c r="Z52" i="42" s="1"/>
  <c r="T52" i="42"/>
  <c r="P52" i="42"/>
  <c r="N52" i="42"/>
  <c r="L52" i="42"/>
  <c r="H52" i="42"/>
  <c r="D52" i="42"/>
  <c r="B52" i="42"/>
  <c r="Z51" i="42"/>
  <c r="X51" i="42"/>
  <c r="N51" i="42"/>
  <c r="L51" i="42"/>
  <c r="B51" i="42"/>
  <c r="Z50" i="42"/>
  <c r="X50" i="42"/>
  <c r="T50" i="42"/>
  <c r="P50" i="42"/>
  <c r="H50" i="42"/>
  <c r="D50" i="42"/>
  <c r="B50" i="42"/>
  <c r="X49" i="42"/>
  <c r="Z49" i="42" s="1"/>
  <c r="L49" i="42"/>
  <c r="N49" i="42" s="1"/>
  <c r="B49" i="42"/>
  <c r="X48" i="42"/>
  <c r="Z48" i="42" s="1"/>
  <c r="N48" i="42"/>
  <c r="L48" i="42"/>
  <c r="B48" i="42"/>
  <c r="Z47" i="42"/>
  <c r="X47" i="42"/>
  <c r="L47" i="42"/>
  <c r="N47" i="42" s="1"/>
  <c r="B47" i="42"/>
  <c r="Z46" i="42"/>
  <c r="X46" i="42"/>
  <c r="N46" i="42"/>
  <c r="L46" i="42"/>
  <c r="B46" i="42"/>
  <c r="Z45" i="42"/>
  <c r="X45" i="42"/>
  <c r="L45" i="42"/>
  <c r="N45" i="42" s="1"/>
  <c r="B45" i="42"/>
  <c r="X44" i="42"/>
  <c r="Z44" i="42" s="1"/>
  <c r="N44" i="42"/>
  <c r="L44" i="42"/>
  <c r="B44" i="42"/>
  <c r="Z43" i="42"/>
  <c r="X43" i="42"/>
  <c r="L43" i="42"/>
  <c r="N43" i="42" s="1"/>
  <c r="B43" i="42"/>
  <c r="T42" i="42"/>
  <c r="P42" i="42"/>
  <c r="H42" i="42"/>
  <c r="D42" i="42"/>
  <c r="L42" i="42" s="1"/>
  <c r="B42" i="42"/>
  <c r="X41" i="42"/>
  <c r="Z41" i="42" s="1"/>
  <c r="N41" i="42"/>
  <c r="L41" i="42"/>
  <c r="B41" i="42"/>
  <c r="Z40" i="42"/>
  <c r="X40" i="42"/>
  <c r="L40" i="42"/>
  <c r="N40" i="42" s="1"/>
  <c r="B40" i="42"/>
  <c r="X39" i="42"/>
  <c r="Z39" i="42" s="1"/>
  <c r="L39" i="42"/>
  <c r="N39" i="42" s="1"/>
  <c r="B39" i="42"/>
  <c r="Z38" i="42"/>
  <c r="X38" i="42"/>
  <c r="L38" i="42"/>
  <c r="N38" i="42" s="1"/>
  <c r="B38" i="42"/>
  <c r="X37" i="42"/>
  <c r="Z37" i="42" s="1"/>
  <c r="N37" i="42"/>
  <c r="L37" i="42"/>
  <c r="B37" i="42"/>
  <c r="Z36" i="42"/>
  <c r="X36" i="42"/>
  <c r="L36" i="42"/>
  <c r="N36" i="42" s="1"/>
  <c r="B36" i="42"/>
  <c r="X35" i="42"/>
  <c r="Z35" i="42" s="1"/>
  <c r="L35" i="42"/>
  <c r="N35" i="42" s="1"/>
  <c r="B35" i="42"/>
  <c r="Z34" i="42"/>
  <c r="X34" i="42"/>
  <c r="L34" i="42"/>
  <c r="N34" i="42" s="1"/>
  <c r="B34" i="42"/>
  <c r="X33" i="42"/>
  <c r="Z33" i="42" s="1"/>
  <c r="N33" i="42"/>
  <c r="L33" i="42"/>
  <c r="B33" i="42"/>
  <c r="T32" i="42"/>
  <c r="P32" i="42"/>
  <c r="X32" i="42" s="1"/>
  <c r="Z32" i="42" s="1"/>
  <c r="L32" i="42"/>
  <c r="H32" i="42"/>
  <c r="N32" i="42" s="1"/>
  <c r="D32" i="42"/>
  <c r="B32" i="42"/>
  <c r="Z31" i="42"/>
  <c r="X31" i="42"/>
  <c r="T31" i="42"/>
  <c r="P31" i="42"/>
  <c r="H31" i="42"/>
  <c r="D31" i="42"/>
  <c r="X27" i="42"/>
  <c r="Z27" i="42" s="1"/>
  <c r="L27" i="42"/>
  <c r="N27" i="42" s="1"/>
  <c r="B27" i="42"/>
  <c r="X26" i="42"/>
  <c r="Z26" i="42" s="1"/>
  <c r="N26" i="42"/>
  <c r="L26" i="42"/>
  <c r="B26" i="42"/>
  <c r="T25" i="42"/>
  <c r="P25" i="42"/>
  <c r="X25" i="42" s="1"/>
  <c r="Z25" i="42" s="1"/>
  <c r="H25" i="42"/>
  <c r="D25" i="42"/>
  <c r="L25" i="42" s="1"/>
  <c r="N25" i="42" s="1"/>
  <c r="T23" i="42"/>
  <c r="P23" i="42"/>
  <c r="X23" i="42" s="1"/>
  <c r="Z23" i="42" s="1"/>
  <c r="H23" i="42"/>
  <c r="D23" i="42"/>
  <c r="L23" i="42" s="1"/>
  <c r="B23" i="42"/>
  <c r="X22" i="42"/>
  <c r="T22" i="42"/>
  <c r="Z22" i="42" s="1"/>
  <c r="P22" i="42"/>
  <c r="H22" i="42"/>
  <c r="D22" i="42"/>
  <c r="L22" i="42" s="1"/>
  <c r="B22" i="42"/>
  <c r="T21" i="42"/>
  <c r="P21" i="42"/>
  <c r="X21" i="42" s="1"/>
  <c r="Z21" i="42" s="1"/>
  <c r="L21" i="42"/>
  <c r="H21" i="42"/>
  <c r="N21" i="42" s="1"/>
  <c r="D21" i="42"/>
  <c r="B21" i="42"/>
  <c r="X20" i="42"/>
  <c r="T20" i="42"/>
  <c r="Z20" i="42" s="1"/>
  <c r="P20" i="42"/>
  <c r="H20" i="42"/>
  <c r="N20" i="42" s="1"/>
  <c r="D20" i="42"/>
  <c r="L20" i="42" s="1"/>
  <c r="B20" i="42"/>
  <c r="Z19" i="42"/>
  <c r="T19" i="42"/>
  <c r="P19" i="42"/>
  <c r="X19" i="42" s="1"/>
  <c r="H19" i="42"/>
  <c r="N19" i="42" s="1"/>
  <c r="D19" i="42"/>
  <c r="L19" i="42" s="1"/>
  <c r="B19" i="42"/>
  <c r="T18" i="42"/>
  <c r="P18" i="42"/>
  <c r="L18" i="42"/>
  <c r="H18" i="42"/>
  <c r="D18" i="42"/>
  <c r="B18" i="42"/>
  <c r="X17" i="42"/>
  <c r="Z17" i="42" s="1"/>
  <c r="T17" i="42"/>
  <c r="P17" i="42"/>
  <c r="H17" i="42"/>
  <c r="D17" i="42"/>
  <c r="B17" i="42"/>
  <c r="X16" i="42"/>
  <c r="Z16" i="42" s="1"/>
  <c r="T16" i="42"/>
  <c r="P16" i="42"/>
  <c r="H16" i="42"/>
  <c r="D16" i="42"/>
  <c r="B16" i="42"/>
  <c r="T15" i="42"/>
  <c r="P15" i="42"/>
  <c r="H15" i="42"/>
  <c r="L15" i="42" s="1"/>
  <c r="N15" i="42" s="1"/>
  <c r="D15" i="42"/>
  <c r="D12" i="42" s="1"/>
  <c r="F37" i="42" s="1"/>
  <c r="B15" i="42"/>
  <c r="T14" i="42"/>
  <c r="P14" i="42"/>
  <c r="H14" i="42"/>
  <c r="D14" i="42"/>
  <c r="B14" i="42"/>
  <c r="X13" i="42"/>
  <c r="Z13" i="42" s="1"/>
  <c r="T13" i="42"/>
  <c r="P13" i="42"/>
  <c r="N13" i="42"/>
  <c r="L13" i="42"/>
  <c r="H13" i="42"/>
  <c r="D13" i="42"/>
  <c r="B13" i="42"/>
  <c r="D4" i="42"/>
  <c r="X131" i="39"/>
  <c r="Z131" i="39" s="1"/>
  <c r="N131" i="39"/>
  <c r="L131" i="39"/>
  <c r="T127" i="39"/>
  <c r="P127" i="39"/>
  <c r="X127" i="39" s="1"/>
  <c r="Z127" i="39" s="1"/>
  <c r="N127" i="39"/>
  <c r="H127" i="39"/>
  <c r="D127" i="39"/>
  <c r="L127" i="39" s="1"/>
  <c r="B127" i="39"/>
  <c r="T126" i="39"/>
  <c r="P126" i="39"/>
  <c r="X126" i="39" s="1"/>
  <c r="L126" i="39"/>
  <c r="N126" i="39" s="1"/>
  <c r="H126" i="39"/>
  <c r="D126" i="39"/>
  <c r="B126" i="39"/>
  <c r="T125" i="39"/>
  <c r="Z125" i="39" s="1"/>
  <c r="P125" i="39"/>
  <c r="X125" i="39" s="1"/>
  <c r="L125" i="39"/>
  <c r="N125" i="39" s="1"/>
  <c r="H125" i="39"/>
  <c r="D125" i="39"/>
  <c r="B125" i="39"/>
  <c r="T124" i="39"/>
  <c r="H124" i="39"/>
  <c r="D124" i="39"/>
  <c r="X122" i="39"/>
  <c r="Z122" i="39" s="1"/>
  <c r="N122" i="39"/>
  <c r="L122" i="39"/>
  <c r="B122" i="39"/>
  <c r="X121" i="39"/>
  <c r="Z121" i="39" s="1"/>
  <c r="T121" i="39"/>
  <c r="P121" i="39"/>
  <c r="H121" i="39"/>
  <c r="N121" i="39" s="1"/>
  <c r="D121" i="39"/>
  <c r="L121" i="39" s="1"/>
  <c r="B121" i="39"/>
  <c r="X120" i="39"/>
  <c r="Z120" i="39" s="1"/>
  <c r="L120" i="39"/>
  <c r="N120" i="39" s="1"/>
  <c r="B120" i="39"/>
  <c r="Z119" i="39"/>
  <c r="X119" i="39"/>
  <c r="N119" i="39"/>
  <c r="L119" i="39"/>
  <c r="B119" i="39"/>
  <c r="Z118" i="39"/>
  <c r="X118" i="39"/>
  <c r="L118" i="39"/>
  <c r="N118" i="39" s="1"/>
  <c r="B118" i="39"/>
  <c r="T117" i="39"/>
  <c r="P117" i="39"/>
  <c r="X117" i="39" s="1"/>
  <c r="Z117" i="39" s="1"/>
  <c r="H117" i="39"/>
  <c r="D117" i="39"/>
  <c r="B117" i="39"/>
  <c r="X116" i="39"/>
  <c r="Z116" i="39" s="1"/>
  <c r="N116" i="39"/>
  <c r="L116" i="39"/>
  <c r="B116" i="39"/>
  <c r="Z115" i="39"/>
  <c r="T115" i="39"/>
  <c r="P115" i="39"/>
  <c r="X115" i="39" s="1"/>
  <c r="H115" i="39"/>
  <c r="D115" i="39"/>
  <c r="L115" i="39" s="1"/>
  <c r="B115" i="39"/>
  <c r="X114" i="39"/>
  <c r="Z114" i="39" s="1"/>
  <c r="N114" i="39"/>
  <c r="L114" i="39"/>
  <c r="B114" i="39"/>
  <c r="X113" i="39"/>
  <c r="Z113" i="39" s="1"/>
  <c r="T113" i="39"/>
  <c r="P113" i="39"/>
  <c r="H113" i="39"/>
  <c r="D113" i="39"/>
  <c r="L113" i="39" s="1"/>
  <c r="B113" i="39"/>
  <c r="X112" i="39"/>
  <c r="Z112" i="39" s="1"/>
  <c r="L112" i="39"/>
  <c r="N112" i="39" s="1"/>
  <c r="B112" i="39"/>
  <c r="X111" i="39"/>
  <c r="Z111" i="39" s="1"/>
  <c r="N111" i="39"/>
  <c r="L111" i="39"/>
  <c r="B111" i="39"/>
  <c r="Z110" i="39"/>
  <c r="X110" i="39"/>
  <c r="N110" i="39"/>
  <c r="L110" i="39"/>
  <c r="B110" i="39"/>
  <c r="Z109" i="39"/>
  <c r="X109" i="39"/>
  <c r="L109" i="39"/>
  <c r="N109" i="39" s="1"/>
  <c r="B109" i="39"/>
  <c r="X108" i="39"/>
  <c r="Z108" i="39" s="1"/>
  <c r="L108" i="39"/>
  <c r="N108" i="39" s="1"/>
  <c r="B108" i="39"/>
  <c r="X107" i="39"/>
  <c r="Z107" i="39" s="1"/>
  <c r="N107" i="39"/>
  <c r="L107" i="39"/>
  <c r="B107" i="39"/>
  <c r="Z106" i="39"/>
  <c r="X106" i="39"/>
  <c r="L106" i="39"/>
  <c r="N106" i="39" s="1"/>
  <c r="B106" i="39"/>
  <c r="Z105" i="39"/>
  <c r="X105" i="39"/>
  <c r="L105" i="39"/>
  <c r="N105" i="39" s="1"/>
  <c r="B105" i="39"/>
  <c r="X104" i="39"/>
  <c r="Z104" i="39" s="1"/>
  <c r="T104" i="39"/>
  <c r="P104" i="39"/>
  <c r="H104" i="39"/>
  <c r="D104" i="39"/>
  <c r="L104" i="39" s="1"/>
  <c r="B104" i="39"/>
  <c r="Z103" i="39"/>
  <c r="X103" i="39"/>
  <c r="N103" i="39"/>
  <c r="L103" i="39"/>
  <c r="B103" i="39"/>
  <c r="X102" i="39"/>
  <c r="Z102" i="39" s="1"/>
  <c r="N102" i="39"/>
  <c r="L102" i="39"/>
  <c r="B102" i="39"/>
  <c r="T101" i="39"/>
  <c r="Z101" i="39" s="1"/>
  <c r="P101" i="39"/>
  <c r="X101" i="39" s="1"/>
  <c r="N101" i="39"/>
  <c r="H101" i="39"/>
  <c r="D101" i="39"/>
  <c r="L101" i="39" s="1"/>
  <c r="B101" i="39"/>
  <c r="Z100" i="39"/>
  <c r="X100" i="39"/>
  <c r="L100" i="39"/>
  <c r="N100" i="39" s="1"/>
  <c r="B100" i="39"/>
  <c r="Z99" i="39"/>
  <c r="X99" i="39"/>
  <c r="N99" i="39"/>
  <c r="L99" i="39"/>
  <c r="B99" i="39"/>
  <c r="X98" i="39"/>
  <c r="Z98" i="39" s="1"/>
  <c r="N98" i="39"/>
  <c r="L98" i="39"/>
  <c r="B98" i="39"/>
  <c r="X97" i="39"/>
  <c r="Z97" i="39" s="1"/>
  <c r="N97" i="39"/>
  <c r="L97" i="39"/>
  <c r="B97" i="39"/>
  <c r="Z96" i="39"/>
  <c r="X96" i="39"/>
  <c r="L96" i="39"/>
  <c r="N96" i="39" s="1"/>
  <c r="B96" i="39"/>
  <c r="T95" i="39"/>
  <c r="Z95" i="39" s="1"/>
  <c r="P95" i="39"/>
  <c r="X95" i="39" s="1"/>
  <c r="L95" i="39"/>
  <c r="N95" i="39" s="1"/>
  <c r="H95" i="39"/>
  <c r="D95" i="39"/>
  <c r="B95" i="39"/>
  <c r="Z94" i="39"/>
  <c r="X94" i="39"/>
  <c r="L94" i="39"/>
  <c r="N94" i="39" s="1"/>
  <c r="B94" i="39"/>
  <c r="Z93" i="39"/>
  <c r="X93" i="39"/>
  <c r="L93" i="39"/>
  <c r="N93" i="39" s="1"/>
  <c r="B93" i="39"/>
  <c r="X92" i="39"/>
  <c r="Z92" i="39" s="1"/>
  <c r="T92" i="39"/>
  <c r="P92" i="39"/>
  <c r="H92" i="39"/>
  <c r="D92" i="39"/>
  <c r="L92" i="39" s="1"/>
  <c r="N92" i="39" s="1"/>
  <c r="B92" i="39"/>
  <c r="Z91" i="39"/>
  <c r="X91" i="39"/>
  <c r="N91" i="39"/>
  <c r="L91" i="39"/>
  <c r="B91" i="39"/>
  <c r="X90" i="39"/>
  <c r="Z90" i="39" s="1"/>
  <c r="L90" i="39"/>
  <c r="N90" i="39" s="1"/>
  <c r="B90" i="39"/>
  <c r="X89" i="39"/>
  <c r="Z89" i="39" s="1"/>
  <c r="L89" i="39"/>
  <c r="N89" i="39" s="1"/>
  <c r="B89" i="39"/>
  <c r="X88" i="39"/>
  <c r="Z88" i="39" s="1"/>
  <c r="T88" i="39"/>
  <c r="P88" i="39"/>
  <c r="H88" i="39"/>
  <c r="D88" i="39"/>
  <c r="B88" i="39"/>
  <c r="Z87" i="39"/>
  <c r="X87" i="39"/>
  <c r="N87" i="39"/>
  <c r="L87" i="39"/>
  <c r="B87" i="39"/>
  <c r="X86" i="39"/>
  <c r="T86" i="39"/>
  <c r="Z86" i="39" s="1"/>
  <c r="P86" i="39"/>
  <c r="H86" i="39"/>
  <c r="D86" i="39"/>
  <c r="L86" i="39" s="1"/>
  <c r="B86" i="39"/>
  <c r="Z85" i="39"/>
  <c r="X85" i="39"/>
  <c r="N85" i="39"/>
  <c r="L85" i="39"/>
  <c r="B85" i="39"/>
  <c r="Z84" i="39"/>
  <c r="X84" i="39"/>
  <c r="T84" i="39"/>
  <c r="P84" i="39"/>
  <c r="H84" i="39"/>
  <c r="N84" i="39" s="1"/>
  <c r="D84" i="39"/>
  <c r="L84" i="39" s="1"/>
  <c r="B84" i="39"/>
  <c r="Z83" i="39"/>
  <c r="X83" i="39"/>
  <c r="N83" i="39"/>
  <c r="L83" i="39"/>
  <c r="B83" i="39"/>
  <c r="T82" i="39"/>
  <c r="P82" i="39"/>
  <c r="L82" i="39"/>
  <c r="N82" i="39" s="1"/>
  <c r="H82" i="39"/>
  <c r="D82" i="39"/>
  <c r="B82" i="39"/>
  <c r="Z81" i="39"/>
  <c r="X81" i="39"/>
  <c r="N81" i="39"/>
  <c r="L81" i="39"/>
  <c r="B81" i="39"/>
  <c r="T80" i="39"/>
  <c r="P80" i="39"/>
  <c r="L80" i="39"/>
  <c r="H80" i="39"/>
  <c r="N80" i="39" s="1"/>
  <c r="D80" i="39"/>
  <c r="B80" i="39"/>
  <c r="Z79" i="39"/>
  <c r="X79" i="39"/>
  <c r="N79" i="39"/>
  <c r="L79" i="39"/>
  <c r="B79" i="39"/>
  <c r="Z78" i="39"/>
  <c r="X78" i="39"/>
  <c r="L78" i="39"/>
  <c r="N78" i="39" s="1"/>
  <c r="B78" i="39"/>
  <c r="T77" i="39"/>
  <c r="P77" i="39"/>
  <c r="X77" i="39" s="1"/>
  <c r="Z77" i="39" s="1"/>
  <c r="H77" i="39"/>
  <c r="D77" i="39"/>
  <c r="B77" i="39"/>
  <c r="X76" i="39"/>
  <c r="Z76" i="39" s="1"/>
  <c r="N76" i="39"/>
  <c r="L76" i="39"/>
  <c r="B76" i="39"/>
  <c r="Z75" i="39"/>
  <c r="T75" i="39"/>
  <c r="P75" i="39"/>
  <c r="X75" i="39" s="1"/>
  <c r="H75" i="39"/>
  <c r="N75" i="39" s="1"/>
  <c r="D75" i="39"/>
  <c r="L75" i="39" s="1"/>
  <c r="B75" i="39"/>
  <c r="X74" i="39"/>
  <c r="Z74" i="39" s="1"/>
  <c r="N74" i="39"/>
  <c r="L74" i="39"/>
  <c r="B74" i="39"/>
  <c r="Z73" i="39"/>
  <c r="X73" i="39"/>
  <c r="T73" i="39"/>
  <c r="P73" i="39"/>
  <c r="H73" i="39"/>
  <c r="D73" i="39"/>
  <c r="L73" i="39" s="1"/>
  <c r="N73" i="39" s="1"/>
  <c r="B73" i="39"/>
  <c r="X72" i="39"/>
  <c r="Z72" i="39" s="1"/>
  <c r="L72" i="39"/>
  <c r="N72" i="39" s="1"/>
  <c r="B72" i="39"/>
  <c r="T71" i="39"/>
  <c r="P71" i="39"/>
  <c r="H71" i="39"/>
  <c r="D71" i="39"/>
  <c r="L71" i="39" s="1"/>
  <c r="N71" i="39" s="1"/>
  <c r="B71" i="39"/>
  <c r="X70" i="39"/>
  <c r="Z70" i="39" s="1"/>
  <c r="L70" i="39"/>
  <c r="N70" i="39" s="1"/>
  <c r="B70" i="39"/>
  <c r="T69" i="39"/>
  <c r="P69" i="39"/>
  <c r="X69" i="39" s="1"/>
  <c r="H69" i="39"/>
  <c r="D69" i="39"/>
  <c r="L69" i="39" s="1"/>
  <c r="N69" i="39" s="1"/>
  <c r="B69" i="39"/>
  <c r="Z68" i="39"/>
  <c r="X68" i="39"/>
  <c r="L68" i="39"/>
  <c r="N68" i="39" s="1"/>
  <c r="B68" i="39"/>
  <c r="T67" i="39"/>
  <c r="P67" i="39"/>
  <c r="X67" i="39" s="1"/>
  <c r="L67" i="39"/>
  <c r="N67" i="39" s="1"/>
  <c r="H67" i="39"/>
  <c r="D67" i="39"/>
  <c r="B67" i="39"/>
  <c r="Z66" i="39"/>
  <c r="X66" i="39"/>
  <c r="L66" i="39"/>
  <c r="N66" i="39" s="1"/>
  <c r="B66" i="39"/>
  <c r="Z65" i="39"/>
  <c r="X65" i="39"/>
  <c r="L65" i="39"/>
  <c r="N65" i="39" s="1"/>
  <c r="B65" i="39"/>
  <c r="X64" i="39"/>
  <c r="Z64" i="39" s="1"/>
  <c r="L64" i="39"/>
  <c r="N64" i="39" s="1"/>
  <c r="B64" i="39"/>
  <c r="T63" i="39"/>
  <c r="P63" i="39"/>
  <c r="H63" i="39"/>
  <c r="D63" i="39"/>
  <c r="L63" i="39" s="1"/>
  <c r="N63" i="39" s="1"/>
  <c r="B63" i="39"/>
  <c r="X62" i="39"/>
  <c r="Z62" i="39" s="1"/>
  <c r="L62" i="39"/>
  <c r="N62" i="39" s="1"/>
  <c r="B62" i="39"/>
  <c r="T61" i="39"/>
  <c r="P61" i="39"/>
  <c r="X61" i="39" s="1"/>
  <c r="N61" i="39"/>
  <c r="H61" i="39"/>
  <c r="D61" i="39"/>
  <c r="L61" i="39" s="1"/>
  <c r="B61" i="39"/>
  <c r="Z60" i="39"/>
  <c r="X60" i="39"/>
  <c r="N60" i="39"/>
  <c r="L60" i="39"/>
  <c r="B60" i="39"/>
  <c r="T59" i="39"/>
  <c r="P59" i="39"/>
  <c r="N59" i="39"/>
  <c r="L59" i="39"/>
  <c r="H59" i="39"/>
  <c r="D59" i="39"/>
  <c r="B59" i="39"/>
  <c r="Z58" i="39"/>
  <c r="X58" i="39"/>
  <c r="L58" i="39"/>
  <c r="N58" i="39" s="1"/>
  <c r="B58" i="39"/>
  <c r="T57" i="39"/>
  <c r="P57" i="39"/>
  <c r="X57" i="39" s="1"/>
  <c r="Z57" i="39" s="1"/>
  <c r="H57" i="39"/>
  <c r="D57" i="39"/>
  <c r="B57" i="39"/>
  <c r="X56" i="39"/>
  <c r="Z56" i="39" s="1"/>
  <c r="N56" i="39"/>
  <c r="L56" i="39"/>
  <c r="B56" i="39"/>
  <c r="Z55" i="39"/>
  <c r="X55" i="39"/>
  <c r="N55" i="39"/>
  <c r="L55" i="39"/>
  <c r="B55" i="39"/>
  <c r="X54" i="39"/>
  <c r="Z54" i="39" s="1"/>
  <c r="L54" i="39"/>
  <c r="N54" i="39" s="1"/>
  <c r="B54" i="39"/>
  <c r="X53" i="39"/>
  <c r="Z53" i="39" s="1"/>
  <c r="L53" i="39"/>
  <c r="N53" i="39" s="1"/>
  <c r="B53" i="39"/>
  <c r="X52" i="39"/>
  <c r="Z52" i="39" s="1"/>
  <c r="N52" i="39"/>
  <c r="L52" i="39"/>
  <c r="B52" i="39"/>
  <c r="Z51" i="39"/>
  <c r="X51" i="39"/>
  <c r="N51" i="39"/>
  <c r="L51" i="39"/>
  <c r="B51" i="39"/>
  <c r="X50" i="39"/>
  <c r="Z50" i="39" s="1"/>
  <c r="L50" i="39"/>
  <c r="N50" i="39" s="1"/>
  <c r="B50" i="39"/>
  <c r="T49" i="39"/>
  <c r="Z49" i="39" s="1"/>
  <c r="P49" i="39"/>
  <c r="X49" i="39" s="1"/>
  <c r="N49" i="39"/>
  <c r="H49" i="39"/>
  <c r="D49" i="39"/>
  <c r="L49" i="39" s="1"/>
  <c r="B49" i="39"/>
  <c r="Z48" i="39"/>
  <c r="X48" i="39"/>
  <c r="L48" i="39"/>
  <c r="N48" i="39" s="1"/>
  <c r="B48" i="39"/>
  <c r="Z47" i="39"/>
  <c r="X47" i="39"/>
  <c r="N47" i="39"/>
  <c r="L47" i="39"/>
  <c r="B47" i="39"/>
  <c r="X46" i="39"/>
  <c r="Z46" i="39" s="1"/>
  <c r="N46" i="39"/>
  <c r="L46" i="39"/>
  <c r="B46" i="39"/>
  <c r="X45" i="39"/>
  <c r="Z45" i="39" s="1"/>
  <c r="N45" i="39"/>
  <c r="L45" i="39"/>
  <c r="B45" i="39"/>
  <c r="Z44" i="39"/>
  <c r="X44" i="39"/>
  <c r="L44" i="39"/>
  <c r="N44" i="39" s="1"/>
  <c r="B44" i="39"/>
  <c r="Z43" i="39"/>
  <c r="X43" i="39"/>
  <c r="N43" i="39"/>
  <c r="L43" i="39"/>
  <c r="B43" i="39"/>
  <c r="X42" i="39"/>
  <c r="Z42" i="39" s="1"/>
  <c r="N42" i="39"/>
  <c r="L42" i="39"/>
  <c r="B42" i="39"/>
  <c r="Z41" i="39"/>
  <c r="X41" i="39"/>
  <c r="N41" i="39"/>
  <c r="L41" i="39"/>
  <c r="B41" i="39"/>
  <c r="Z40" i="39"/>
  <c r="X40" i="39"/>
  <c r="N40" i="39"/>
  <c r="L40" i="39"/>
  <c r="B40" i="39"/>
  <c r="Z39" i="39"/>
  <c r="T39" i="39"/>
  <c r="X39" i="39" s="1"/>
  <c r="P39" i="39"/>
  <c r="N39" i="39"/>
  <c r="L39" i="39"/>
  <c r="H39" i="39"/>
  <c r="D39" i="39"/>
  <c r="B39" i="39"/>
  <c r="T38" i="39"/>
  <c r="P38" i="39"/>
  <c r="X38" i="39" s="1"/>
  <c r="H38" i="39"/>
  <c r="D38" i="39"/>
  <c r="Z34" i="39"/>
  <c r="X34" i="39"/>
  <c r="L34" i="39"/>
  <c r="N34" i="39" s="1"/>
  <c r="B34" i="39"/>
  <c r="Z33" i="39"/>
  <c r="X33" i="39"/>
  <c r="L33" i="39"/>
  <c r="N33" i="39" s="1"/>
  <c r="B33" i="39"/>
  <c r="X32" i="39"/>
  <c r="Z32" i="39" s="1"/>
  <c r="T32" i="39"/>
  <c r="P32" i="39"/>
  <c r="H32" i="39"/>
  <c r="D32" i="39"/>
  <c r="L32" i="39" s="1"/>
  <c r="T30" i="39"/>
  <c r="P30" i="39"/>
  <c r="X30" i="39" s="1"/>
  <c r="Z30" i="39" s="1"/>
  <c r="L30" i="39"/>
  <c r="H30" i="39"/>
  <c r="N30" i="39" s="1"/>
  <c r="D30" i="39"/>
  <c r="B30" i="39"/>
  <c r="T29" i="39"/>
  <c r="P29" i="39"/>
  <c r="N29" i="39"/>
  <c r="H29" i="39"/>
  <c r="D29" i="39"/>
  <c r="L29" i="39" s="1"/>
  <c r="B29" i="39"/>
  <c r="T28" i="39"/>
  <c r="P28" i="39"/>
  <c r="H28" i="39"/>
  <c r="D28" i="39"/>
  <c r="B28" i="39"/>
  <c r="T27" i="39"/>
  <c r="P27" i="39"/>
  <c r="X27" i="39" s="1"/>
  <c r="Z27" i="39" s="1"/>
  <c r="H27" i="39"/>
  <c r="D27" i="39"/>
  <c r="B27" i="39"/>
  <c r="X26" i="39"/>
  <c r="Z26" i="39" s="1"/>
  <c r="T26" i="39"/>
  <c r="P26" i="39"/>
  <c r="L26" i="39"/>
  <c r="H26" i="39"/>
  <c r="N26" i="39" s="1"/>
  <c r="D26" i="39"/>
  <c r="B26" i="39"/>
  <c r="T25" i="39"/>
  <c r="P25" i="39"/>
  <c r="N25" i="39"/>
  <c r="H25" i="39"/>
  <c r="D25" i="39"/>
  <c r="L25" i="39" s="1"/>
  <c r="B25" i="39"/>
  <c r="T24" i="39"/>
  <c r="P24" i="39"/>
  <c r="H24" i="39"/>
  <c r="D24" i="39"/>
  <c r="L24" i="39" s="1"/>
  <c r="B24" i="39"/>
  <c r="T23" i="39"/>
  <c r="P23" i="39"/>
  <c r="X23" i="39" s="1"/>
  <c r="Z23" i="39" s="1"/>
  <c r="H23" i="39"/>
  <c r="N23" i="39" s="1"/>
  <c r="D23" i="39"/>
  <c r="B23" i="39"/>
  <c r="T22" i="39"/>
  <c r="P22" i="39"/>
  <c r="X22" i="39" s="1"/>
  <c r="Z22" i="39" s="1"/>
  <c r="L22" i="39"/>
  <c r="H22" i="39"/>
  <c r="N22" i="39" s="1"/>
  <c r="D22" i="39"/>
  <c r="B22" i="39"/>
  <c r="T21" i="39"/>
  <c r="P21" i="39"/>
  <c r="X21" i="39" s="1"/>
  <c r="N21" i="39"/>
  <c r="H21" i="39"/>
  <c r="D21" i="39"/>
  <c r="L21" i="39" s="1"/>
  <c r="B21" i="39"/>
  <c r="T20" i="39"/>
  <c r="P20" i="39"/>
  <c r="H20" i="39"/>
  <c r="N20" i="39" s="1"/>
  <c r="D20" i="39"/>
  <c r="L20" i="39" s="1"/>
  <c r="B20" i="39"/>
  <c r="T19" i="39"/>
  <c r="P19" i="39"/>
  <c r="H19" i="39"/>
  <c r="D19" i="39"/>
  <c r="B19" i="39"/>
  <c r="T18" i="39"/>
  <c r="P18" i="39"/>
  <c r="X18" i="39" s="1"/>
  <c r="Z18" i="39" s="1"/>
  <c r="L18" i="39"/>
  <c r="H18" i="39"/>
  <c r="N18" i="39" s="1"/>
  <c r="D18" i="39"/>
  <c r="B18" i="39"/>
  <c r="T17" i="39"/>
  <c r="Z17" i="39" s="1"/>
  <c r="P17" i="39"/>
  <c r="X17" i="39" s="1"/>
  <c r="N17" i="39"/>
  <c r="H17" i="39"/>
  <c r="D17" i="39"/>
  <c r="L17" i="39" s="1"/>
  <c r="B17" i="39"/>
  <c r="T16" i="39"/>
  <c r="P16" i="39"/>
  <c r="H16" i="39"/>
  <c r="D16" i="39"/>
  <c r="B16" i="39"/>
  <c r="T15" i="39"/>
  <c r="X15" i="39" s="1"/>
  <c r="P15" i="39"/>
  <c r="H15" i="39"/>
  <c r="D15" i="39"/>
  <c r="B15" i="39"/>
  <c r="X14" i="39"/>
  <c r="Z14" i="39" s="1"/>
  <c r="T14" i="39"/>
  <c r="P14" i="39"/>
  <c r="H14" i="39"/>
  <c r="D14" i="39"/>
  <c r="B14" i="39"/>
  <c r="T13" i="39"/>
  <c r="T12" i="39" s="1"/>
  <c r="P13" i="39"/>
  <c r="X13" i="39" s="1"/>
  <c r="Z13" i="39" s="1"/>
  <c r="H13" i="39"/>
  <c r="D13" i="39"/>
  <c r="B13" i="39"/>
  <c r="D4" i="39"/>
  <c r="X124" i="36"/>
  <c r="Z124" i="36" s="1"/>
  <c r="L124" i="36"/>
  <c r="N124" i="36" s="1"/>
  <c r="Z120" i="36"/>
  <c r="T120" i="36"/>
  <c r="P120" i="36"/>
  <c r="X120" i="36" s="1"/>
  <c r="L120" i="36"/>
  <c r="H120" i="36"/>
  <c r="D120" i="36"/>
  <c r="B120" i="36"/>
  <c r="T119" i="36"/>
  <c r="P119" i="36"/>
  <c r="L119" i="36"/>
  <c r="H119" i="36"/>
  <c r="N119" i="36" s="1"/>
  <c r="F119" i="36"/>
  <c r="D119" i="36"/>
  <c r="B119" i="36"/>
  <c r="T118" i="36"/>
  <c r="P118" i="36"/>
  <c r="X118" i="36" s="1"/>
  <c r="Z118" i="36" s="1"/>
  <c r="L118" i="36"/>
  <c r="H118" i="36"/>
  <c r="N118" i="36" s="1"/>
  <c r="D118" i="36"/>
  <c r="B118" i="36"/>
  <c r="P117" i="36"/>
  <c r="H117" i="36"/>
  <c r="D117" i="36"/>
  <c r="L117" i="36" s="1"/>
  <c r="Z115" i="36"/>
  <c r="X115" i="36"/>
  <c r="L115" i="36"/>
  <c r="N115" i="36" s="1"/>
  <c r="B115" i="36"/>
  <c r="T114" i="36"/>
  <c r="P114" i="36"/>
  <c r="H114" i="36"/>
  <c r="D114" i="36"/>
  <c r="B114" i="36"/>
  <c r="X113" i="36"/>
  <c r="Z113" i="36" s="1"/>
  <c r="N113" i="36"/>
  <c r="L113" i="36"/>
  <c r="B113" i="36"/>
  <c r="X112" i="36"/>
  <c r="Z112" i="36" s="1"/>
  <c r="N112" i="36"/>
  <c r="L112" i="36"/>
  <c r="B112" i="36"/>
  <c r="Z111" i="36"/>
  <c r="X111" i="36"/>
  <c r="L111" i="36"/>
  <c r="N111" i="36" s="1"/>
  <c r="B111" i="36"/>
  <c r="T110" i="36"/>
  <c r="P110" i="36"/>
  <c r="X110" i="36" s="1"/>
  <c r="Z110" i="36" s="1"/>
  <c r="N110" i="36"/>
  <c r="L110" i="36"/>
  <c r="H110" i="36"/>
  <c r="D110" i="36"/>
  <c r="B110" i="36"/>
  <c r="Z109" i="36"/>
  <c r="X109" i="36"/>
  <c r="N109" i="36"/>
  <c r="L109" i="36"/>
  <c r="B109" i="36"/>
  <c r="T108" i="36"/>
  <c r="P108" i="36"/>
  <c r="X108" i="36" s="1"/>
  <c r="Z108" i="36" s="1"/>
  <c r="L108" i="36"/>
  <c r="H108" i="36"/>
  <c r="N108" i="36" s="1"/>
  <c r="D108" i="36"/>
  <c r="B108" i="36"/>
  <c r="Z107" i="36"/>
  <c r="X107" i="36"/>
  <c r="L107" i="36"/>
  <c r="N107" i="36" s="1"/>
  <c r="B107" i="36"/>
  <c r="T106" i="36"/>
  <c r="P106" i="36"/>
  <c r="X106" i="36" s="1"/>
  <c r="Z106" i="36" s="1"/>
  <c r="H106" i="36"/>
  <c r="D106" i="36"/>
  <c r="L106" i="36" s="1"/>
  <c r="B106" i="36"/>
  <c r="X105" i="36"/>
  <c r="Z105" i="36" s="1"/>
  <c r="N105" i="36"/>
  <c r="L105" i="36"/>
  <c r="B105" i="36"/>
  <c r="X104" i="36"/>
  <c r="Z104" i="36" s="1"/>
  <c r="L104" i="36"/>
  <c r="N104" i="36" s="1"/>
  <c r="B104" i="36"/>
  <c r="X103" i="36"/>
  <c r="Z103" i="36" s="1"/>
  <c r="L103" i="36"/>
  <c r="N103" i="36" s="1"/>
  <c r="B103" i="36"/>
  <c r="Z102" i="36"/>
  <c r="X102" i="36"/>
  <c r="L102" i="36"/>
  <c r="N102" i="36" s="1"/>
  <c r="B102" i="36"/>
  <c r="X101" i="36"/>
  <c r="Z101" i="36" s="1"/>
  <c r="N101" i="36"/>
  <c r="L101" i="36"/>
  <c r="B101" i="36"/>
  <c r="X100" i="36"/>
  <c r="Z100" i="36" s="1"/>
  <c r="N100" i="36"/>
  <c r="L100" i="36"/>
  <c r="B100" i="36"/>
  <c r="Z99" i="36"/>
  <c r="X99" i="36"/>
  <c r="L99" i="36"/>
  <c r="N99" i="36" s="1"/>
  <c r="B99" i="36"/>
  <c r="X98" i="36"/>
  <c r="Z98" i="36" s="1"/>
  <c r="L98" i="36"/>
  <c r="N98" i="36" s="1"/>
  <c r="B98" i="36"/>
  <c r="X97" i="36"/>
  <c r="T97" i="36"/>
  <c r="P97" i="36"/>
  <c r="H97" i="36"/>
  <c r="D97" i="36"/>
  <c r="L97" i="36" s="1"/>
  <c r="B97" i="36"/>
  <c r="X96" i="36"/>
  <c r="Z96" i="36" s="1"/>
  <c r="L96" i="36"/>
  <c r="N96" i="36" s="1"/>
  <c r="B96" i="36"/>
  <c r="T95" i="36"/>
  <c r="P95" i="36"/>
  <c r="X95" i="36" s="1"/>
  <c r="Z95" i="36" s="1"/>
  <c r="H95" i="36"/>
  <c r="D95" i="36"/>
  <c r="B95" i="36"/>
  <c r="Z94" i="36"/>
  <c r="X94" i="36"/>
  <c r="L94" i="36"/>
  <c r="N94" i="36" s="1"/>
  <c r="B94" i="36"/>
  <c r="Z93" i="36"/>
  <c r="X93" i="36"/>
  <c r="L93" i="36"/>
  <c r="N93" i="36" s="1"/>
  <c r="B93" i="36"/>
  <c r="X92" i="36"/>
  <c r="Z92" i="36" s="1"/>
  <c r="L92" i="36"/>
  <c r="N92" i="36" s="1"/>
  <c r="B92" i="36"/>
  <c r="X91" i="36"/>
  <c r="Z91" i="36" s="1"/>
  <c r="L91" i="36"/>
  <c r="N91" i="36" s="1"/>
  <c r="B91" i="36"/>
  <c r="Z90" i="36"/>
  <c r="X90" i="36"/>
  <c r="L90" i="36"/>
  <c r="N90" i="36" s="1"/>
  <c r="B90" i="36"/>
  <c r="T89" i="36"/>
  <c r="P89" i="36"/>
  <c r="H89" i="36"/>
  <c r="D89" i="36"/>
  <c r="L89" i="36" s="1"/>
  <c r="N89" i="36" s="1"/>
  <c r="B89" i="36"/>
  <c r="Z88" i="36"/>
  <c r="X88" i="36"/>
  <c r="N88" i="36"/>
  <c r="L88" i="36"/>
  <c r="B88" i="36"/>
  <c r="X87" i="36"/>
  <c r="Z87" i="36" s="1"/>
  <c r="N87" i="36"/>
  <c r="L87" i="36"/>
  <c r="B87" i="36"/>
  <c r="X86" i="36"/>
  <c r="T86" i="36"/>
  <c r="Z86" i="36" s="1"/>
  <c r="P86" i="36"/>
  <c r="L86" i="36"/>
  <c r="N86" i="36" s="1"/>
  <c r="H86" i="36"/>
  <c r="D86" i="36"/>
  <c r="B86" i="36"/>
  <c r="Z85" i="36"/>
  <c r="X85" i="36"/>
  <c r="L85" i="36"/>
  <c r="N85" i="36" s="1"/>
  <c r="B85" i="36"/>
  <c r="X84" i="36"/>
  <c r="Z84" i="36" s="1"/>
  <c r="N84" i="36"/>
  <c r="L84" i="36"/>
  <c r="B84" i="36"/>
  <c r="Z83" i="36"/>
  <c r="X83" i="36"/>
  <c r="L83" i="36"/>
  <c r="N83" i="36" s="1"/>
  <c r="B83" i="36"/>
  <c r="X82" i="36"/>
  <c r="T82" i="36"/>
  <c r="Z82" i="36" s="1"/>
  <c r="P82" i="36"/>
  <c r="H82" i="36"/>
  <c r="D82" i="36"/>
  <c r="L82" i="36" s="1"/>
  <c r="B82" i="36"/>
  <c r="Z81" i="36"/>
  <c r="X81" i="36"/>
  <c r="L81" i="36"/>
  <c r="N81" i="36" s="1"/>
  <c r="B81" i="36"/>
  <c r="T80" i="36"/>
  <c r="P80" i="36"/>
  <c r="X80" i="36" s="1"/>
  <c r="Z80" i="36" s="1"/>
  <c r="H80" i="36"/>
  <c r="D80" i="36"/>
  <c r="B80" i="36"/>
  <c r="Z79" i="36"/>
  <c r="X79" i="36"/>
  <c r="N79" i="36"/>
  <c r="L79" i="36"/>
  <c r="B79" i="36"/>
  <c r="T78" i="36"/>
  <c r="X78" i="36" s="1"/>
  <c r="P78" i="36"/>
  <c r="H78" i="36"/>
  <c r="D78" i="36"/>
  <c r="L78" i="36" s="1"/>
  <c r="N78" i="36" s="1"/>
  <c r="B78" i="36"/>
  <c r="Z77" i="36"/>
  <c r="X77" i="36"/>
  <c r="N77" i="36"/>
  <c r="L77" i="36"/>
  <c r="B77" i="36"/>
  <c r="Z76" i="36"/>
  <c r="X76" i="36"/>
  <c r="T76" i="36"/>
  <c r="P76" i="36"/>
  <c r="N76" i="36"/>
  <c r="H76" i="36"/>
  <c r="D76" i="36"/>
  <c r="L76" i="36" s="1"/>
  <c r="B76" i="36"/>
  <c r="Z75" i="36"/>
  <c r="X75" i="36"/>
  <c r="L75" i="36"/>
  <c r="N75" i="36" s="1"/>
  <c r="B75" i="36"/>
  <c r="T74" i="36"/>
  <c r="P74" i="36"/>
  <c r="L74" i="36"/>
  <c r="N74" i="36" s="1"/>
  <c r="H74" i="36"/>
  <c r="D74" i="36"/>
  <c r="B74" i="36"/>
  <c r="X73" i="36"/>
  <c r="Z73" i="36" s="1"/>
  <c r="N73" i="36"/>
  <c r="L73" i="36"/>
  <c r="B73" i="36"/>
  <c r="T72" i="36"/>
  <c r="P72" i="36"/>
  <c r="X72" i="36" s="1"/>
  <c r="Z72" i="36" s="1"/>
  <c r="H72" i="36"/>
  <c r="L72" i="36" s="1"/>
  <c r="D72" i="36"/>
  <c r="B72" i="36"/>
  <c r="X71" i="36"/>
  <c r="Z71" i="36" s="1"/>
  <c r="N71" i="36"/>
  <c r="L71" i="36"/>
  <c r="B71" i="36"/>
  <c r="Z70" i="36"/>
  <c r="X70" i="36"/>
  <c r="N70" i="36"/>
  <c r="L70" i="36"/>
  <c r="B70" i="36"/>
  <c r="T69" i="36"/>
  <c r="Z69" i="36" s="1"/>
  <c r="P69" i="36"/>
  <c r="X69" i="36" s="1"/>
  <c r="L69" i="36"/>
  <c r="H69" i="36"/>
  <c r="N69" i="36" s="1"/>
  <c r="D69" i="36"/>
  <c r="B69" i="36"/>
  <c r="X68" i="36"/>
  <c r="Z68" i="36" s="1"/>
  <c r="N68" i="36"/>
  <c r="L68" i="36"/>
  <c r="B68" i="36"/>
  <c r="Z67" i="36"/>
  <c r="T67" i="36"/>
  <c r="P67" i="36"/>
  <c r="X67" i="36" s="1"/>
  <c r="L67" i="36"/>
  <c r="H67" i="36"/>
  <c r="N67" i="36" s="1"/>
  <c r="D67" i="36"/>
  <c r="B67" i="36"/>
  <c r="Z66" i="36"/>
  <c r="X66" i="36"/>
  <c r="N66" i="36"/>
  <c r="L66" i="36"/>
  <c r="B66" i="36"/>
  <c r="X65" i="36"/>
  <c r="Z65" i="36" s="1"/>
  <c r="T65" i="36"/>
  <c r="P65" i="36"/>
  <c r="H65" i="36"/>
  <c r="N65" i="36" s="1"/>
  <c r="D65" i="36"/>
  <c r="L65" i="36" s="1"/>
  <c r="B65" i="36"/>
  <c r="X64" i="36"/>
  <c r="Z64" i="36" s="1"/>
  <c r="L64" i="36"/>
  <c r="N64" i="36" s="1"/>
  <c r="B64" i="36"/>
  <c r="X63" i="36"/>
  <c r="T63" i="36"/>
  <c r="Z63" i="36" s="1"/>
  <c r="P63" i="36"/>
  <c r="H63" i="36"/>
  <c r="D63" i="36"/>
  <c r="L63" i="36" s="1"/>
  <c r="B63" i="36"/>
  <c r="Z62" i="36"/>
  <c r="X62" i="36"/>
  <c r="R62" i="36"/>
  <c r="N62" i="36"/>
  <c r="L62" i="36"/>
  <c r="B62" i="36"/>
  <c r="X61" i="36"/>
  <c r="T61" i="36"/>
  <c r="Z61" i="36" s="1"/>
  <c r="P61" i="36"/>
  <c r="H61" i="36"/>
  <c r="D61" i="36"/>
  <c r="L61" i="36" s="1"/>
  <c r="N61" i="36" s="1"/>
  <c r="B61" i="36"/>
  <c r="Z60" i="36"/>
  <c r="X60" i="36"/>
  <c r="L60" i="36"/>
  <c r="N60" i="36" s="1"/>
  <c r="B60" i="36"/>
  <c r="X59" i="36"/>
  <c r="Z59" i="36" s="1"/>
  <c r="L59" i="36"/>
  <c r="N59" i="36" s="1"/>
  <c r="B59" i="36"/>
  <c r="Z58" i="36"/>
  <c r="X58" i="36"/>
  <c r="N58" i="36"/>
  <c r="L58" i="36"/>
  <c r="B58" i="36"/>
  <c r="X57" i="36"/>
  <c r="Z57" i="36" s="1"/>
  <c r="T57" i="36"/>
  <c r="P57" i="36"/>
  <c r="H57" i="36"/>
  <c r="D57" i="36"/>
  <c r="L57" i="36" s="1"/>
  <c r="B57" i="36"/>
  <c r="X56" i="36"/>
  <c r="Z56" i="36" s="1"/>
  <c r="L56" i="36"/>
  <c r="N56" i="36" s="1"/>
  <c r="B56" i="36"/>
  <c r="X55" i="36"/>
  <c r="T55" i="36"/>
  <c r="Z55" i="36" s="1"/>
  <c r="P55" i="36"/>
  <c r="H55" i="36"/>
  <c r="D55" i="36"/>
  <c r="L55" i="36" s="1"/>
  <c r="B55" i="36"/>
  <c r="Z54" i="36"/>
  <c r="X54" i="36"/>
  <c r="N54" i="36"/>
  <c r="L54" i="36"/>
  <c r="B54" i="36"/>
  <c r="X53" i="36"/>
  <c r="T53" i="36"/>
  <c r="Z53" i="36" s="1"/>
  <c r="P53" i="36"/>
  <c r="H53" i="36"/>
  <c r="D53" i="36"/>
  <c r="L53" i="36" s="1"/>
  <c r="N53" i="36" s="1"/>
  <c r="B53" i="36"/>
  <c r="Z52" i="36"/>
  <c r="X52" i="36"/>
  <c r="L52" i="36"/>
  <c r="N52" i="36" s="1"/>
  <c r="B52" i="36"/>
  <c r="T51" i="36"/>
  <c r="Z51" i="36" s="1"/>
  <c r="P51" i="36"/>
  <c r="X51" i="36" s="1"/>
  <c r="L51" i="36"/>
  <c r="N51" i="36" s="1"/>
  <c r="J51" i="36"/>
  <c r="H51" i="36"/>
  <c r="D51" i="36"/>
  <c r="B51" i="36"/>
  <c r="Z50" i="36"/>
  <c r="X50" i="36"/>
  <c r="N50" i="36"/>
  <c r="L50" i="36"/>
  <c r="B50" i="36"/>
  <c r="X49" i="36"/>
  <c r="Z49" i="36" s="1"/>
  <c r="L49" i="36"/>
  <c r="N49" i="36" s="1"/>
  <c r="B49" i="36"/>
  <c r="X48" i="36"/>
  <c r="Z48" i="36" s="1"/>
  <c r="L48" i="36"/>
  <c r="N48" i="36" s="1"/>
  <c r="B48" i="36"/>
  <c r="X47" i="36"/>
  <c r="Z47" i="36" s="1"/>
  <c r="N47" i="36"/>
  <c r="L47" i="36"/>
  <c r="B47" i="36"/>
  <c r="Z46" i="36"/>
  <c r="X46" i="36"/>
  <c r="N46" i="36"/>
  <c r="L46" i="36"/>
  <c r="F46" i="36"/>
  <c r="B46" i="36"/>
  <c r="X45" i="36"/>
  <c r="Z45" i="36" s="1"/>
  <c r="L45" i="36"/>
  <c r="N45" i="36" s="1"/>
  <c r="B45" i="36"/>
  <c r="X44" i="36"/>
  <c r="Z44" i="36" s="1"/>
  <c r="L44" i="36"/>
  <c r="N44" i="36" s="1"/>
  <c r="B44" i="36"/>
  <c r="X43" i="36"/>
  <c r="T43" i="36"/>
  <c r="Z43" i="36" s="1"/>
  <c r="P43" i="36"/>
  <c r="H43" i="36"/>
  <c r="N43" i="36" s="1"/>
  <c r="D43" i="36"/>
  <c r="L43" i="36" s="1"/>
  <c r="B43" i="36"/>
  <c r="Z42" i="36"/>
  <c r="X42" i="36"/>
  <c r="N42" i="36"/>
  <c r="L42" i="36"/>
  <c r="B42" i="36"/>
  <c r="X41" i="36"/>
  <c r="Z41" i="36" s="1"/>
  <c r="N41" i="36"/>
  <c r="L41" i="36"/>
  <c r="J41" i="36"/>
  <c r="B41" i="36"/>
  <c r="X40" i="36"/>
  <c r="Z40" i="36" s="1"/>
  <c r="N40" i="36"/>
  <c r="L40" i="36"/>
  <c r="B40" i="36"/>
  <c r="Z39" i="36"/>
  <c r="X39" i="36"/>
  <c r="L39" i="36"/>
  <c r="N39" i="36" s="1"/>
  <c r="B39" i="36"/>
  <c r="X38" i="36"/>
  <c r="Z38" i="36" s="1"/>
  <c r="N38" i="36"/>
  <c r="L38" i="36"/>
  <c r="B38" i="36"/>
  <c r="X37" i="36"/>
  <c r="Z37" i="36" s="1"/>
  <c r="N37" i="36"/>
  <c r="L37" i="36"/>
  <c r="B37" i="36"/>
  <c r="X36" i="36"/>
  <c r="Z36" i="36" s="1"/>
  <c r="N36" i="36"/>
  <c r="L36" i="36"/>
  <c r="B36" i="36"/>
  <c r="Z35" i="36"/>
  <c r="X35" i="36"/>
  <c r="L35" i="36"/>
  <c r="N35" i="36" s="1"/>
  <c r="B35" i="36"/>
  <c r="X34" i="36"/>
  <c r="Z34" i="36" s="1"/>
  <c r="N34" i="36"/>
  <c r="L34" i="36"/>
  <c r="B34" i="36"/>
  <c r="X33" i="36"/>
  <c r="T33" i="36"/>
  <c r="Z33" i="36" s="1"/>
  <c r="P33" i="36"/>
  <c r="N33" i="36"/>
  <c r="H33" i="36"/>
  <c r="D33" i="36"/>
  <c r="L33" i="36" s="1"/>
  <c r="B33" i="36"/>
  <c r="T32" i="36"/>
  <c r="P32" i="36"/>
  <c r="X32" i="36" s="1"/>
  <c r="H32" i="36"/>
  <c r="L32" i="36" s="1"/>
  <c r="D32" i="36"/>
  <c r="Z28" i="36"/>
  <c r="X28" i="36"/>
  <c r="L28" i="36"/>
  <c r="N28" i="36" s="1"/>
  <c r="B28" i="36"/>
  <c r="Z27" i="36"/>
  <c r="X27" i="36"/>
  <c r="L27" i="36"/>
  <c r="N27" i="36" s="1"/>
  <c r="B27" i="36"/>
  <c r="T26" i="36"/>
  <c r="X26" i="36" s="1"/>
  <c r="P26" i="36"/>
  <c r="H26" i="36"/>
  <c r="D26" i="36"/>
  <c r="L26" i="36" s="1"/>
  <c r="T24" i="36"/>
  <c r="Z24" i="36" s="1"/>
  <c r="P24" i="36"/>
  <c r="X24" i="36" s="1"/>
  <c r="H24" i="36"/>
  <c r="N24" i="36" s="1"/>
  <c r="D24" i="36"/>
  <c r="L24" i="36" s="1"/>
  <c r="B24" i="36"/>
  <c r="T23" i="36"/>
  <c r="P23" i="36"/>
  <c r="H23" i="36"/>
  <c r="D23" i="36"/>
  <c r="L23" i="36" s="1"/>
  <c r="B23" i="36"/>
  <c r="T22" i="36"/>
  <c r="P22" i="36"/>
  <c r="X22" i="36" s="1"/>
  <c r="Z22" i="36" s="1"/>
  <c r="L22" i="36"/>
  <c r="N22" i="36" s="1"/>
  <c r="H22" i="36"/>
  <c r="D22" i="36"/>
  <c r="B22" i="36"/>
  <c r="T21" i="36"/>
  <c r="P21" i="36"/>
  <c r="X21" i="36" s="1"/>
  <c r="Z21" i="36" s="1"/>
  <c r="H21" i="36"/>
  <c r="D21" i="36"/>
  <c r="B21" i="36"/>
  <c r="T20" i="36"/>
  <c r="Z20" i="36" s="1"/>
  <c r="P20" i="36"/>
  <c r="X20" i="36" s="1"/>
  <c r="H20" i="36"/>
  <c r="D20" i="36"/>
  <c r="L20" i="36" s="1"/>
  <c r="B20" i="36"/>
  <c r="T19" i="36"/>
  <c r="P19" i="36"/>
  <c r="H19" i="36"/>
  <c r="D19" i="36"/>
  <c r="L19" i="36" s="1"/>
  <c r="B19" i="36"/>
  <c r="T18" i="36"/>
  <c r="P18" i="36"/>
  <c r="X18" i="36" s="1"/>
  <c r="Z18" i="36" s="1"/>
  <c r="L18" i="36"/>
  <c r="N18" i="36" s="1"/>
  <c r="H18" i="36"/>
  <c r="D18" i="36"/>
  <c r="B18" i="36"/>
  <c r="T17" i="36"/>
  <c r="P17" i="36"/>
  <c r="X17" i="36" s="1"/>
  <c r="Z17" i="36" s="1"/>
  <c r="H17" i="36"/>
  <c r="N17" i="36" s="1"/>
  <c r="D17" i="36"/>
  <c r="B17" i="36"/>
  <c r="T16" i="36"/>
  <c r="P16" i="36"/>
  <c r="X16" i="36" s="1"/>
  <c r="H16" i="36"/>
  <c r="N16" i="36" s="1"/>
  <c r="D16" i="36"/>
  <c r="L16" i="36" s="1"/>
  <c r="B16" i="36"/>
  <c r="T15" i="36"/>
  <c r="P15" i="36"/>
  <c r="H15" i="36"/>
  <c r="D15" i="36"/>
  <c r="L15" i="36" s="1"/>
  <c r="B15" i="36"/>
  <c r="T14" i="36"/>
  <c r="P14" i="36"/>
  <c r="X14" i="36" s="1"/>
  <c r="Z14" i="36" s="1"/>
  <c r="L14" i="36"/>
  <c r="N14" i="36" s="1"/>
  <c r="H14" i="36"/>
  <c r="D14" i="36"/>
  <c r="B14" i="36"/>
  <c r="T13" i="36"/>
  <c r="P13" i="36"/>
  <c r="P12" i="36" s="1"/>
  <c r="R82" i="36" s="1"/>
  <c r="H13" i="36"/>
  <c r="H12" i="36" s="1"/>
  <c r="D13" i="36"/>
  <c r="D12" i="36" s="1"/>
  <c r="B13" i="36"/>
  <c r="D4" i="36"/>
  <c r="Z93" i="33"/>
  <c r="X93" i="33"/>
  <c r="N93" i="33"/>
  <c r="L93" i="33"/>
  <c r="X89" i="33"/>
  <c r="T89" i="33"/>
  <c r="Z89" i="33" s="1"/>
  <c r="P89" i="33"/>
  <c r="H89" i="33"/>
  <c r="N89" i="33" s="1"/>
  <c r="D89" i="33"/>
  <c r="L89" i="33" s="1"/>
  <c r="B89" i="33"/>
  <c r="T88" i="33"/>
  <c r="P88" i="33"/>
  <c r="L88" i="33"/>
  <c r="N88" i="33" s="1"/>
  <c r="H88" i="33"/>
  <c r="D88" i="33"/>
  <c r="B88" i="33"/>
  <c r="Z87" i="33"/>
  <c r="X87" i="33"/>
  <c r="T87" i="33"/>
  <c r="P87" i="33"/>
  <c r="H87" i="33"/>
  <c r="D87" i="33"/>
  <c r="L87" i="33" s="1"/>
  <c r="B87" i="33"/>
  <c r="X86" i="33"/>
  <c r="Z86" i="33" s="1"/>
  <c r="T86" i="33"/>
  <c r="P86" i="33"/>
  <c r="N86" i="33"/>
  <c r="H86" i="33"/>
  <c r="D86" i="33"/>
  <c r="L86" i="33" s="1"/>
  <c r="B86" i="33"/>
  <c r="Z85" i="33"/>
  <c r="T85" i="33"/>
  <c r="P85" i="33"/>
  <c r="X85" i="33" s="1"/>
  <c r="L85" i="33"/>
  <c r="H85" i="33"/>
  <c r="N85" i="33" s="1"/>
  <c r="D85" i="33"/>
  <c r="B85" i="33"/>
  <c r="T84" i="33"/>
  <c r="X84" i="33" s="1"/>
  <c r="P84" i="33"/>
  <c r="H84" i="33"/>
  <c r="D84" i="33"/>
  <c r="B84" i="33"/>
  <c r="P83" i="33"/>
  <c r="Z81" i="33"/>
  <c r="X81" i="33"/>
  <c r="N81" i="33"/>
  <c r="L81" i="33"/>
  <c r="B81" i="33"/>
  <c r="Z80" i="33"/>
  <c r="X80" i="33"/>
  <c r="T80" i="33"/>
  <c r="P80" i="33"/>
  <c r="N80" i="33"/>
  <c r="H80" i="33"/>
  <c r="D80" i="33"/>
  <c r="L80" i="33" s="1"/>
  <c r="B80" i="33"/>
  <c r="Z79" i="33"/>
  <c r="X79" i="33"/>
  <c r="N79" i="33"/>
  <c r="L79" i="33"/>
  <c r="B79" i="33"/>
  <c r="X78" i="33"/>
  <c r="T78" i="33"/>
  <c r="P78" i="33"/>
  <c r="L78" i="33"/>
  <c r="N78" i="33" s="1"/>
  <c r="H78" i="33"/>
  <c r="D78" i="33"/>
  <c r="B78" i="33"/>
  <c r="Z77" i="33"/>
  <c r="X77" i="33"/>
  <c r="L77" i="33"/>
  <c r="N77" i="33" s="1"/>
  <c r="B77" i="33"/>
  <c r="Z76" i="33"/>
  <c r="X76" i="33"/>
  <c r="L76" i="33"/>
  <c r="N76" i="33" s="1"/>
  <c r="B76" i="33"/>
  <c r="Z75" i="33"/>
  <c r="X75" i="33"/>
  <c r="L75" i="33"/>
  <c r="N75" i="33" s="1"/>
  <c r="B75" i="33"/>
  <c r="X74" i="33"/>
  <c r="Z74" i="33" s="1"/>
  <c r="N74" i="33"/>
  <c r="L74" i="33"/>
  <c r="B74" i="33"/>
  <c r="Z73" i="33"/>
  <c r="X73" i="33"/>
  <c r="N73" i="33"/>
  <c r="L73" i="33"/>
  <c r="B73" i="33"/>
  <c r="T72" i="33"/>
  <c r="P72" i="33"/>
  <c r="X72" i="33" s="1"/>
  <c r="H72" i="33"/>
  <c r="L72" i="33" s="1"/>
  <c r="D72" i="33"/>
  <c r="B72" i="33"/>
  <c r="X71" i="33"/>
  <c r="Z71" i="33" s="1"/>
  <c r="N71" i="33"/>
  <c r="L71" i="33"/>
  <c r="B71" i="33"/>
  <c r="T70" i="33"/>
  <c r="Z70" i="33" s="1"/>
  <c r="P70" i="33"/>
  <c r="X70" i="33" s="1"/>
  <c r="L70" i="33"/>
  <c r="N70" i="33" s="1"/>
  <c r="H70" i="33"/>
  <c r="D70" i="33"/>
  <c r="B70" i="33"/>
  <c r="X69" i="33"/>
  <c r="Z69" i="33" s="1"/>
  <c r="N69" i="33"/>
  <c r="L69" i="33"/>
  <c r="B69" i="33"/>
  <c r="X68" i="33"/>
  <c r="Z68" i="33" s="1"/>
  <c r="N68" i="33"/>
  <c r="L68" i="33"/>
  <c r="B68" i="33"/>
  <c r="Z67" i="33"/>
  <c r="T67" i="33"/>
  <c r="P67" i="33"/>
  <c r="X67" i="33" s="1"/>
  <c r="L67" i="33"/>
  <c r="H67" i="33"/>
  <c r="N67" i="33" s="1"/>
  <c r="D67" i="33"/>
  <c r="B67" i="33"/>
  <c r="X66" i="33"/>
  <c r="Z66" i="33" s="1"/>
  <c r="N66" i="33"/>
  <c r="L66" i="33"/>
  <c r="B66" i="33"/>
  <c r="Z65" i="33"/>
  <c r="X65" i="33"/>
  <c r="T65" i="33"/>
  <c r="P65" i="33"/>
  <c r="H65" i="33"/>
  <c r="D65" i="33"/>
  <c r="L65" i="33" s="1"/>
  <c r="B65" i="33"/>
  <c r="X64" i="33"/>
  <c r="Z64" i="33" s="1"/>
  <c r="N64" i="33"/>
  <c r="L64" i="33"/>
  <c r="B64" i="33"/>
  <c r="X63" i="33"/>
  <c r="T63" i="33"/>
  <c r="Z63" i="33" s="1"/>
  <c r="P63" i="33"/>
  <c r="H63" i="33"/>
  <c r="N63" i="33" s="1"/>
  <c r="D63" i="33"/>
  <c r="L63" i="33" s="1"/>
  <c r="B63" i="33"/>
  <c r="X62" i="33"/>
  <c r="Z62" i="33" s="1"/>
  <c r="L62" i="33"/>
  <c r="N62" i="33" s="1"/>
  <c r="B62" i="33"/>
  <c r="X61" i="33"/>
  <c r="Z61" i="33" s="1"/>
  <c r="N61" i="33"/>
  <c r="L61" i="33"/>
  <c r="B61" i="33"/>
  <c r="X60" i="33"/>
  <c r="Z60" i="33" s="1"/>
  <c r="T60" i="33"/>
  <c r="P60" i="33"/>
  <c r="H60" i="33"/>
  <c r="D60" i="33"/>
  <c r="B60" i="33"/>
  <c r="Z59" i="33"/>
  <c r="X59" i="33"/>
  <c r="L59" i="33"/>
  <c r="N59" i="33" s="1"/>
  <c r="B59" i="33"/>
  <c r="T58" i="33"/>
  <c r="X58" i="33" s="1"/>
  <c r="P58" i="33"/>
  <c r="H58" i="33"/>
  <c r="N58" i="33" s="1"/>
  <c r="D58" i="33"/>
  <c r="L58" i="33" s="1"/>
  <c r="B58" i="33"/>
  <c r="X57" i="33"/>
  <c r="Z57" i="33" s="1"/>
  <c r="L57" i="33"/>
  <c r="N57" i="33" s="1"/>
  <c r="B57" i="33"/>
  <c r="X56" i="33"/>
  <c r="Z56" i="33" s="1"/>
  <c r="T56" i="33"/>
  <c r="P56" i="33"/>
  <c r="H56" i="33"/>
  <c r="D56" i="33"/>
  <c r="L56" i="33" s="1"/>
  <c r="N56" i="33" s="1"/>
  <c r="B56" i="33"/>
  <c r="Z55" i="33"/>
  <c r="X55" i="33"/>
  <c r="N55" i="33"/>
  <c r="L55" i="33"/>
  <c r="B55" i="33"/>
  <c r="T54" i="33"/>
  <c r="P54" i="33"/>
  <c r="N54" i="33"/>
  <c r="L54" i="33"/>
  <c r="H54" i="33"/>
  <c r="D54" i="33"/>
  <c r="B54" i="33"/>
  <c r="Z53" i="33"/>
  <c r="X53" i="33"/>
  <c r="N53" i="33"/>
  <c r="L53" i="33"/>
  <c r="J53" i="33"/>
  <c r="B53" i="33"/>
  <c r="Z52" i="33"/>
  <c r="X52" i="33"/>
  <c r="L52" i="33"/>
  <c r="N52" i="33" s="1"/>
  <c r="B52" i="33"/>
  <c r="Z51" i="33"/>
  <c r="X51" i="33"/>
  <c r="L51" i="33"/>
  <c r="N51" i="33" s="1"/>
  <c r="B51" i="33"/>
  <c r="X50" i="33"/>
  <c r="Z50" i="33" s="1"/>
  <c r="N50" i="33"/>
  <c r="L50" i="33"/>
  <c r="B50" i="33"/>
  <c r="Z49" i="33"/>
  <c r="X49" i="33"/>
  <c r="T49" i="33"/>
  <c r="P49" i="33"/>
  <c r="N49" i="33"/>
  <c r="H49" i="33"/>
  <c r="D49" i="33"/>
  <c r="L49" i="33" s="1"/>
  <c r="B49" i="33"/>
  <c r="X48" i="33"/>
  <c r="Z48" i="33" s="1"/>
  <c r="L48" i="33"/>
  <c r="N48" i="33" s="1"/>
  <c r="B48" i="33"/>
  <c r="X47" i="33"/>
  <c r="Z47" i="33" s="1"/>
  <c r="N47" i="33"/>
  <c r="L47" i="33"/>
  <c r="B47" i="33"/>
  <c r="Z46" i="33"/>
  <c r="X46" i="33"/>
  <c r="L46" i="33"/>
  <c r="N46" i="33" s="1"/>
  <c r="B46" i="33"/>
  <c r="X45" i="33"/>
  <c r="Z45" i="33" s="1"/>
  <c r="L45" i="33"/>
  <c r="N45" i="33" s="1"/>
  <c r="B45" i="33"/>
  <c r="X44" i="33"/>
  <c r="Z44" i="33" s="1"/>
  <c r="L44" i="33"/>
  <c r="N44" i="33" s="1"/>
  <c r="B44" i="33"/>
  <c r="X43" i="33"/>
  <c r="Z43" i="33" s="1"/>
  <c r="N43" i="33"/>
  <c r="L43" i="33"/>
  <c r="B43" i="33"/>
  <c r="Z42" i="33"/>
  <c r="X42" i="33"/>
  <c r="L42" i="33"/>
  <c r="N42" i="33" s="1"/>
  <c r="B42" i="33"/>
  <c r="X41" i="33"/>
  <c r="Z41" i="33" s="1"/>
  <c r="L41" i="33"/>
  <c r="N41" i="33" s="1"/>
  <c r="B41" i="33"/>
  <c r="X40" i="33"/>
  <c r="Z40" i="33" s="1"/>
  <c r="T40" i="33"/>
  <c r="P40" i="33"/>
  <c r="H40" i="33"/>
  <c r="D40" i="33"/>
  <c r="L40" i="33" s="1"/>
  <c r="N40" i="33" s="1"/>
  <c r="B40" i="33"/>
  <c r="Z39" i="33"/>
  <c r="T39" i="33"/>
  <c r="P39" i="33"/>
  <c r="X39" i="33" s="1"/>
  <c r="H39" i="33"/>
  <c r="D39" i="33"/>
  <c r="Z35" i="33"/>
  <c r="X35" i="33"/>
  <c r="N35" i="33"/>
  <c r="L35" i="33"/>
  <c r="B35" i="33"/>
  <c r="X34" i="33"/>
  <c r="Z34" i="33" s="1"/>
  <c r="L34" i="33"/>
  <c r="N34" i="33" s="1"/>
  <c r="B34" i="33"/>
  <c r="X33" i="33"/>
  <c r="Z33" i="33" s="1"/>
  <c r="L33" i="33"/>
  <c r="N33" i="33" s="1"/>
  <c r="J33" i="33"/>
  <c r="B33" i="33"/>
  <c r="X32" i="33"/>
  <c r="Z32" i="33" s="1"/>
  <c r="N32" i="33"/>
  <c r="L32" i="33"/>
  <c r="B32" i="33"/>
  <c r="Z31" i="33"/>
  <c r="X31" i="33"/>
  <c r="N31" i="33"/>
  <c r="L31" i="33"/>
  <c r="B31" i="33"/>
  <c r="X30" i="33"/>
  <c r="Z30" i="33" s="1"/>
  <c r="T30" i="33"/>
  <c r="P30" i="33"/>
  <c r="N30" i="33"/>
  <c r="L30" i="33"/>
  <c r="H30" i="33"/>
  <c r="D30" i="33"/>
  <c r="T28" i="33"/>
  <c r="Z28" i="33" s="1"/>
  <c r="P28" i="33"/>
  <c r="H28" i="33"/>
  <c r="N28" i="33" s="1"/>
  <c r="D28" i="33"/>
  <c r="L28" i="33" s="1"/>
  <c r="B28" i="33"/>
  <c r="T27" i="33"/>
  <c r="P27" i="33"/>
  <c r="X27" i="33" s="1"/>
  <c r="H27" i="33"/>
  <c r="L27" i="33" s="1"/>
  <c r="D27" i="33"/>
  <c r="B27" i="33"/>
  <c r="T26" i="33"/>
  <c r="P26" i="33"/>
  <c r="H26" i="33"/>
  <c r="N26" i="33" s="1"/>
  <c r="D26" i="33"/>
  <c r="L26" i="33" s="1"/>
  <c r="B26" i="33"/>
  <c r="T25" i="33"/>
  <c r="P25" i="33"/>
  <c r="X25" i="33" s="1"/>
  <c r="Z25" i="33" s="1"/>
  <c r="N25" i="33"/>
  <c r="H25" i="33"/>
  <c r="D25" i="33"/>
  <c r="L25" i="33" s="1"/>
  <c r="B25" i="33"/>
  <c r="T24" i="33"/>
  <c r="P24" i="33"/>
  <c r="H24" i="33"/>
  <c r="N24" i="33" s="1"/>
  <c r="D24" i="33"/>
  <c r="L24" i="33" s="1"/>
  <c r="B24" i="33"/>
  <c r="X23" i="33"/>
  <c r="T23" i="33"/>
  <c r="P23" i="33"/>
  <c r="L23" i="33"/>
  <c r="N23" i="33" s="1"/>
  <c r="H23" i="33"/>
  <c r="D23" i="33"/>
  <c r="B23" i="33"/>
  <c r="T22" i="33"/>
  <c r="X22" i="33" s="1"/>
  <c r="P22" i="33"/>
  <c r="N22" i="33"/>
  <c r="H22" i="33"/>
  <c r="D22" i="33"/>
  <c r="L22" i="33" s="1"/>
  <c r="B22" i="33"/>
  <c r="Z21" i="33"/>
  <c r="T21" i="33"/>
  <c r="P21" i="33"/>
  <c r="X21" i="33" s="1"/>
  <c r="N21" i="33"/>
  <c r="H21" i="33"/>
  <c r="D21" i="33"/>
  <c r="L21" i="33" s="1"/>
  <c r="B21" i="33"/>
  <c r="T20" i="33"/>
  <c r="P20" i="33"/>
  <c r="X20" i="33" s="1"/>
  <c r="Z20" i="33" s="1"/>
  <c r="H20" i="33"/>
  <c r="D20" i="33"/>
  <c r="B20" i="33"/>
  <c r="X19" i="33"/>
  <c r="T19" i="33"/>
  <c r="P19" i="33"/>
  <c r="H19" i="33"/>
  <c r="N19" i="33" s="1"/>
  <c r="D19" i="33"/>
  <c r="B19" i="33"/>
  <c r="X18" i="33"/>
  <c r="Z18" i="33" s="1"/>
  <c r="T18" i="33"/>
  <c r="P18" i="33"/>
  <c r="H18" i="33"/>
  <c r="D18" i="33"/>
  <c r="L18" i="33" s="1"/>
  <c r="N18" i="33" s="1"/>
  <c r="B18" i="33"/>
  <c r="Z17" i="33"/>
  <c r="T17" i="33"/>
  <c r="P17" i="33"/>
  <c r="X17" i="33" s="1"/>
  <c r="L17" i="33"/>
  <c r="N17" i="33" s="1"/>
  <c r="H17" i="33"/>
  <c r="D17" i="33"/>
  <c r="B17" i="33"/>
  <c r="T16" i="33"/>
  <c r="P16" i="33"/>
  <c r="X16" i="33" s="1"/>
  <c r="L16" i="33"/>
  <c r="H16" i="33"/>
  <c r="D16" i="33"/>
  <c r="B16" i="33"/>
  <c r="X15" i="33"/>
  <c r="T15" i="33"/>
  <c r="P15" i="33"/>
  <c r="H15" i="33"/>
  <c r="L15" i="33" s="1"/>
  <c r="N15" i="33" s="1"/>
  <c r="D15" i="33"/>
  <c r="B15" i="33"/>
  <c r="T14" i="33"/>
  <c r="X14" i="33" s="1"/>
  <c r="Z14" i="33" s="1"/>
  <c r="P14" i="33"/>
  <c r="H14" i="33"/>
  <c r="H12" i="33" s="1"/>
  <c r="J56" i="33" s="1"/>
  <c r="D14" i="33"/>
  <c r="B14" i="33"/>
  <c r="T13" i="33"/>
  <c r="Z13" i="33" s="1"/>
  <c r="P13" i="33"/>
  <c r="X13" i="33" s="1"/>
  <c r="H13" i="33"/>
  <c r="D13" i="33"/>
  <c r="L13" i="33" s="1"/>
  <c r="N13" i="33" s="1"/>
  <c r="B13" i="33"/>
  <c r="D4" i="33"/>
  <c r="X147" i="30"/>
  <c r="Z147" i="30" s="1"/>
  <c r="L147" i="30"/>
  <c r="N147" i="30" s="1"/>
  <c r="T143" i="30"/>
  <c r="P143" i="30"/>
  <c r="L143" i="30"/>
  <c r="H143" i="30"/>
  <c r="N143" i="30" s="1"/>
  <c r="D143" i="30"/>
  <c r="B143" i="30"/>
  <c r="P142" i="30"/>
  <c r="H142" i="30"/>
  <c r="D142" i="30"/>
  <c r="X140" i="30"/>
  <c r="Z140" i="30" s="1"/>
  <c r="L140" i="30"/>
  <c r="N140" i="30" s="1"/>
  <c r="B140" i="30"/>
  <c r="Z139" i="30"/>
  <c r="T139" i="30"/>
  <c r="P139" i="30"/>
  <c r="X139" i="30" s="1"/>
  <c r="H139" i="30"/>
  <c r="D139" i="30"/>
  <c r="L139" i="30" s="1"/>
  <c r="B139" i="30"/>
  <c r="X138" i="30"/>
  <c r="Z138" i="30" s="1"/>
  <c r="N138" i="30"/>
  <c r="L138" i="30"/>
  <c r="B138" i="30"/>
  <c r="Z137" i="30"/>
  <c r="X137" i="30"/>
  <c r="N137" i="30"/>
  <c r="L137" i="30"/>
  <c r="B137" i="30"/>
  <c r="T136" i="30"/>
  <c r="P136" i="30"/>
  <c r="X136" i="30" s="1"/>
  <c r="H136" i="30"/>
  <c r="L136" i="30" s="1"/>
  <c r="D136" i="30"/>
  <c r="B136" i="30"/>
  <c r="X135" i="30"/>
  <c r="Z135" i="30" s="1"/>
  <c r="N135" i="30"/>
  <c r="L135" i="30"/>
  <c r="B135" i="30"/>
  <c r="T134" i="30"/>
  <c r="P134" i="30"/>
  <c r="X134" i="30" s="1"/>
  <c r="Z134" i="30" s="1"/>
  <c r="L134" i="30"/>
  <c r="N134" i="30" s="1"/>
  <c r="H134" i="30"/>
  <c r="D134" i="30"/>
  <c r="B134" i="30"/>
  <c r="X133" i="30"/>
  <c r="Z133" i="30" s="1"/>
  <c r="L133" i="30"/>
  <c r="N133" i="30" s="1"/>
  <c r="B133" i="30"/>
  <c r="X132" i="30"/>
  <c r="Z132" i="30" s="1"/>
  <c r="T132" i="30"/>
  <c r="P132" i="30"/>
  <c r="H132" i="30"/>
  <c r="D132" i="30"/>
  <c r="B132" i="30"/>
  <c r="X131" i="30"/>
  <c r="Z131" i="30" s="1"/>
  <c r="L131" i="30"/>
  <c r="N131" i="30" s="1"/>
  <c r="B131" i="30"/>
  <c r="X130" i="30"/>
  <c r="Z130" i="30" s="1"/>
  <c r="N130" i="30"/>
  <c r="L130" i="30"/>
  <c r="B130" i="30"/>
  <c r="X129" i="30"/>
  <c r="Z129" i="30" s="1"/>
  <c r="N129" i="30"/>
  <c r="L129" i="30"/>
  <c r="B129" i="30"/>
  <c r="X128" i="30"/>
  <c r="Z128" i="30" s="1"/>
  <c r="L128" i="30"/>
  <c r="N128" i="30" s="1"/>
  <c r="B128" i="30"/>
  <c r="X127" i="30"/>
  <c r="Z127" i="30" s="1"/>
  <c r="L127" i="30"/>
  <c r="N127" i="30" s="1"/>
  <c r="B127" i="30"/>
  <c r="T126" i="30"/>
  <c r="X126" i="30" s="1"/>
  <c r="P126" i="30"/>
  <c r="H126" i="30"/>
  <c r="N126" i="30" s="1"/>
  <c r="D126" i="30"/>
  <c r="L126" i="30" s="1"/>
  <c r="B126" i="30"/>
  <c r="X125" i="30"/>
  <c r="Z125" i="30" s="1"/>
  <c r="L125" i="30"/>
  <c r="N125" i="30" s="1"/>
  <c r="B125" i="30"/>
  <c r="X124" i="30"/>
  <c r="Z124" i="30" s="1"/>
  <c r="T124" i="30"/>
  <c r="P124" i="30"/>
  <c r="H124" i="30"/>
  <c r="D124" i="30"/>
  <c r="L124" i="30" s="1"/>
  <c r="N124" i="30" s="1"/>
  <c r="B124" i="30"/>
  <c r="Z123" i="30"/>
  <c r="X123" i="30"/>
  <c r="L123" i="30"/>
  <c r="N123" i="30" s="1"/>
  <c r="B123" i="30"/>
  <c r="Z122" i="30"/>
  <c r="X122" i="30"/>
  <c r="L122" i="30"/>
  <c r="N122" i="30" s="1"/>
  <c r="B122" i="30"/>
  <c r="X121" i="30"/>
  <c r="Z121" i="30" s="1"/>
  <c r="N121" i="30"/>
  <c r="L121" i="30"/>
  <c r="B121" i="30"/>
  <c r="X120" i="30"/>
  <c r="Z120" i="30" s="1"/>
  <c r="T120" i="30"/>
  <c r="P120" i="30"/>
  <c r="H120" i="30"/>
  <c r="D120" i="30"/>
  <c r="B120" i="30"/>
  <c r="X119" i="30"/>
  <c r="Z119" i="30" s="1"/>
  <c r="L119" i="30"/>
  <c r="N119" i="30" s="1"/>
  <c r="B119" i="30"/>
  <c r="X118" i="30"/>
  <c r="Z118" i="30" s="1"/>
  <c r="N118" i="30"/>
  <c r="L118" i="30"/>
  <c r="B118" i="30"/>
  <c r="Z117" i="30"/>
  <c r="X117" i="30"/>
  <c r="T117" i="30"/>
  <c r="P117" i="30"/>
  <c r="L117" i="30"/>
  <c r="N117" i="30" s="1"/>
  <c r="H117" i="30"/>
  <c r="D117" i="30"/>
  <c r="B117" i="30"/>
  <c r="X116" i="30"/>
  <c r="Z116" i="30" s="1"/>
  <c r="L116" i="30"/>
  <c r="N116" i="30" s="1"/>
  <c r="B116" i="30"/>
  <c r="X115" i="30"/>
  <c r="Z115" i="30" s="1"/>
  <c r="N115" i="30"/>
  <c r="L115" i="30"/>
  <c r="B115" i="30"/>
  <c r="Z114" i="30"/>
  <c r="X114" i="30"/>
  <c r="N114" i="30"/>
  <c r="L114" i="30"/>
  <c r="B114" i="30"/>
  <c r="T113" i="30"/>
  <c r="P113" i="30"/>
  <c r="L113" i="30"/>
  <c r="H113" i="30"/>
  <c r="N113" i="30" s="1"/>
  <c r="D113" i="30"/>
  <c r="B113" i="30"/>
  <c r="X112" i="30"/>
  <c r="Z112" i="30" s="1"/>
  <c r="L112" i="30"/>
  <c r="N112" i="30" s="1"/>
  <c r="B112" i="30"/>
  <c r="Z111" i="30"/>
  <c r="T111" i="30"/>
  <c r="P111" i="30"/>
  <c r="X111" i="30" s="1"/>
  <c r="H111" i="30"/>
  <c r="D111" i="30"/>
  <c r="L111" i="30" s="1"/>
  <c r="B111" i="30"/>
  <c r="X110" i="30"/>
  <c r="Z110" i="30" s="1"/>
  <c r="N110" i="30"/>
  <c r="L110" i="30"/>
  <c r="B110" i="30"/>
  <c r="Z109" i="30"/>
  <c r="X109" i="30"/>
  <c r="T109" i="30"/>
  <c r="P109" i="30"/>
  <c r="N109" i="30"/>
  <c r="L109" i="30"/>
  <c r="H109" i="30"/>
  <c r="D109" i="30"/>
  <c r="B109" i="30"/>
  <c r="X108" i="30"/>
  <c r="Z108" i="30" s="1"/>
  <c r="L108" i="30"/>
  <c r="N108" i="30" s="1"/>
  <c r="B108" i="30"/>
  <c r="X107" i="30"/>
  <c r="T107" i="30"/>
  <c r="Z107" i="30" s="1"/>
  <c r="P107" i="30"/>
  <c r="H107" i="30"/>
  <c r="D107" i="30"/>
  <c r="B107" i="30"/>
  <c r="Z106" i="30"/>
  <c r="X106" i="30"/>
  <c r="R106" i="30"/>
  <c r="L106" i="30"/>
  <c r="N106" i="30" s="1"/>
  <c r="B106" i="30"/>
  <c r="T105" i="30"/>
  <c r="P105" i="30"/>
  <c r="X105" i="30" s="1"/>
  <c r="N105" i="30"/>
  <c r="H105" i="30"/>
  <c r="D105" i="30"/>
  <c r="L105" i="30" s="1"/>
  <c r="B105" i="30"/>
  <c r="X104" i="30"/>
  <c r="Z104" i="30" s="1"/>
  <c r="N104" i="30"/>
  <c r="L104" i="30"/>
  <c r="B104" i="30"/>
  <c r="X103" i="30"/>
  <c r="Z103" i="30" s="1"/>
  <c r="T103" i="30"/>
  <c r="P103" i="30"/>
  <c r="N103" i="30"/>
  <c r="L103" i="30"/>
  <c r="H103" i="30"/>
  <c r="D103" i="30"/>
  <c r="B103" i="30"/>
  <c r="Z102" i="30"/>
  <c r="X102" i="30"/>
  <c r="N102" i="30"/>
  <c r="L102" i="30"/>
  <c r="B102" i="30"/>
  <c r="X101" i="30"/>
  <c r="Z101" i="30" s="1"/>
  <c r="L101" i="30"/>
  <c r="N101" i="30" s="1"/>
  <c r="B101" i="30"/>
  <c r="X100" i="30"/>
  <c r="Z100" i="30" s="1"/>
  <c r="T100" i="30"/>
  <c r="P100" i="30"/>
  <c r="H100" i="30"/>
  <c r="D100" i="30"/>
  <c r="L100" i="30" s="1"/>
  <c r="N100" i="30" s="1"/>
  <c r="B100" i="30"/>
  <c r="Z99" i="30"/>
  <c r="X99" i="30"/>
  <c r="L99" i="30"/>
  <c r="N99" i="30" s="1"/>
  <c r="B99" i="30"/>
  <c r="T98" i="30"/>
  <c r="P98" i="30"/>
  <c r="L98" i="30"/>
  <c r="N98" i="30" s="1"/>
  <c r="H98" i="30"/>
  <c r="D98" i="30"/>
  <c r="B98" i="30"/>
  <c r="Z97" i="30"/>
  <c r="X97" i="30"/>
  <c r="L97" i="30"/>
  <c r="N97" i="30" s="1"/>
  <c r="B97" i="30"/>
  <c r="T96" i="30"/>
  <c r="Z96" i="30" s="1"/>
  <c r="P96" i="30"/>
  <c r="X96" i="30" s="1"/>
  <c r="H96" i="30"/>
  <c r="L96" i="30" s="1"/>
  <c r="D96" i="30"/>
  <c r="B96" i="30"/>
  <c r="X95" i="30"/>
  <c r="Z95" i="30" s="1"/>
  <c r="N95" i="30"/>
  <c r="L95" i="30"/>
  <c r="B95" i="30"/>
  <c r="Z94" i="30"/>
  <c r="X94" i="30"/>
  <c r="N94" i="30"/>
  <c r="L94" i="30"/>
  <c r="B94" i="30"/>
  <c r="T93" i="30"/>
  <c r="P93" i="30"/>
  <c r="L93" i="30"/>
  <c r="H93" i="30"/>
  <c r="N93" i="30" s="1"/>
  <c r="D93" i="30"/>
  <c r="B93" i="30"/>
  <c r="X92" i="30"/>
  <c r="Z92" i="30" s="1"/>
  <c r="L92" i="30"/>
  <c r="N92" i="30" s="1"/>
  <c r="B92" i="30"/>
  <c r="Z91" i="30"/>
  <c r="T91" i="30"/>
  <c r="P91" i="30"/>
  <c r="X91" i="30" s="1"/>
  <c r="H91" i="30"/>
  <c r="D91" i="30"/>
  <c r="L91" i="30" s="1"/>
  <c r="B91" i="30"/>
  <c r="X90" i="30"/>
  <c r="Z90" i="30" s="1"/>
  <c r="N90" i="30"/>
  <c r="L90" i="30"/>
  <c r="B90" i="30"/>
  <c r="Z89" i="30"/>
  <c r="X89" i="30"/>
  <c r="T89" i="30"/>
  <c r="P89" i="30"/>
  <c r="L89" i="30"/>
  <c r="N89" i="30" s="1"/>
  <c r="H89" i="30"/>
  <c r="D89" i="30"/>
  <c r="B89" i="30"/>
  <c r="X88" i="30"/>
  <c r="Z88" i="30" s="1"/>
  <c r="L88" i="30"/>
  <c r="N88" i="30" s="1"/>
  <c r="B88" i="30"/>
  <c r="X87" i="30"/>
  <c r="T87" i="30"/>
  <c r="Z87" i="30" s="1"/>
  <c r="P87" i="30"/>
  <c r="H87" i="30"/>
  <c r="D87" i="30"/>
  <c r="B87" i="30"/>
  <c r="Z86" i="30"/>
  <c r="X86" i="30"/>
  <c r="R86" i="30"/>
  <c r="N86" i="30"/>
  <c r="L86" i="30"/>
  <c r="B86" i="30"/>
  <c r="X85" i="30"/>
  <c r="Z85" i="30" s="1"/>
  <c r="N85" i="30"/>
  <c r="L85" i="30"/>
  <c r="B85" i="30"/>
  <c r="X84" i="30"/>
  <c r="Z84" i="30" s="1"/>
  <c r="L84" i="30"/>
  <c r="N84" i="30" s="1"/>
  <c r="B84" i="30"/>
  <c r="Z83" i="30"/>
  <c r="X83" i="30"/>
  <c r="L83" i="30"/>
  <c r="N83" i="30" s="1"/>
  <c r="B83" i="30"/>
  <c r="Z82" i="30"/>
  <c r="X82" i="30"/>
  <c r="L82" i="30"/>
  <c r="N82" i="30" s="1"/>
  <c r="B82" i="30"/>
  <c r="T81" i="30"/>
  <c r="Z81" i="30" s="1"/>
  <c r="P81" i="30"/>
  <c r="X81" i="30" s="1"/>
  <c r="N81" i="30"/>
  <c r="H81" i="30"/>
  <c r="D81" i="30"/>
  <c r="L81" i="30" s="1"/>
  <c r="B81" i="30"/>
  <c r="X80" i="30"/>
  <c r="Z80" i="30" s="1"/>
  <c r="L80" i="30"/>
  <c r="N80" i="30" s="1"/>
  <c r="B80" i="30"/>
  <c r="X79" i="30"/>
  <c r="Z79" i="30" s="1"/>
  <c r="L79" i="30"/>
  <c r="N79" i="30" s="1"/>
  <c r="B79" i="30"/>
  <c r="X78" i="30"/>
  <c r="Z78" i="30" s="1"/>
  <c r="N78" i="30"/>
  <c r="L78" i="30"/>
  <c r="B78" i="30"/>
  <c r="Z77" i="30"/>
  <c r="X77" i="30"/>
  <c r="L77" i="30"/>
  <c r="N77" i="30" s="1"/>
  <c r="B77" i="30"/>
  <c r="X76" i="30"/>
  <c r="Z76" i="30" s="1"/>
  <c r="L76" i="30"/>
  <c r="N76" i="30" s="1"/>
  <c r="B76" i="30"/>
  <c r="X75" i="30"/>
  <c r="Z75" i="30" s="1"/>
  <c r="L75" i="30"/>
  <c r="N75" i="30" s="1"/>
  <c r="B75" i="30"/>
  <c r="X74" i="30"/>
  <c r="Z74" i="30" s="1"/>
  <c r="N74" i="30"/>
  <c r="L74" i="30"/>
  <c r="B74" i="30"/>
  <c r="Z73" i="30"/>
  <c r="X73" i="30"/>
  <c r="L73" i="30"/>
  <c r="N73" i="30" s="1"/>
  <c r="B73" i="30"/>
  <c r="T72" i="30"/>
  <c r="Z72" i="30" s="1"/>
  <c r="P72" i="30"/>
  <c r="X72" i="30" s="1"/>
  <c r="H72" i="30"/>
  <c r="L72" i="30" s="1"/>
  <c r="D72" i="30"/>
  <c r="B72" i="30"/>
  <c r="X71" i="30"/>
  <c r="T71" i="30"/>
  <c r="Z71" i="30" s="1"/>
  <c r="P71" i="30"/>
  <c r="H71" i="30"/>
  <c r="D71" i="30"/>
  <c r="X67" i="30"/>
  <c r="Z67" i="30" s="1"/>
  <c r="N67" i="30"/>
  <c r="L67" i="30"/>
  <c r="B67" i="30"/>
  <c r="Z66" i="30"/>
  <c r="X66" i="30"/>
  <c r="N66" i="30"/>
  <c r="L66" i="30"/>
  <c r="B66" i="30"/>
  <c r="Z65" i="30"/>
  <c r="X65" i="30"/>
  <c r="N65" i="30"/>
  <c r="L65" i="30"/>
  <c r="B65" i="30"/>
  <c r="X64" i="30"/>
  <c r="Z64" i="30" s="1"/>
  <c r="L64" i="30"/>
  <c r="N64" i="30" s="1"/>
  <c r="B64" i="30"/>
  <c r="X63" i="30"/>
  <c r="Z63" i="30" s="1"/>
  <c r="N63" i="30"/>
  <c r="L63" i="30"/>
  <c r="B63" i="30"/>
  <c r="Z62" i="30"/>
  <c r="X62" i="30"/>
  <c r="N62" i="30"/>
  <c r="L62" i="30"/>
  <c r="B62" i="30"/>
  <c r="Z61" i="30"/>
  <c r="X61" i="30"/>
  <c r="N61" i="30"/>
  <c r="L61" i="30"/>
  <c r="B61" i="30"/>
  <c r="X60" i="30"/>
  <c r="Z60" i="30" s="1"/>
  <c r="L60" i="30"/>
  <c r="N60" i="30" s="1"/>
  <c r="B60" i="30"/>
  <c r="X59" i="30"/>
  <c r="Z59" i="30" s="1"/>
  <c r="N59" i="30"/>
  <c r="L59" i="30"/>
  <c r="B59" i="30"/>
  <c r="Z58" i="30"/>
  <c r="X58" i="30"/>
  <c r="L58" i="30"/>
  <c r="N58" i="30" s="1"/>
  <c r="B58" i="30"/>
  <c r="Z57" i="30"/>
  <c r="X57" i="30"/>
  <c r="N57" i="30"/>
  <c r="L57" i="30"/>
  <c r="B57" i="30"/>
  <c r="X56" i="30"/>
  <c r="Z56" i="30" s="1"/>
  <c r="N56" i="30"/>
  <c r="L56" i="30"/>
  <c r="B56" i="30"/>
  <c r="X55" i="30"/>
  <c r="Z55" i="30" s="1"/>
  <c r="N55" i="30"/>
  <c r="L55" i="30"/>
  <c r="B55" i="30"/>
  <c r="Z54" i="30"/>
  <c r="X54" i="30"/>
  <c r="L54" i="30"/>
  <c r="N54" i="30" s="1"/>
  <c r="B54" i="30"/>
  <c r="X53" i="30"/>
  <c r="Z53" i="30" s="1"/>
  <c r="L53" i="30"/>
  <c r="N53" i="30" s="1"/>
  <c r="B53" i="30"/>
  <c r="X52" i="30"/>
  <c r="Z52" i="30" s="1"/>
  <c r="L52" i="30"/>
  <c r="N52" i="30" s="1"/>
  <c r="B52" i="30"/>
  <c r="X51" i="30"/>
  <c r="Z51" i="30" s="1"/>
  <c r="N51" i="30"/>
  <c r="L51" i="30"/>
  <c r="B51" i="30"/>
  <c r="Z50" i="30"/>
  <c r="X50" i="30"/>
  <c r="L50" i="30"/>
  <c r="N50" i="30" s="1"/>
  <c r="B50" i="30"/>
  <c r="X49" i="30"/>
  <c r="Z49" i="30" s="1"/>
  <c r="N49" i="30"/>
  <c r="L49" i="30"/>
  <c r="B49" i="30"/>
  <c r="X48" i="30"/>
  <c r="Z48" i="30" s="1"/>
  <c r="L48" i="30"/>
  <c r="N48" i="30" s="1"/>
  <c r="B48" i="30"/>
  <c r="X47" i="30"/>
  <c r="Z47" i="30" s="1"/>
  <c r="N47" i="30"/>
  <c r="L47" i="30"/>
  <c r="B47" i="30"/>
  <c r="Z46" i="30"/>
  <c r="X46" i="30"/>
  <c r="L46" i="30"/>
  <c r="N46" i="30" s="1"/>
  <c r="B46" i="30"/>
  <c r="X45" i="30"/>
  <c r="Z45" i="30" s="1"/>
  <c r="N45" i="30"/>
  <c r="L45" i="30"/>
  <c r="B45" i="30"/>
  <c r="X44" i="30"/>
  <c r="Z44" i="30" s="1"/>
  <c r="T44" i="30"/>
  <c r="P44" i="30"/>
  <c r="H44" i="30"/>
  <c r="D44" i="30"/>
  <c r="L44" i="30" s="1"/>
  <c r="N44" i="30" s="1"/>
  <c r="X42" i="30"/>
  <c r="T42" i="30"/>
  <c r="Z42" i="30" s="1"/>
  <c r="P42" i="30"/>
  <c r="H42" i="30"/>
  <c r="N42" i="30" s="1"/>
  <c r="D42" i="30"/>
  <c r="B42" i="30"/>
  <c r="T41" i="30"/>
  <c r="P41" i="30"/>
  <c r="N41" i="30"/>
  <c r="L41" i="30"/>
  <c r="H41" i="30"/>
  <c r="D41" i="30"/>
  <c r="B41" i="30"/>
  <c r="T40" i="30"/>
  <c r="P40" i="30"/>
  <c r="X40" i="30" s="1"/>
  <c r="Z40" i="30" s="1"/>
  <c r="H40" i="30"/>
  <c r="D40" i="30"/>
  <c r="L40" i="30" s="1"/>
  <c r="N40" i="30" s="1"/>
  <c r="B40" i="30"/>
  <c r="T39" i="30"/>
  <c r="Z39" i="30" s="1"/>
  <c r="P39" i="30"/>
  <c r="X39" i="30" s="1"/>
  <c r="H39" i="30"/>
  <c r="N39" i="30" s="1"/>
  <c r="D39" i="30"/>
  <c r="L39" i="30" s="1"/>
  <c r="B39" i="30"/>
  <c r="X38" i="30"/>
  <c r="T38" i="30"/>
  <c r="Z38" i="30" s="1"/>
  <c r="P38" i="30"/>
  <c r="H38" i="30"/>
  <c r="N38" i="30" s="1"/>
  <c r="D38" i="30"/>
  <c r="B38" i="30"/>
  <c r="T37" i="30"/>
  <c r="P37" i="30"/>
  <c r="N37" i="30"/>
  <c r="L37" i="30"/>
  <c r="H37" i="30"/>
  <c r="D37" i="30"/>
  <c r="B37" i="30"/>
  <c r="T36" i="30"/>
  <c r="P36" i="30"/>
  <c r="X36" i="30" s="1"/>
  <c r="Z36" i="30" s="1"/>
  <c r="N36" i="30"/>
  <c r="H36" i="30"/>
  <c r="D36" i="30"/>
  <c r="L36" i="30" s="1"/>
  <c r="B36" i="30"/>
  <c r="T35" i="30"/>
  <c r="P35" i="30"/>
  <c r="X35" i="30" s="1"/>
  <c r="H35" i="30"/>
  <c r="N35" i="30" s="1"/>
  <c r="D35" i="30"/>
  <c r="L35" i="30" s="1"/>
  <c r="B35" i="30"/>
  <c r="X34" i="30"/>
  <c r="T34" i="30"/>
  <c r="Z34" i="30" s="1"/>
  <c r="P34" i="30"/>
  <c r="H34" i="30"/>
  <c r="D34" i="30"/>
  <c r="B34" i="30"/>
  <c r="T33" i="30"/>
  <c r="P33" i="30"/>
  <c r="N33" i="30"/>
  <c r="L33" i="30"/>
  <c r="H33" i="30"/>
  <c r="D33" i="30"/>
  <c r="B33" i="30"/>
  <c r="T32" i="30"/>
  <c r="P32" i="30"/>
  <c r="X32" i="30" s="1"/>
  <c r="Z32" i="30" s="1"/>
  <c r="N32" i="30"/>
  <c r="H32" i="30"/>
  <c r="D32" i="30"/>
  <c r="L32" i="30" s="1"/>
  <c r="B32" i="30"/>
  <c r="T31" i="30"/>
  <c r="Z31" i="30" s="1"/>
  <c r="P31" i="30"/>
  <c r="X31" i="30" s="1"/>
  <c r="H31" i="30"/>
  <c r="N31" i="30" s="1"/>
  <c r="D31" i="30"/>
  <c r="L31" i="30" s="1"/>
  <c r="B31" i="30"/>
  <c r="X30" i="30"/>
  <c r="T30" i="30"/>
  <c r="Z30" i="30" s="1"/>
  <c r="P30" i="30"/>
  <c r="H30" i="30"/>
  <c r="D30" i="30"/>
  <c r="B30" i="30"/>
  <c r="T29" i="30"/>
  <c r="P29" i="30"/>
  <c r="N29" i="30"/>
  <c r="L29" i="30"/>
  <c r="H29" i="30"/>
  <c r="D29" i="30"/>
  <c r="B29" i="30"/>
  <c r="T28" i="30"/>
  <c r="P28" i="30"/>
  <c r="X28" i="30" s="1"/>
  <c r="Z28" i="30" s="1"/>
  <c r="H28" i="30"/>
  <c r="D28" i="30"/>
  <c r="L28" i="30" s="1"/>
  <c r="N28" i="30" s="1"/>
  <c r="B28" i="30"/>
  <c r="T27" i="30"/>
  <c r="Z27" i="30" s="1"/>
  <c r="P27" i="30"/>
  <c r="X27" i="30" s="1"/>
  <c r="H27" i="30"/>
  <c r="D27" i="30"/>
  <c r="L27" i="30" s="1"/>
  <c r="B27" i="30"/>
  <c r="X26" i="30"/>
  <c r="T26" i="30"/>
  <c r="Z26" i="30" s="1"/>
  <c r="P26" i="30"/>
  <c r="H26" i="30"/>
  <c r="D26" i="30"/>
  <c r="B26" i="30"/>
  <c r="T25" i="30"/>
  <c r="P25" i="30"/>
  <c r="N25" i="30"/>
  <c r="L25" i="30"/>
  <c r="H25" i="30"/>
  <c r="D25" i="30"/>
  <c r="B25" i="30"/>
  <c r="T24" i="30"/>
  <c r="P24" i="30"/>
  <c r="X24" i="30" s="1"/>
  <c r="Z24" i="30" s="1"/>
  <c r="H24" i="30"/>
  <c r="D24" i="30"/>
  <c r="L24" i="30" s="1"/>
  <c r="N24" i="30" s="1"/>
  <c r="B24" i="30"/>
  <c r="T23" i="30"/>
  <c r="Z23" i="30" s="1"/>
  <c r="P23" i="30"/>
  <c r="X23" i="30" s="1"/>
  <c r="H23" i="30"/>
  <c r="N23" i="30" s="1"/>
  <c r="D23" i="30"/>
  <c r="L23" i="30" s="1"/>
  <c r="B23" i="30"/>
  <c r="X22" i="30"/>
  <c r="T22" i="30"/>
  <c r="Z22" i="30" s="1"/>
  <c r="P22" i="30"/>
  <c r="H22" i="30"/>
  <c r="D22" i="30"/>
  <c r="B22" i="30"/>
  <c r="T21" i="30"/>
  <c r="P21" i="30"/>
  <c r="N21" i="30"/>
  <c r="L21" i="30"/>
  <c r="H21" i="30"/>
  <c r="D21" i="30"/>
  <c r="B21" i="30"/>
  <c r="T20" i="30"/>
  <c r="P20" i="30"/>
  <c r="X20" i="30" s="1"/>
  <c r="Z20" i="30" s="1"/>
  <c r="H20" i="30"/>
  <c r="D20" i="30"/>
  <c r="L20" i="30" s="1"/>
  <c r="N20" i="30" s="1"/>
  <c r="B20" i="30"/>
  <c r="T19" i="30"/>
  <c r="P19" i="30"/>
  <c r="X19" i="30" s="1"/>
  <c r="H19" i="30"/>
  <c r="N19" i="30" s="1"/>
  <c r="D19" i="30"/>
  <c r="L19" i="30" s="1"/>
  <c r="B19" i="30"/>
  <c r="X18" i="30"/>
  <c r="T18" i="30"/>
  <c r="P18" i="30"/>
  <c r="H18" i="30"/>
  <c r="D18" i="30"/>
  <c r="B18" i="30"/>
  <c r="T17" i="30"/>
  <c r="P17" i="30"/>
  <c r="N17" i="30"/>
  <c r="L17" i="30"/>
  <c r="H17" i="30"/>
  <c r="D17" i="30"/>
  <c r="B17" i="30"/>
  <c r="T16" i="30"/>
  <c r="P16" i="30"/>
  <c r="X16" i="30" s="1"/>
  <c r="Z16" i="30" s="1"/>
  <c r="H16" i="30"/>
  <c r="D16" i="30"/>
  <c r="L16" i="30" s="1"/>
  <c r="N16" i="30" s="1"/>
  <c r="B16" i="30"/>
  <c r="T15" i="30"/>
  <c r="P15" i="30"/>
  <c r="X15" i="30" s="1"/>
  <c r="L15" i="30"/>
  <c r="H15" i="30"/>
  <c r="N15" i="30" s="1"/>
  <c r="D15" i="30"/>
  <c r="B15" i="30"/>
  <c r="X14" i="30"/>
  <c r="T14" i="30"/>
  <c r="P14" i="30"/>
  <c r="L14" i="30"/>
  <c r="H14" i="30"/>
  <c r="N14" i="30" s="1"/>
  <c r="D14" i="30"/>
  <c r="B14" i="30"/>
  <c r="T13" i="30"/>
  <c r="T12" i="30" s="1"/>
  <c r="V117" i="30" s="1"/>
  <c r="P13" i="30"/>
  <c r="P12" i="30" s="1"/>
  <c r="R122" i="30" s="1"/>
  <c r="N13" i="30"/>
  <c r="L13" i="30"/>
  <c r="H13" i="30"/>
  <c r="D13" i="30"/>
  <c r="B13" i="30"/>
  <c r="D4" i="30"/>
  <c r="Z118" i="27"/>
  <c r="X118" i="27"/>
  <c r="L118" i="27"/>
  <c r="N118" i="27" s="1"/>
  <c r="T114" i="27"/>
  <c r="P114" i="27"/>
  <c r="X114" i="27" s="1"/>
  <c r="Z114" i="27" s="1"/>
  <c r="L114" i="27"/>
  <c r="H114" i="27"/>
  <c r="N114" i="27" s="1"/>
  <c r="D114" i="27"/>
  <c r="B114" i="27"/>
  <c r="T113" i="27"/>
  <c r="Z113" i="27" s="1"/>
  <c r="P113" i="27"/>
  <c r="X113" i="27" s="1"/>
  <c r="H113" i="27"/>
  <c r="N113" i="27" s="1"/>
  <c r="D113" i="27"/>
  <c r="L113" i="27" s="1"/>
  <c r="B113" i="27"/>
  <c r="T112" i="27"/>
  <c r="P112" i="27"/>
  <c r="X112" i="27" s="1"/>
  <c r="H112" i="27"/>
  <c r="D112" i="27"/>
  <c r="B112" i="27"/>
  <c r="H111" i="27"/>
  <c r="X109" i="27"/>
  <c r="Z109" i="27" s="1"/>
  <c r="N109" i="27"/>
  <c r="L109" i="27"/>
  <c r="B109" i="27"/>
  <c r="Z108" i="27"/>
  <c r="T108" i="27"/>
  <c r="P108" i="27"/>
  <c r="X108" i="27" s="1"/>
  <c r="L108" i="27"/>
  <c r="H108" i="27"/>
  <c r="N108" i="27" s="1"/>
  <c r="D108" i="27"/>
  <c r="B108" i="27"/>
  <c r="Z107" i="27"/>
  <c r="X107" i="27"/>
  <c r="N107" i="27"/>
  <c r="L107" i="27"/>
  <c r="B107" i="27"/>
  <c r="T106" i="27"/>
  <c r="X106" i="27" s="1"/>
  <c r="Z106" i="27" s="1"/>
  <c r="P106" i="27"/>
  <c r="N106" i="27"/>
  <c r="L106" i="27"/>
  <c r="H106" i="27"/>
  <c r="D106" i="27"/>
  <c r="B106" i="27"/>
  <c r="X105" i="27"/>
  <c r="Z105" i="27" s="1"/>
  <c r="L105" i="27"/>
  <c r="N105" i="27" s="1"/>
  <c r="B105" i="27"/>
  <c r="X104" i="27"/>
  <c r="Z104" i="27" s="1"/>
  <c r="N104" i="27"/>
  <c r="L104" i="27"/>
  <c r="B104" i="27"/>
  <c r="T103" i="27"/>
  <c r="P103" i="27"/>
  <c r="X103" i="27" s="1"/>
  <c r="Z103" i="27" s="1"/>
  <c r="L103" i="27"/>
  <c r="N103" i="27" s="1"/>
  <c r="H103" i="27"/>
  <c r="D103" i="27"/>
  <c r="B103" i="27"/>
  <c r="X102" i="27"/>
  <c r="Z102" i="27" s="1"/>
  <c r="N102" i="27"/>
  <c r="L102" i="27"/>
  <c r="B102" i="27"/>
  <c r="X101" i="27"/>
  <c r="Z101" i="27" s="1"/>
  <c r="N101" i="27"/>
  <c r="L101" i="27"/>
  <c r="B101" i="27"/>
  <c r="Z100" i="27"/>
  <c r="X100" i="27"/>
  <c r="N100" i="27"/>
  <c r="L100" i="27"/>
  <c r="B100" i="27"/>
  <c r="X99" i="27"/>
  <c r="Z99" i="27" s="1"/>
  <c r="N99" i="27"/>
  <c r="L99" i="27"/>
  <c r="B99" i="27"/>
  <c r="X98" i="27"/>
  <c r="T98" i="27"/>
  <c r="Z98" i="27" s="1"/>
  <c r="P98" i="27"/>
  <c r="N98" i="27"/>
  <c r="H98" i="27"/>
  <c r="D98" i="27"/>
  <c r="L98" i="27" s="1"/>
  <c r="B98" i="27"/>
  <c r="Z97" i="27"/>
  <c r="X97" i="27"/>
  <c r="L97" i="27"/>
  <c r="N97" i="27" s="1"/>
  <c r="B97" i="27"/>
  <c r="Z96" i="27"/>
  <c r="X96" i="27"/>
  <c r="T96" i="27"/>
  <c r="P96" i="27"/>
  <c r="H96" i="27"/>
  <c r="L96" i="27" s="1"/>
  <c r="N96" i="27" s="1"/>
  <c r="D96" i="27"/>
  <c r="B96" i="27"/>
  <c r="Z95" i="27"/>
  <c r="X95" i="27"/>
  <c r="N95" i="27"/>
  <c r="L95" i="27"/>
  <c r="B95" i="27"/>
  <c r="X94" i="27"/>
  <c r="Z94" i="27" s="1"/>
  <c r="L94" i="27"/>
  <c r="N94" i="27" s="1"/>
  <c r="B94" i="27"/>
  <c r="X93" i="27"/>
  <c r="Z93" i="27" s="1"/>
  <c r="T93" i="27"/>
  <c r="P93" i="27"/>
  <c r="H93" i="27"/>
  <c r="D93" i="27"/>
  <c r="L93" i="27" s="1"/>
  <c r="N93" i="27" s="1"/>
  <c r="B93" i="27"/>
  <c r="Z92" i="27"/>
  <c r="X92" i="27"/>
  <c r="N92" i="27"/>
  <c r="L92" i="27"/>
  <c r="B92" i="27"/>
  <c r="T91" i="27"/>
  <c r="P91" i="27"/>
  <c r="L91" i="27"/>
  <c r="N91" i="27" s="1"/>
  <c r="H91" i="27"/>
  <c r="D91" i="27"/>
  <c r="B91" i="27"/>
  <c r="Z90" i="27"/>
  <c r="X90" i="27"/>
  <c r="N90" i="27"/>
  <c r="L90" i="27"/>
  <c r="B90" i="27"/>
  <c r="T89" i="27"/>
  <c r="Z89" i="27" s="1"/>
  <c r="P89" i="27"/>
  <c r="X89" i="27" s="1"/>
  <c r="H89" i="27"/>
  <c r="N89" i="27" s="1"/>
  <c r="D89" i="27"/>
  <c r="L89" i="27" s="1"/>
  <c r="B89" i="27"/>
  <c r="Z88" i="27"/>
  <c r="X88" i="27"/>
  <c r="N88" i="27"/>
  <c r="L88" i="27"/>
  <c r="B88" i="27"/>
  <c r="Z87" i="27"/>
  <c r="X87" i="27"/>
  <c r="L87" i="27"/>
  <c r="N87" i="27" s="1"/>
  <c r="B87" i="27"/>
  <c r="T86" i="27"/>
  <c r="P86" i="27"/>
  <c r="X86" i="27" s="1"/>
  <c r="H86" i="27"/>
  <c r="D86" i="27"/>
  <c r="L86" i="27" s="1"/>
  <c r="N86" i="27" s="1"/>
  <c r="B86" i="27"/>
  <c r="X85" i="27"/>
  <c r="Z85" i="27" s="1"/>
  <c r="N85" i="27"/>
  <c r="L85" i="27"/>
  <c r="B85" i="27"/>
  <c r="T84" i="27"/>
  <c r="P84" i="27"/>
  <c r="X84" i="27" s="1"/>
  <c r="Z84" i="27" s="1"/>
  <c r="L84" i="27"/>
  <c r="H84" i="27"/>
  <c r="N84" i="27" s="1"/>
  <c r="D84" i="27"/>
  <c r="B84" i="27"/>
  <c r="Z83" i="27"/>
  <c r="X83" i="27"/>
  <c r="N83" i="27"/>
  <c r="L83" i="27"/>
  <c r="B83" i="27"/>
  <c r="T82" i="27"/>
  <c r="X82" i="27" s="1"/>
  <c r="Z82" i="27" s="1"/>
  <c r="P82" i="27"/>
  <c r="N82" i="27"/>
  <c r="L82" i="27"/>
  <c r="H82" i="27"/>
  <c r="D82" i="27"/>
  <c r="B82" i="27"/>
  <c r="X81" i="27"/>
  <c r="Z81" i="27" s="1"/>
  <c r="L81" i="27"/>
  <c r="N81" i="27" s="1"/>
  <c r="B81" i="27"/>
  <c r="Z80" i="27"/>
  <c r="X80" i="27"/>
  <c r="N80" i="27"/>
  <c r="L80" i="27"/>
  <c r="B80" i="27"/>
  <c r="T79" i="27"/>
  <c r="P79" i="27"/>
  <c r="X79" i="27" s="1"/>
  <c r="Z79" i="27" s="1"/>
  <c r="L79" i="27"/>
  <c r="N79" i="27" s="1"/>
  <c r="H79" i="27"/>
  <c r="D79" i="27"/>
  <c r="B79" i="27"/>
  <c r="X78" i="27"/>
  <c r="Z78" i="27" s="1"/>
  <c r="N78" i="27"/>
  <c r="L78" i="27"/>
  <c r="B78" i="27"/>
  <c r="X77" i="27"/>
  <c r="T77" i="27"/>
  <c r="Z77" i="27" s="1"/>
  <c r="P77" i="27"/>
  <c r="H77" i="27"/>
  <c r="D77" i="27"/>
  <c r="B77" i="27"/>
  <c r="Z76" i="27"/>
  <c r="X76" i="27"/>
  <c r="N76" i="27"/>
  <c r="L76" i="27"/>
  <c r="B76" i="27"/>
  <c r="Z75" i="27"/>
  <c r="X75" i="27"/>
  <c r="N75" i="27"/>
  <c r="L75" i="27"/>
  <c r="B75" i="27"/>
  <c r="Z74" i="27"/>
  <c r="X74" i="27"/>
  <c r="N74" i="27"/>
  <c r="L74" i="27"/>
  <c r="B74" i="27"/>
  <c r="Z73" i="27"/>
  <c r="X73" i="27"/>
  <c r="L73" i="27"/>
  <c r="N73" i="27" s="1"/>
  <c r="B73" i="27"/>
  <c r="Z72" i="27"/>
  <c r="X72" i="27"/>
  <c r="N72" i="27"/>
  <c r="L72" i="27"/>
  <c r="B72" i="27"/>
  <c r="T71" i="27"/>
  <c r="P71" i="27"/>
  <c r="X71" i="27" s="1"/>
  <c r="H71" i="27"/>
  <c r="D71" i="27"/>
  <c r="L71" i="27" s="1"/>
  <c r="B71" i="27"/>
  <c r="Z70" i="27"/>
  <c r="X70" i="27"/>
  <c r="L70" i="27"/>
  <c r="N70" i="27" s="1"/>
  <c r="B70" i="27"/>
  <c r="X69" i="27"/>
  <c r="Z69" i="27" s="1"/>
  <c r="L69" i="27"/>
  <c r="N69" i="27" s="1"/>
  <c r="B69" i="27"/>
  <c r="Z68" i="27"/>
  <c r="X68" i="27"/>
  <c r="N68" i="27"/>
  <c r="L68" i="27"/>
  <c r="B68" i="27"/>
  <c r="Z67" i="27"/>
  <c r="X67" i="27"/>
  <c r="L67" i="27"/>
  <c r="N67" i="27" s="1"/>
  <c r="B67" i="27"/>
  <c r="Z66" i="27"/>
  <c r="X66" i="27"/>
  <c r="L66" i="27"/>
  <c r="N66" i="27" s="1"/>
  <c r="B66" i="27"/>
  <c r="X65" i="27"/>
  <c r="Z65" i="27" s="1"/>
  <c r="L65" i="27"/>
  <c r="N65" i="27" s="1"/>
  <c r="B65" i="27"/>
  <c r="Z64" i="27"/>
  <c r="X64" i="27"/>
  <c r="N64" i="27"/>
  <c r="L64" i="27"/>
  <c r="B64" i="27"/>
  <c r="Z63" i="27"/>
  <c r="X63" i="27"/>
  <c r="L63" i="27"/>
  <c r="N63" i="27" s="1"/>
  <c r="B63" i="27"/>
  <c r="X62" i="27"/>
  <c r="Z62" i="27" s="1"/>
  <c r="L62" i="27"/>
  <c r="N62" i="27" s="1"/>
  <c r="B62" i="27"/>
  <c r="X61" i="27"/>
  <c r="T61" i="27"/>
  <c r="P61" i="27"/>
  <c r="H61" i="27"/>
  <c r="D61" i="27"/>
  <c r="L61" i="27" s="1"/>
  <c r="N61" i="27" s="1"/>
  <c r="B61" i="27"/>
  <c r="Z60" i="27"/>
  <c r="T60" i="27"/>
  <c r="P60" i="27"/>
  <c r="X60" i="27" s="1"/>
  <c r="L60" i="27"/>
  <c r="H60" i="27"/>
  <c r="N60" i="27" s="1"/>
  <c r="D60" i="27"/>
  <c r="Z56" i="27"/>
  <c r="X56" i="27"/>
  <c r="N56" i="27"/>
  <c r="L56" i="27"/>
  <c r="B56" i="27"/>
  <c r="X55" i="27"/>
  <c r="Z55" i="27" s="1"/>
  <c r="N55" i="27"/>
  <c r="L55" i="27"/>
  <c r="B55" i="27"/>
  <c r="X54" i="27"/>
  <c r="Z54" i="27" s="1"/>
  <c r="N54" i="27"/>
  <c r="L54" i="27"/>
  <c r="B54" i="27"/>
  <c r="X53" i="27"/>
  <c r="Z53" i="27" s="1"/>
  <c r="N53" i="27"/>
  <c r="L53" i="27"/>
  <c r="B53" i="27"/>
  <c r="Z52" i="27"/>
  <c r="X52" i="27"/>
  <c r="N52" i="27"/>
  <c r="L52" i="27"/>
  <c r="B52" i="27"/>
  <c r="X51" i="27"/>
  <c r="Z51" i="27" s="1"/>
  <c r="N51" i="27"/>
  <c r="L51" i="27"/>
  <c r="B51" i="27"/>
  <c r="X50" i="27"/>
  <c r="Z50" i="27" s="1"/>
  <c r="N50" i="27"/>
  <c r="L50" i="27"/>
  <c r="B50" i="27"/>
  <c r="X49" i="27"/>
  <c r="Z49" i="27" s="1"/>
  <c r="N49" i="27"/>
  <c r="L49" i="27"/>
  <c r="B49" i="27"/>
  <c r="Z48" i="27"/>
  <c r="X48" i="27"/>
  <c r="N48" i="27"/>
  <c r="L48" i="27"/>
  <c r="B48" i="27"/>
  <c r="X47" i="27"/>
  <c r="Z47" i="27" s="1"/>
  <c r="N47" i="27"/>
  <c r="L47" i="27"/>
  <c r="B47" i="27"/>
  <c r="X46" i="27"/>
  <c r="Z46" i="27" s="1"/>
  <c r="N46" i="27"/>
  <c r="L46" i="27"/>
  <c r="B46" i="27"/>
  <c r="X45" i="27"/>
  <c r="Z45" i="27" s="1"/>
  <c r="N45" i="27"/>
  <c r="L45" i="27"/>
  <c r="B45" i="27"/>
  <c r="Z44" i="27"/>
  <c r="X44" i="27"/>
  <c r="N44" i="27"/>
  <c r="L44" i="27"/>
  <c r="B44" i="27"/>
  <c r="X43" i="27"/>
  <c r="Z43" i="27" s="1"/>
  <c r="N43" i="27"/>
  <c r="L43" i="27"/>
  <c r="B43" i="27"/>
  <c r="X42" i="27"/>
  <c r="Z42" i="27" s="1"/>
  <c r="N42" i="27"/>
  <c r="L42" i="27"/>
  <c r="B42" i="27"/>
  <c r="X41" i="27"/>
  <c r="Z41" i="27" s="1"/>
  <c r="T41" i="27"/>
  <c r="P41" i="27"/>
  <c r="H41" i="27"/>
  <c r="D41" i="27"/>
  <c r="X39" i="27"/>
  <c r="T39" i="27"/>
  <c r="Z39" i="27" s="1"/>
  <c r="P39" i="27"/>
  <c r="H39" i="27"/>
  <c r="D39" i="27"/>
  <c r="L39" i="27" s="1"/>
  <c r="N39" i="27" s="1"/>
  <c r="B39" i="27"/>
  <c r="Z38" i="27"/>
  <c r="X38" i="27"/>
  <c r="T38" i="27"/>
  <c r="P38" i="27"/>
  <c r="N38" i="27"/>
  <c r="L38" i="27"/>
  <c r="H38" i="27"/>
  <c r="D38" i="27"/>
  <c r="B38" i="27"/>
  <c r="T37" i="27"/>
  <c r="P37" i="27"/>
  <c r="X37" i="27" s="1"/>
  <c r="Z37" i="27" s="1"/>
  <c r="N37" i="27"/>
  <c r="H37" i="27"/>
  <c r="D37" i="27"/>
  <c r="L37" i="27" s="1"/>
  <c r="B37" i="27"/>
  <c r="X36" i="27"/>
  <c r="T36" i="27"/>
  <c r="Z36" i="27" s="1"/>
  <c r="P36" i="27"/>
  <c r="H36" i="27"/>
  <c r="D36" i="27"/>
  <c r="L36" i="27" s="1"/>
  <c r="B36" i="27"/>
  <c r="X35" i="27"/>
  <c r="T35" i="27"/>
  <c r="Z35" i="27" s="1"/>
  <c r="P35" i="27"/>
  <c r="H35" i="27"/>
  <c r="D35" i="27"/>
  <c r="L35" i="27" s="1"/>
  <c r="N35" i="27" s="1"/>
  <c r="B35" i="27"/>
  <c r="Z34" i="27"/>
  <c r="X34" i="27"/>
  <c r="T34" i="27"/>
  <c r="P34" i="27"/>
  <c r="N34" i="27"/>
  <c r="L34" i="27"/>
  <c r="H34" i="27"/>
  <c r="D34" i="27"/>
  <c r="B34" i="27"/>
  <c r="T33" i="27"/>
  <c r="P33" i="27"/>
  <c r="X33" i="27" s="1"/>
  <c r="Z33" i="27" s="1"/>
  <c r="N33" i="27"/>
  <c r="H33" i="27"/>
  <c r="D33" i="27"/>
  <c r="L33" i="27" s="1"/>
  <c r="B33" i="27"/>
  <c r="X32" i="27"/>
  <c r="T32" i="27"/>
  <c r="Z32" i="27" s="1"/>
  <c r="P32" i="27"/>
  <c r="H32" i="27"/>
  <c r="D32" i="27"/>
  <c r="L32" i="27" s="1"/>
  <c r="B32" i="27"/>
  <c r="X31" i="27"/>
  <c r="T31" i="27"/>
  <c r="Z31" i="27" s="1"/>
  <c r="P31" i="27"/>
  <c r="N31" i="27"/>
  <c r="H31" i="27"/>
  <c r="D31" i="27"/>
  <c r="L31" i="27" s="1"/>
  <c r="B31" i="27"/>
  <c r="Z30" i="27"/>
  <c r="X30" i="27"/>
  <c r="T30" i="27"/>
  <c r="P30" i="27"/>
  <c r="N30" i="27"/>
  <c r="L30" i="27"/>
  <c r="H30" i="27"/>
  <c r="D30" i="27"/>
  <c r="B30" i="27"/>
  <c r="T29" i="27"/>
  <c r="P29" i="27"/>
  <c r="X29" i="27" s="1"/>
  <c r="Z29" i="27" s="1"/>
  <c r="H29" i="27"/>
  <c r="D29" i="27"/>
  <c r="L29" i="27" s="1"/>
  <c r="N29" i="27" s="1"/>
  <c r="B29" i="27"/>
  <c r="X28" i="27"/>
  <c r="T28" i="27"/>
  <c r="Z28" i="27" s="1"/>
  <c r="P28" i="27"/>
  <c r="H28" i="27"/>
  <c r="N28" i="27" s="1"/>
  <c r="D28" i="27"/>
  <c r="B28" i="27"/>
  <c r="X27" i="27"/>
  <c r="T27" i="27"/>
  <c r="Z27" i="27" s="1"/>
  <c r="P27" i="27"/>
  <c r="N27" i="27"/>
  <c r="H27" i="27"/>
  <c r="D27" i="27"/>
  <c r="L27" i="27" s="1"/>
  <c r="B27" i="27"/>
  <c r="Z26" i="27"/>
  <c r="X26" i="27"/>
  <c r="T26" i="27"/>
  <c r="P26" i="27"/>
  <c r="N26" i="27"/>
  <c r="L26" i="27"/>
  <c r="H26" i="27"/>
  <c r="D26" i="27"/>
  <c r="B26" i="27"/>
  <c r="T25" i="27"/>
  <c r="P25" i="27"/>
  <c r="X25" i="27" s="1"/>
  <c r="Z25" i="27" s="1"/>
  <c r="H25" i="27"/>
  <c r="D25" i="27"/>
  <c r="L25" i="27" s="1"/>
  <c r="N25" i="27" s="1"/>
  <c r="B25" i="27"/>
  <c r="X24" i="27"/>
  <c r="T24" i="27"/>
  <c r="Z24" i="27" s="1"/>
  <c r="P24" i="27"/>
  <c r="H24" i="27"/>
  <c r="N24" i="27" s="1"/>
  <c r="D24" i="27"/>
  <c r="L24" i="27" s="1"/>
  <c r="B24" i="27"/>
  <c r="X23" i="27"/>
  <c r="T23" i="27"/>
  <c r="Z23" i="27" s="1"/>
  <c r="P23" i="27"/>
  <c r="H23" i="27"/>
  <c r="D23" i="27"/>
  <c r="L23" i="27" s="1"/>
  <c r="N23" i="27" s="1"/>
  <c r="B23" i="27"/>
  <c r="Z22" i="27"/>
  <c r="X22" i="27"/>
  <c r="T22" i="27"/>
  <c r="P22" i="27"/>
  <c r="N22" i="27"/>
  <c r="L22" i="27"/>
  <c r="H22" i="27"/>
  <c r="D22" i="27"/>
  <c r="B22" i="27"/>
  <c r="T21" i="27"/>
  <c r="P21" i="27"/>
  <c r="X21" i="27" s="1"/>
  <c r="H21" i="27"/>
  <c r="D21" i="27"/>
  <c r="L21" i="27" s="1"/>
  <c r="N21" i="27" s="1"/>
  <c r="B21" i="27"/>
  <c r="T20" i="27"/>
  <c r="P20" i="27"/>
  <c r="H20" i="27"/>
  <c r="D20" i="27"/>
  <c r="B20" i="27"/>
  <c r="T19" i="27"/>
  <c r="P19" i="27"/>
  <c r="H19" i="27"/>
  <c r="D19" i="27"/>
  <c r="L19" i="27" s="1"/>
  <c r="N19" i="27" s="1"/>
  <c r="B19" i="27"/>
  <c r="Z18" i="27"/>
  <c r="X18" i="27"/>
  <c r="T18" i="27"/>
  <c r="P18" i="27"/>
  <c r="L18" i="27"/>
  <c r="N18" i="27" s="1"/>
  <c r="H18" i="27"/>
  <c r="D18" i="27"/>
  <c r="B18" i="27"/>
  <c r="T17" i="27"/>
  <c r="P17" i="27"/>
  <c r="X17" i="27" s="1"/>
  <c r="H17" i="27"/>
  <c r="D17" i="27"/>
  <c r="L17" i="27" s="1"/>
  <c r="N17" i="27" s="1"/>
  <c r="B17" i="27"/>
  <c r="T16" i="27"/>
  <c r="P16" i="27"/>
  <c r="H16" i="27"/>
  <c r="D16" i="27"/>
  <c r="L16" i="27" s="1"/>
  <c r="B16" i="27"/>
  <c r="T15" i="27"/>
  <c r="P15" i="27"/>
  <c r="H15" i="27"/>
  <c r="D15" i="27"/>
  <c r="L15" i="27" s="1"/>
  <c r="N15" i="27" s="1"/>
  <c r="B15" i="27"/>
  <c r="Z14" i="27"/>
  <c r="X14" i="27"/>
  <c r="T14" i="27"/>
  <c r="P14" i="27"/>
  <c r="L14" i="27"/>
  <c r="N14" i="27" s="1"/>
  <c r="H14" i="27"/>
  <c r="D14" i="27"/>
  <c r="B14" i="27"/>
  <c r="T13" i="27"/>
  <c r="T12" i="27" s="1"/>
  <c r="P13" i="27"/>
  <c r="H13" i="27"/>
  <c r="D13" i="27"/>
  <c r="L13" i="27" s="1"/>
  <c r="N13" i="27" s="1"/>
  <c r="B13" i="27"/>
  <c r="D4" i="27"/>
  <c r="Z129" i="24"/>
  <c r="X129" i="24"/>
  <c r="L129" i="24"/>
  <c r="N129" i="24" s="1"/>
  <c r="T125" i="24"/>
  <c r="P125" i="24"/>
  <c r="H125" i="24"/>
  <c r="N125" i="24" s="1"/>
  <c r="D125" i="24"/>
  <c r="L125" i="24" s="1"/>
  <c r="Z123" i="24"/>
  <c r="X123" i="24"/>
  <c r="N123" i="24"/>
  <c r="L123" i="24"/>
  <c r="B123" i="24"/>
  <c r="Z122" i="24"/>
  <c r="X122" i="24"/>
  <c r="T122" i="24"/>
  <c r="P122" i="24"/>
  <c r="N122" i="24"/>
  <c r="L122" i="24"/>
  <c r="H122" i="24"/>
  <c r="D122" i="24"/>
  <c r="B122" i="24"/>
  <c r="X121" i="24"/>
  <c r="Z121" i="24" s="1"/>
  <c r="L121" i="24"/>
  <c r="N121" i="24" s="1"/>
  <c r="B121" i="24"/>
  <c r="T120" i="24"/>
  <c r="P120" i="24"/>
  <c r="H120" i="24"/>
  <c r="D120" i="24"/>
  <c r="B120" i="24"/>
  <c r="X119" i="24"/>
  <c r="Z119" i="24" s="1"/>
  <c r="L119" i="24"/>
  <c r="N119" i="24" s="1"/>
  <c r="B119" i="24"/>
  <c r="X118" i="24"/>
  <c r="Z118" i="24" s="1"/>
  <c r="N118" i="24"/>
  <c r="L118" i="24"/>
  <c r="B118" i="24"/>
  <c r="X117" i="24"/>
  <c r="Z117" i="24" s="1"/>
  <c r="N117" i="24"/>
  <c r="L117" i="24"/>
  <c r="B117" i="24"/>
  <c r="T116" i="24"/>
  <c r="P116" i="24"/>
  <c r="X116" i="24" s="1"/>
  <c r="Z116" i="24" s="1"/>
  <c r="H116" i="24"/>
  <c r="N116" i="24" s="1"/>
  <c r="D116" i="24"/>
  <c r="L116" i="24" s="1"/>
  <c r="B116" i="24"/>
  <c r="X115" i="24"/>
  <c r="Z115" i="24" s="1"/>
  <c r="N115" i="24"/>
  <c r="L115" i="24"/>
  <c r="B115" i="24"/>
  <c r="Z114" i="24"/>
  <c r="X114" i="24"/>
  <c r="T114" i="24"/>
  <c r="P114" i="24"/>
  <c r="H114" i="24"/>
  <c r="N114" i="24" s="1"/>
  <c r="D114" i="24"/>
  <c r="B114" i="24"/>
  <c r="X113" i="24"/>
  <c r="Z113" i="24" s="1"/>
  <c r="L113" i="24"/>
  <c r="N113" i="24" s="1"/>
  <c r="B113" i="24"/>
  <c r="Z112" i="24"/>
  <c r="X112" i="24"/>
  <c r="N112" i="24"/>
  <c r="L112" i="24"/>
  <c r="B112" i="24"/>
  <c r="T111" i="24"/>
  <c r="P111" i="24"/>
  <c r="H111" i="24"/>
  <c r="D111" i="24"/>
  <c r="L111" i="24" s="1"/>
  <c r="N111" i="24" s="1"/>
  <c r="B111" i="24"/>
  <c r="Z110" i="24"/>
  <c r="X110" i="24"/>
  <c r="N110" i="24"/>
  <c r="L110" i="24"/>
  <c r="B110" i="24"/>
  <c r="X109" i="24"/>
  <c r="Z109" i="24" s="1"/>
  <c r="N109" i="24"/>
  <c r="L109" i="24"/>
  <c r="B109" i="24"/>
  <c r="T108" i="24"/>
  <c r="P108" i="24"/>
  <c r="X108" i="24" s="1"/>
  <c r="Z108" i="24" s="1"/>
  <c r="H108" i="24"/>
  <c r="N108" i="24" s="1"/>
  <c r="D108" i="24"/>
  <c r="L108" i="24" s="1"/>
  <c r="B108" i="24"/>
  <c r="X107" i="24"/>
  <c r="Z107" i="24" s="1"/>
  <c r="N107" i="24"/>
  <c r="L107" i="24"/>
  <c r="B107" i="24"/>
  <c r="X106" i="24"/>
  <c r="Z106" i="24" s="1"/>
  <c r="T106" i="24"/>
  <c r="P106" i="24"/>
  <c r="N106" i="24"/>
  <c r="L106" i="24"/>
  <c r="H106" i="24"/>
  <c r="D106" i="24"/>
  <c r="B106" i="24"/>
  <c r="Z105" i="24"/>
  <c r="X105" i="24"/>
  <c r="L105" i="24"/>
  <c r="N105" i="24" s="1"/>
  <c r="B105" i="24"/>
  <c r="T104" i="24"/>
  <c r="P104" i="24"/>
  <c r="H104" i="24"/>
  <c r="D104" i="24"/>
  <c r="B104" i="24"/>
  <c r="X103" i="24"/>
  <c r="Z103" i="24" s="1"/>
  <c r="N103" i="24"/>
  <c r="L103" i="24"/>
  <c r="B103" i="24"/>
  <c r="T102" i="24"/>
  <c r="P102" i="24"/>
  <c r="N102" i="24"/>
  <c r="H102" i="24"/>
  <c r="D102" i="24"/>
  <c r="L102" i="24" s="1"/>
  <c r="B102" i="24"/>
  <c r="X101" i="24"/>
  <c r="Z101" i="24" s="1"/>
  <c r="N101" i="24"/>
  <c r="L101" i="24"/>
  <c r="B101" i="24"/>
  <c r="T100" i="24"/>
  <c r="P100" i="24"/>
  <c r="L100" i="24"/>
  <c r="N100" i="24" s="1"/>
  <c r="H100" i="24"/>
  <c r="D100" i="24"/>
  <c r="B100" i="24"/>
  <c r="Z99" i="24"/>
  <c r="X99" i="24"/>
  <c r="L99" i="24"/>
  <c r="N99" i="24" s="1"/>
  <c r="B99" i="24"/>
  <c r="Z98" i="24"/>
  <c r="X98" i="24"/>
  <c r="L98" i="24"/>
  <c r="N98" i="24" s="1"/>
  <c r="B98" i="24"/>
  <c r="T97" i="24"/>
  <c r="P97" i="24"/>
  <c r="H97" i="24"/>
  <c r="N97" i="24" s="1"/>
  <c r="D97" i="24"/>
  <c r="L97" i="24" s="1"/>
  <c r="B97" i="24"/>
  <c r="Z96" i="24"/>
  <c r="X96" i="24"/>
  <c r="N96" i="24"/>
  <c r="L96" i="24"/>
  <c r="B96" i="24"/>
  <c r="T95" i="24"/>
  <c r="P95" i="24"/>
  <c r="H95" i="24"/>
  <c r="D95" i="24"/>
  <c r="L95" i="24" s="1"/>
  <c r="N95" i="24" s="1"/>
  <c r="B95" i="24"/>
  <c r="Z94" i="24"/>
  <c r="X94" i="24"/>
  <c r="N94" i="24"/>
  <c r="L94" i="24"/>
  <c r="B94" i="24"/>
  <c r="T93" i="24"/>
  <c r="P93" i="24"/>
  <c r="X93" i="24" s="1"/>
  <c r="L93" i="24"/>
  <c r="H93" i="24"/>
  <c r="D93" i="24"/>
  <c r="B93" i="24"/>
  <c r="Z92" i="24"/>
  <c r="X92" i="24"/>
  <c r="N92" i="24"/>
  <c r="L92" i="24"/>
  <c r="B92" i="24"/>
  <c r="X91" i="24"/>
  <c r="Z91" i="24" s="1"/>
  <c r="L91" i="24"/>
  <c r="N91" i="24" s="1"/>
  <c r="B91" i="24"/>
  <c r="Z90" i="24"/>
  <c r="X90" i="24"/>
  <c r="N90" i="24"/>
  <c r="L90" i="24"/>
  <c r="B90" i="24"/>
  <c r="Z89" i="24"/>
  <c r="X89" i="24"/>
  <c r="N89" i="24"/>
  <c r="L89" i="24"/>
  <c r="B89" i="24"/>
  <c r="T88" i="24"/>
  <c r="P88" i="24"/>
  <c r="X88" i="24" s="1"/>
  <c r="L88" i="24"/>
  <c r="N88" i="24" s="1"/>
  <c r="H88" i="24"/>
  <c r="D88" i="24"/>
  <c r="B88" i="24"/>
  <c r="X87" i="24"/>
  <c r="Z87" i="24" s="1"/>
  <c r="L87" i="24"/>
  <c r="N87" i="24" s="1"/>
  <c r="B87" i="24"/>
  <c r="X86" i="24"/>
  <c r="Z86" i="24" s="1"/>
  <c r="L86" i="24"/>
  <c r="N86" i="24" s="1"/>
  <c r="B86" i="24"/>
  <c r="Z85" i="24"/>
  <c r="X85" i="24"/>
  <c r="N85" i="24"/>
  <c r="L85" i="24"/>
  <c r="B85" i="24"/>
  <c r="X84" i="24"/>
  <c r="Z84" i="24" s="1"/>
  <c r="L84" i="24"/>
  <c r="N84" i="24" s="1"/>
  <c r="B84" i="24"/>
  <c r="X83" i="24"/>
  <c r="Z83" i="24" s="1"/>
  <c r="L83" i="24"/>
  <c r="N83" i="24" s="1"/>
  <c r="B83" i="24"/>
  <c r="X82" i="24"/>
  <c r="Z82" i="24" s="1"/>
  <c r="L82" i="24"/>
  <c r="N82" i="24" s="1"/>
  <c r="B82" i="24"/>
  <c r="Z81" i="24"/>
  <c r="X81" i="24"/>
  <c r="N81" i="24"/>
  <c r="L81" i="24"/>
  <c r="B81" i="24"/>
  <c r="X80" i="24"/>
  <c r="Z80" i="24" s="1"/>
  <c r="L80" i="24"/>
  <c r="N80" i="24" s="1"/>
  <c r="B80" i="24"/>
  <c r="T79" i="24"/>
  <c r="P79" i="24"/>
  <c r="X79" i="24" s="1"/>
  <c r="N79" i="24"/>
  <c r="H79" i="24"/>
  <c r="D79" i="24"/>
  <c r="L79" i="24" s="1"/>
  <c r="B79" i="24"/>
  <c r="T78" i="24"/>
  <c r="P78" i="24"/>
  <c r="X78" i="24" s="1"/>
  <c r="H78" i="24"/>
  <c r="L78" i="24" s="1"/>
  <c r="D78" i="24"/>
  <c r="X74" i="24"/>
  <c r="Z74" i="24" s="1"/>
  <c r="L74" i="24"/>
  <c r="N74" i="24" s="1"/>
  <c r="B74" i="24"/>
  <c r="Z73" i="24"/>
  <c r="X73" i="24"/>
  <c r="N73" i="24"/>
  <c r="L73" i="24"/>
  <c r="B73" i="24"/>
  <c r="X72" i="24"/>
  <c r="Z72" i="24" s="1"/>
  <c r="N72" i="24"/>
  <c r="L72" i="24"/>
  <c r="B72" i="24"/>
  <c r="X71" i="24"/>
  <c r="Z71" i="24" s="1"/>
  <c r="L71" i="24"/>
  <c r="N71" i="24" s="1"/>
  <c r="B71" i="24"/>
  <c r="Z70" i="24"/>
  <c r="X70" i="24"/>
  <c r="N70" i="24"/>
  <c r="L70" i="24"/>
  <c r="B70" i="24"/>
  <c r="Z69" i="24"/>
  <c r="X69" i="24"/>
  <c r="N69" i="24"/>
  <c r="L69" i="24"/>
  <c r="B69" i="24"/>
  <c r="X68" i="24"/>
  <c r="Z68" i="24" s="1"/>
  <c r="N68" i="24"/>
  <c r="L68" i="24"/>
  <c r="B68" i="24"/>
  <c r="X67" i="24"/>
  <c r="Z67" i="24" s="1"/>
  <c r="L67" i="24"/>
  <c r="N67" i="24" s="1"/>
  <c r="B67" i="24"/>
  <c r="X66" i="24"/>
  <c r="Z66" i="24" s="1"/>
  <c r="L66" i="24"/>
  <c r="N66" i="24" s="1"/>
  <c r="B66" i="24"/>
  <c r="Z65" i="24"/>
  <c r="X65" i="24"/>
  <c r="N65" i="24"/>
  <c r="L65" i="24"/>
  <c r="B65" i="24"/>
  <c r="X64" i="24"/>
  <c r="Z64" i="24" s="1"/>
  <c r="N64" i="24"/>
  <c r="L64" i="24"/>
  <c r="B64" i="24"/>
  <c r="X63" i="24"/>
  <c r="Z63" i="24" s="1"/>
  <c r="L63" i="24"/>
  <c r="N63" i="24" s="1"/>
  <c r="B63" i="24"/>
  <c r="X62" i="24"/>
  <c r="Z62" i="24" s="1"/>
  <c r="L62" i="24"/>
  <c r="N62" i="24" s="1"/>
  <c r="B62" i="24"/>
  <c r="Z61" i="24"/>
  <c r="X61" i="24"/>
  <c r="N61" i="24"/>
  <c r="L61" i="24"/>
  <c r="B61" i="24"/>
  <c r="X60" i="24"/>
  <c r="Z60" i="24" s="1"/>
  <c r="N60" i="24"/>
  <c r="L60" i="24"/>
  <c r="B60" i="24"/>
  <c r="X59" i="24"/>
  <c r="Z59" i="24" s="1"/>
  <c r="L59" i="24"/>
  <c r="N59" i="24" s="1"/>
  <c r="B59" i="24"/>
  <c r="X58" i="24"/>
  <c r="Z58" i="24" s="1"/>
  <c r="L58" i="24"/>
  <c r="N58" i="24" s="1"/>
  <c r="B58" i="24"/>
  <c r="Z57" i="24"/>
  <c r="X57" i="24"/>
  <c r="N57" i="24"/>
  <c r="L57" i="24"/>
  <c r="B57" i="24"/>
  <c r="X56" i="24"/>
  <c r="Z56" i="24" s="1"/>
  <c r="N56" i="24"/>
  <c r="L56" i="24"/>
  <c r="B56" i="24"/>
  <c r="X55" i="24"/>
  <c r="Z55" i="24" s="1"/>
  <c r="L55" i="24"/>
  <c r="N55" i="24" s="1"/>
  <c r="B55" i="24"/>
  <c r="X54" i="24"/>
  <c r="Z54" i="24" s="1"/>
  <c r="N54" i="24"/>
  <c r="L54" i="24"/>
  <c r="B54" i="24"/>
  <c r="Z53" i="24"/>
  <c r="X53" i="24"/>
  <c r="L53" i="24"/>
  <c r="N53" i="24" s="1"/>
  <c r="B53" i="24"/>
  <c r="Z52" i="24"/>
  <c r="X52" i="24"/>
  <c r="N52" i="24"/>
  <c r="L52" i="24"/>
  <c r="B52" i="24"/>
  <c r="X51" i="24"/>
  <c r="Z51" i="24" s="1"/>
  <c r="T51" i="24"/>
  <c r="P51" i="24"/>
  <c r="H51" i="24"/>
  <c r="D51" i="24"/>
  <c r="L51" i="24" s="1"/>
  <c r="N51" i="24" s="1"/>
  <c r="T49" i="24"/>
  <c r="P49" i="24"/>
  <c r="H49" i="24"/>
  <c r="N49" i="24" s="1"/>
  <c r="D49" i="24"/>
  <c r="L49" i="24" s="1"/>
  <c r="B49" i="24"/>
  <c r="T48" i="24"/>
  <c r="P48" i="24"/>
  <c r="X48" i="24" s="1"/>
  <c r="L48" i="24"/>
  <c r="N48" i="24" s="1"/>
  <c r="H48" i="24"/>
  <c r="D48" i="24"/>
  <c r="B48" i="24"/>
  <c r="Z47" i="24"/>
  <c r="X47" i="24"/>
  <c r="T47" i="24"/>
  <c r="P47" i="24"/>
  <c r="H47" i="24"/>
  <c r="N47" i="24" s="1"/>
  <c r="D47" i="24"/>
  <c r="L47" i="24" s="1"/>
  <c r="B47" i="24"/>
  <c r="T46" i="24"/>
  <c r="P46" i="24"/>
  <c r="X46" i="24" s="1"/>
  <c r="H46" i="24"/>
  <c r="D46" i="24"/>
  <c r="L46" i="24" s="1"/>
  <c r="N46" i="24" s="1"/>
  <c r="B46" i="24"/>
  <c r="T45" i="24"/>
  <c r="P45" i="24"/>
  <c r="H45" i="24"/>
  <c r="D45" i="24"/>
  <c r="B45" i="24"/>
  <c r="T44" i="24"/>
  <c r="P44" i="24"/>
  <c r="X44" i="24" s="1"/>
  <c r="L44" i="24"/>
  <c r="N44" i="24" s="1"/>
  <c r="H44" i="24"/>
  <c r="D44" i="24"/>
  <c r="B44" i="24"/>
  <c r="Z43" i="24"/>
  <c r="X43" i="24"/>
  <c r="T43" i="24"/>
  <c r="P43" i="24"/>
  <c r="H43" i="24"/>
  <c r="D43" i="24"/>
  <c r="L43" i="24" s="1"/>
  <c r="B43" i="24"/>
  <c r="T42" i="24"/>
  <c r="P42" i="24"/>
  <c r="X42" i="24" s="1"/>
  <c r="H42" i="24"/>
  <c r="D42" i="24"/>
  <c r="L42" i="24" s="1"/>
  <c r="N42" i="24" s="1"/>
  <c r="B42" i="24"/>
  <c r="T41" i="24"/>
  <c r="P41" i="24"/>
  <c r="L41" i="24"/>
  <c r="H41" i="24"/>
  <c r="N41" i="24" s="1"/>
  <c r="D41" i="24"/>
  <c r="B41" i="24"/>
  <c r="T40" i="24"/>
  <c r="P40" i="24"/>
  <c r="X40" i="24" s="1"/>
  <c r="L40" i="24"/>
  <c r="N40" i="24" s="1"/>
  <c r="H40" i="24"/>
  <c r="D40" i="24"/>
  <c r="B40" i="24"/>
  <c r="Z39" i="24"/>
  <c r="X39" i="24"/>
  <c r="T39" i="24"/>
  <c r="P39" i="24"/>
  <c r="L39" i="24"/>
  <c r="H39" i="24"/>
  <c r="N39" i="24" s="1"/>
  <c r="D39" i="24"/>
  <c r="B39" i="24"/>
  <c r="T38" i="24"/>
  <c r="P38" i="24"/>
  <c r="X38" i="24" s="1"/>
  <c r="H38" i="24"/>
  <c r="D38" i="24"/>
  <c r="L38" i="24" s="1"/>
  <c r="N38" i="24" s="1"/>
  <c r="B38" i="24"/>
  <c r="T37" i="24"/>
  <c r="P37" i="24"/>
  <c r="L37" i="24"/>
  <c r="H37" i="24"/>
  <c r="N37" i="24" s="1"/>
  <c r="D37" i="24"/>
  <c r="B37" i="24"/>
  <c r="T36" i="24"/>
  <c r="P36" i="24"/>
  <c r="X36" i="24" s="1"/>
  <c r="L36" i="24"/>
  <c r="N36" i="24" s="1"/>
  <c r="H36" i="24"/>
  <c r="D36" i="24"/>
  <c r="B36" i="24"/>
  <c r="Z35" i="24"/>
  <c r="X35" i="24"/>
  <c r="T35" i="24"/>
  <c r="P35" i="24"/>
  <c r="L35" i="24"/>
  <c r="H35" i="24"/>
  <c r="N35" i="24" s="1"/>
  <c r="D35" i="24"/>
  <c r="B35" i="24"/>
  <c r="T34" i="24"/>
  <c r="Z34" i="24" s="1"/>
  <c r="P34" i="24"/>
  <c r="X34" i="24" s="1"/>
  <c r="H34" i="24"/>
  <c r="D34" i="24"/>
  <c r="L34" i="24" s="1"/>
  <c r="N34" i="24" s="1"/>
  <c r="B34" i="24"/>
  <c r="T33" i="24"/>
  <c r="P33" i="24"/>
  <c r="L33" i="24"/>
  <c r="H33" i="24"/>
  <c r="N33" i="24" s="1"/>
  <c r="D33" i="24"/>
  <c r="B33" i="24"/>
  <c r="T32" i="24"/>
  <c r="P32" i="24"/>
  <c r="X32" i="24" s="1"/>
  <c r="L32" i="24"/>
  <c r="N32" i="24" s="1"/>
  <c r="H32" i="24"/>
  <c r="D32" i="24"/>
  <c r="B32" i="24"/>
  <c r="Z31" i="24"/>
  <c r="X31" i="24"/>
  <c r="T31" i="24"/>
  <c r="P31" i="24"/>
  <c r="L31" i="24"/>
  <c r="H31" i="24"/>
  <c r="N31" i="24" s="1"/>
  <c r="D31" i="24"/>
  <c r="B31" i="24"/>
  <c r="T30" i="24"/>
  <c r="P30" i="24"/>
  <c r="X30" i="24" s="1"/>
  <c r="N30" i="24"/>
  <c r="H30" i="24"/>
  <c r="D30" i="24"/>
  <c r="L30" i="24" s="1"/>
  <c r="B30" i="24"/>
  <c r="T29" i="24"/>
  <c r="P29" i="24"/>
  <c r="L29" i="24"/>
  <c r="H29" i="24"/>
  <c r="N29" i="24" s="1"/>
  <c r="D29" i="24"/>
  <c r="B29" i="24"/>
  <c r="T28" i="24"/>
  <c r="P28" i="24"/>
  <c r="X28" i="24" s="1"/>
  <c r="L28" i="24"/>
  <c r="N28" i="24" s="1"/>
  <c r="H28" i="24"/>
  <c r="D28" i="24"/>
  <c r="B28" i="24"/>
  <c r="Z27" i="24"/>
  <c r="X27" i="24"/>
  <c r="T27" i="24"/>
  <c r="P27" i="24"/>
  <c r="L27" i="24"/>
  <c r="H27" i="24"/>
  <c r="N27" i="24" s="1"/>
  <c r="D27" i="24"/>
  <c r="B27" i="24"/>
  <c r="T26" i="24"/>
  <c r="P26" i="24"/>
  <c r="X26" i="24" s="1"/>
  <c r="H26" i="24"/>
  <c r="D26" i="24"/>
  <c r="L26" i="24" s="1"/>
  <c r="N26" i="24" s="1"/>
  <c r="B26" i="24"/>
  <c r="T25" i="24"/>
  <c r="P25" i="24"/>
  <c r="L25" i="24"/>
  <c r="H25" i="24"/>
  <c r="N25" i="24" s="1"/>
  <c r="D25" i="24"/>
  <c r="B25" i="24"/>
  <c r="T24" i="24"/>
  <c r="Z24" i="24" s="1"/>
  <c r="P24" i="24"/>
  <c r="X24" i="24" s="1"/>
  <c r="L24" i="24"/>
  <c r="N24" i="24" s="1"/>
  <c r="H24" i="24"/>
  <c r="D24" i="24"/>
  <c r="B24" i="24"/>
  <c r="Z23" i="24"/>
  <c r="X23" i="24"/>
  <c r="T23" i="24"/>
  <c r="P23" i="24"/>
  <c r="L23" i="24"/>
  <c r="H23" i="24"/>
  <c r="N23" i="24" s="1"/>
  <c r="D23" i="24"/>
  <c r="B23" i="24"/>
  <c r="T22" i="24"/>
  <c r="Z22" i="24" s="1"/>
  <c r="P22" i="24"/>
  <c r="X22" i="24" s="1"/>
  <c r="H22" i="24"/>
  <c r="D22" i="24"/>
  <c r="L22" i="24" s="1"/>
  <c r="N22" i="24" s="1"/>
  <c r="B22" i="24"/>
  <c r="T21" i="24"/>
  <c r="P21" i="24"/>
  <c r="L21" i="24"/>
  <c r="H21" i="24"/>
  <c r="N21" i="24" s="1"/>
  <c r="D21" i="24"/>
  <c r="B21" i="24"/>
  <c r="T20" i="24"/>
  <c r="P20" i="24"/>
  <c r="L20" i="24"/>
  <c r="N20" i="24" s="1"/>
  <c r="H20" i="24"/>
  <c r="D20" i="24"/>
  <c r="B20" i="24"/>
  <c r="Z19" i="24"/>
  <c r="X19" i="24"/>
  <c r="T19" i="24"/>
  <c r="P19" i="24"/>
  <c r="L19" i="24"/>
  <c r="N19" i="24" s="1"/>
  <c r="H19" i="24"/>
  <c r="D19" i="24"/>
  <c r="B19" i="24"/>
  <c r="T18" i="24"/>
  <c r="P18" i="24"/>
  <c r="X18" i="24" s="1"/>
  <c r="H18" i="24"/>
  <c r="D18" i="24"/>
  <c r="L18" i="24" s="1"/>
  <c r="N18" i="24" s="1"/>
  <c r="B18" i="24"/>
  <c r="T17" i="24"/>
  <c r="P17" i="24"/>
  <c r="L17" i="24"/>
  <c r="H17" i="24"/>
  <c r="N17" i="24" s="1"/>
  <c r="D17" i="24"/>
  <c r="B17" i="24"/>
  <c r="T16" i="24"/>
  <c r="P16" i="24"/>
  <c r="L16" i="24"/>
  <c r="N16" i="24" s="1"/>
  <c r="H16" i="24"/>
  <c r="D16" i="24"/>
  <c r="B16" i="24"/>
  <c r="Z15" i="24"/>
  <c r="X15" i="24"/>
  <c r="T15" i="24"/>
  <c r="P15" i="24"/>
  <c r="L15" i="24"/>
  <c r="N15" i="24" s="1"/>
  <c r="H15" i="24"/>
  <c r="D15" i="24"/>
  <c r="B15" i="24"/>
  <c r="T14" i="24"/>
  <c r="P14" i="24"/>
  <c r="X14" i="24" s="1"/>
  <c r="H14" i="24"/>
  <c r="D14" i="24"/>
  <c r="L14" i="24" s="1"/>
  <c r="N14" i="24" s="1"/>
  <c r="B14" i="24"/>
  <c r="T13" i="24"/>
  <c r="P13" i="24"/>
  <c r="L13" i="24"/>
  <c r="H13" i="24"/>
  <c r="N13" i="24" s="1"/>
  <c r="D13" i="24"/>
  <c r="D12" i="24" s="1"/>
  <c r="B13" i="24"/>
  <c r="D4" i="24"/>
  <c r="X105" i="21"/>
  <c r="Z105" i="21" s="1"/>
  <c r="L105" i="21"/>
  <c r="N105" i="21" s="1"/>
  <c r="X101" i="21"/>
  <c r="T101" i="21"/>
  <c r="Z101" i="21" s="1"/>
  <c r="P101" i="21"/>
  <c r="L101" i="21"/>
  <c r="H101" i="21"/>
  <c r="N101" i="21" s="1"/>
  <c r="D101" i="21"/>
  <c r="X99" i="21"/>
  <c r="Z99" i="21" s="1"/>
  <c r="L99" i="21"/>
  <c r="N99" i="21" s="1"/>
  <c r="B99" i="21"/>
  <c r="X98" i="21"/>
  <c r="Z98" i="21" s="1"/>
  <c r="T98" i="21"/>
  <c r="P98" i="21"/>
  <c r="H98" i="21"/>
  <c r="D98" i="21"/>
  <c r="L98" i="21" s="1"/>
  <c r="B98" i="21"/>
  <c r="Z97" i="21"/>
  <c r="X97" i="21"/>
  <c r="N97" i="21"/>
  <c r="L97" i="21"/>
  <c r="B97" i="21"/>
  <c r="T96" i="21"/>
  <c r="P96" i="21"/>
  <c r="N96" i="21"/>
  <c r="L96" i="21"/>
  <c r="H96" i="21"/>
  <c r="D96" i="21"/>
  <c r="B96" i="21"/>
  <c r="X95" i="21"/>
  <c r="Z95" i="21" s="1"/>
  <c r="V95" i="21"/>
  <c r="L95" i="21"/>
  <c r="N95" i="21" s="1"/>
  <c r="B95" i="21"/>
  <c r="T94" i="21"/>
  <c r="P94" i="21"/>
  <c r="X94" i="21" s="1"/>
  <c r="H94" i="21"/>
  <c r="L94" i="21" s="1"/>
  <c r="D94" i="21"/>
  <c r="B94" i="21"/>
  <c r="X93" i="21"/>
  <c r="Z93" i="21" s="1"/>
  <c r="N93" i="21"/>
  <c r="L93" i="21"/>
  <c r="B93" i="21"/>
  <c r="Z92" i="21"/>
  <c r="X92" i="21"/>
  <c r="N92" i="21"/>
  <c r="L92" i="21"/>
  <c r="B92" i="21"/>
  <c r="X91" i="21"/>
  <c r="Z91" i="21" s="1"/>
  <c r="N91" i="21"/>
  <c r="L91" i="21"/>
  <c r="B91" i="21"/>
  <c r="X90" i="21"/>
  <c r="Z90" i="21" s="1"/>
  <c r="N90" i="21"/>
  <c r="L90" i="21"/>
  <c r="B90" i="21"/>
  <c r="X89" i="21"/>
  <c r="Z89" i="21" s="1"/>
  <c r="N89" i="21"/>
  <c r="L89" i="21"/>
  <c r="B89" i="21"/>
  <c r="Z88" i="21"/>
  <c r="X88" i="21"/>
  <c r="N88" i="21"/>
  <c r="L88" i="21"/>
  <c r="B88" i="21"/>
  <c r="X87" i="21"/>
  <c r="Z87" i="21" s="1"/>
  <c r="N87" i="21"/>
  <c r="L87" i="21"/>
  <c r="B87" i="21"/>
  <c r="X86" i="21"/>
  <c r="Z86" i="21" s="1"/>
  <c r="T86" i="21"/>
  <c r="P86" i="21"/>
  <c r="H86" i="21"/>
  <c r="D86" i="21"/>
  <c r="L86" i="21" s="1"/>
  <c r="B86" i="21"/>
  <c r="Z85" i="21"/>
  <c r="X85" i="21"/>
  <c r="N85" i="21"/>
  <c r="L85" i="21"/>
  <c r="B85" i="21"/>
  <c r="Z84" i="21"/>
  <c r="X84" i="21"/>
  <c r="N84" i="21"/>
  <c r="L84" i="21"/>
  <c r="B84" i="21"/>
  <c r="T83" i="21"/>
  <c r="P83" i="21"/>
  <c r="X83" i="21" s="1"/>
  <c r="H83" i="21"/>
  <c r="D83" i="21"/>
  <c r="L83" i="21" s="1"/>
  <c r="N83" i="21" s="1"/>
  <c r="B83" i="21"/>
  <c r="X82" i="21"/>
  <c r="Z82" i="21" s="1"/>
  <c r="L82" i="21"/>
  <c r="N82" i="21" s="1"/>
  <c r="B82" i="21"/>
  <c r="Z81" i="21"/>
  <c r="X81" i="21"/>
  <c r="L81" i="21"/>
  <c r="N81" i="21" s="1"/>
  <c r="B81" i="21"/>
  <c r="X80" i="21"/>
  <c r="Z80" i="21" s="1"/>
  <c r="N80" i="21"/>
  <c r="L80" i="21"/>
  <c r="B80" i="21"/>
  <c r="X79" i="21"/>
  <c r="Z79" i="21" s="1"/>
  <c r="L79" i="21"/>
  <c r="N79" i="21" s="1"/>
  <c r="B79" i="21"/>
  <c r="T78" i="21"/>
  <c r="Z78" i="21" s="1"/>
  <c r="P78" i="21"/>
  <c r="X78" i="21" s="1"/>
  <c r="H78" i="21"/>
  <c r="D78" i="21"/>
  <c r="L78" i="21" s="1"/>
  <c r="B78" i="21"/>
  <c r="X77" i="21"/>
  <c r="Z77" i="21" s="1"/>
  <c r="N77" i="21"/>
  <c r="L77" i="21"/>
  <c r="B77" i="21"/>
  <c r="T76" i="21"/>
  <c r="P76" i="21"/>
  <c r="X76" i="21" s="1"/>
  <c r="N76" i="21"/>
  <c r="L76" i="21"/>
  <c r="H76" i="21"/>
  <c r="D76" i="21"/>
  <c r="B76" i="21"/>
  <c r="X75" i="21"/>
  <c r="Z75" i="21" s="1"/>
  <c r="L75" i="21"/>
  <c r="N75" i="21" s="1"/>
  <c r="B75" i="21"/>
  <c r="Z74" i="21"/>
  <c r="X74" i="21"/>
  <c r="N74" i="21"/>
  <c r="L74" i="21"/>
  <c r="B74" i="21"/>
  <c r="Z73" i="21"/>
  <c r="X73" i="21"/>
  <c r="N73" i="21"/>
  <c r="L73" i="21"/>
  <c r="B73" i="21"/>
  <c r="T72" i="21"/>
  <c r="P72" i="21"/>
  <c r="N72" i="21"/>
  <c r="L72" i="21"/>
  <c r="H72" i="21"/>
  <c r="D72" i="21"/>
  <c r="B72" i="21"/>
  <c r="X71" i="21"/>
  <c r="Z71" i="21" s="1"/>
  <c r="L71" i="21"/>
  <c r="N71" i="21" s="1"/>
  <c r="B71" i="21"/>
  <c r="T70" i="21"/>
  <c r="P70" i="21"/>
  <c r="X70" i="21" s="1"/>
  <c r="H70" i="21"/>
  <c r="D70" i="21"/>
  <c r="L70" i="21" s="1"/>
  <c r="B70" i="21"/>
  <c r="X69" i="21"/>
  <c r="Z69" i="21" s="1"/>
  <c r="N69" i="21"/>
  <c r="L69" i="21"/>
  <c r="B69" i="21"/>
  <c r="T68" i="21"/>
  <c r="P68" i="21"/>
  <c r="X68" i="21" s="1"/>
  <c r="L68" i="21"/>
  <c r="N68" i="21" s="1"/>
  <c r="H68" i="21"/>
  <c r="D68" i="21"/>
  <c r="B68" i="21"/>
  <c r="X67" i="21"/>
  <c r="Z67" i="21" s="1"/>
  <c r="L67" i="21"/>
  <c r="N67" i="21" s="1"/>
  <c r="B67" i="21"/>
  <c r="Z66" i="21"/>
  <c r="X66" i="21"/>
  <c r="T66" i="21"/>
  <c r="P66" i="21"/>
  <c r="H66" i="21"/>
  <c r="D66" i="21"/>
  <c r="B66" i="21"/>
  <c r="Z65" i="21"/>
  <c r="X65" i="21"/>
  <c r="L65" i="21"/>
  <c r="N65" i="21" s="1"/>
  <c r="B65" i="21"/>
  <c r="T64" i="21"/>
  <c r="P64" i="21"/>
  <c r="X64" i="21" s="1"/>
  <c r="H64" i="21"/>
  <c r="D64" i="21"/>
  <c r="L64" i="21" s="1"/>
  <c r="B64" i="21"/>
  <c r="X63" i="21"/>
  <c r="Z63" i="21" s="1"/>
  <c r="L63" i="21"/>
  <c r="N63" i="21" s="1"/>
  <c r="B63" i="21"/>
  <c r="X62" i="21"/>
  <c r="Z62" i="21" s="1"/>
  <c r="T62" i="21"/>
  <c r="P62" i="21"/>
  <c r="H62" i="21"/>
  <c r="D62" i="21"/>
  <c r="L62" i="21" s="1"/>
  <c r="B62" i="21"/>
  <c r="Z61" i="21"/>
  <c r="X61" i="21"/>
  <c r="N61" i="21"/>
  <c r="L61" i="21"/>
  <c r="B61" i="21"/>
  <c r="T60" i="21"/>
  <c r="P60" i="21"/>
  <c r="N60" i="21"/>
  <c r="L60" i="21"/>
  <c r="H60" i="21"/>
  <c r="D60" i="21"/>
  <c r="B60" i="21"/>
  <c r="X59" i="21"/>
  <c r="Z59" i="21" s="1"/>
  <c r="L59" i="21"/>
  <c r="N59" i="21" s="1"/>
  <c r="B59" i="21"/>
  <c r="T58" i="21"/>
  <c r="P58" i="21"/>
  <c r="X58" i="21" s="1"/>
  <c r="H58" i="21"/>
  <c r="D58" i="21"/>
  <c r="L58" i="21" s="1"/>
  <c r="B58" i="21"/>
  <c r="X57" i="21"/>
  <c r="Z57" i="21" s="1"/>
  <c r="N57" i="21"/>
  <c r="L57" i="21"/>
  <c r="B57" i="21"/>
  <c r="T56" i="21"/>
  <c r="P56" i="21"/>
  <c r="X56" i="21" s="1"/>
  <c r="L56" i="21"/>
  <c r="N56" i="21" s="1"/>
  <c r="H56" i="21"/>
  <c r="D56" i="21"/>
  <c r="B56" i="21"/>
  <c r="Z55" i="21"/>
  <c r="X55" i="21"/>
  <c r="L55" i="21"/>
  <c r="N55" i="21" s="1"/>
  <c r="B55" i="21"/>
  <c r="Z54" i="21"/>
  <c r="X54" i="21"/>
  <c r="L54" i="21"/>
  <c r="N54" i="21" s="1"/>
  <c r="B54" i="21"/>
  <c r="T53" i="21"/>
  <c r="P53" i="21"/>
  <c r="X53" i="21" s="1"/>
  <c r="Z53" i="21" s="1"/>
  <c r="H53" i="21"/>
  <c r="N53" i="21" s="1"/>
  <c r="D53" i="21"/>
  <c r="L53" i="21" s="1"/>
  <c r="B53" i="21"/>
  <c r="X52" i="21"/>
  <c r="Z52" i="21" s="1"/>
  <c r="N52" i="21"/>
  <c r="L52" i="21"/>
  <c r="B52" i="21"/>
  <c r="T51" i="21"/>
  <c r="P51" i="21"/>
  <c r="X51" i="21" s="1"/>
  <c r="Z51" i="21" s="1"/>
  <c r="H51" i="21"/>
  <c r="D51" i="21"/>
  <c r="L51" i="21" s="1"/>
  <c r="N51" i="21" s="1"/>
  <c r="B51" i="21"/>
  <c r="X50" i="21"/>
  <c r="Z50" i="21" s="1"/>
  <c r="N50" i="21"/>
  <c r="L50" i="21"/>
  <c r="B50" i="21"/>
  <c r="X49" i="21"/>
  <c r="T49" i="21"/>
  <c r="Z49" i="21" s="1"/>
  <c r="P49" i="21"/>
  <c r="L49" i="21"/>
  <c r="H49" i="21"/>
  <c r="N49" i="21" s="1"/>
  <c r="D49" i="21"/>
  <c r="B49" i="21"/>
  <c r="Z48" i="21"/>
  <c r="X48" i="21"/>
  <c r="L48" i="21"/>
  <c r="N48" i="21" s="1"/>
  <c r="B48" i="21"/>
  <c r="T47" i="21"/>
  <c r="P47" i="21"/>
  <c r="X47" i="21" s="1"/>
  <c r="H47" i="21"/>
  <c r="D47" i="21"/>
  <c r="L47" i="21" s="1"/>
  <c r="N47" i="21" s="1"/>
  <c r="B47" i="21"/>
  <c r="X46" i="21"/>
  <c r="Z46" i="21" s="1"/>
  <c r="L46" i="21"/>
  <c r="N46" i="21" s="1"/>
  <c r="B46" i="21"/>
  <c r="Z45" i="21"/>
  <c r="X45" i="21"/>
  <c r="L45" i="21"/>
  <c r="N45" i="21" s="1"/>
  <c r="B45" i="21"/>
  <c r="X44" i="21"/>
  <c r="Z44" i="21" s="1"/>
  <c r="N44" i="21"/>
  <c r="L44" i="21"/>
  <c r="B44" i="21"/>
  <c r="X43" i="21"/>
  <c r="Z43" i="21" s="1"/>
  <c r="V43" i="21"/>
  <c r="L43" i="21"/>
  <c r="N43" i="21" s="1"/>
  <c r="B43" i="21"/>
  <c r="Z42" i="21"/>
  <c r="X42" i="21"/>
  <c r="N42" i="21"/>
  <c r="L42" i="21"/>
  <c r="B42" i="21"/>
  <c r="Z41" i="21"/>
  <c r="X41" i="21"/>
  <c r="L41" i="21"/>
  <c r="N41" i="21" s="1"/>
  <c r="B41" i="21"/>
  <c r="T40" i="21"/>
  <c r="Z40" i="21" s="1"/>
  <c r="P40" i="21"/>
  <c r="X40" i="21" s="1"/>
  <c r="H40" i="21"/>
  <c r="D40" i="21"/>
  <c r="L40" i="21" s="1"/>
  <c r="B40" i="21"/>
  <c r="X39" i="21"/>
  <c r="Z39" i="21" s="1"/>
  <c r="N39" i="21"/>
  <c r="L39" i="21"/>
  <c r="B39" i="21"/>
  <c r="X38" i="21"/>
  <c r="Z38" i="21" s="1"/>
  <c r="N38" i="21"/>
  <c r="L38" i="21"/>
  <c r="B38" i="21"/>
  <c r="X37" i="21"/>
  <c r="Z37" i="21" s="1"/>
  <c r="N37" i="21"/>
  <c r="L37" i="21"/>
  <c r="B37" i="21"/>
  <c r="Z36" i="21"/>
  <c r="X36" i="21"/>
  <c r="N36" i="21"/>
  <c r="L36" i="21"/>
  <c r="B36" i="21"/>
  <c r="X35" i="21"/>
  <c r="Z35" i="21" s="1"/>
  <c r="L35" i="21"/>
  <c r="N35" i="21" s="1"/>
  <c r="B35" i="21"/>
  <c r="X34" i="21"/>
  <c r="Z34" i="21" s="1"/>
  <c r="N34" i="21"/>
  <c r="L34" i="21"/>
  <c r="B34" i="21"/>
  <c r="X33" i="21"/>
  <c r="Z33" i="21" s="1"/>
  <c r="N33" i="21"/>
  <c r="L33" i="21"/>
  <c r="B33" i="21"/>
  <c r="Z32" i="21"/>
  <c r="X32" i="21"/>
  <c r="N32" i="21"/>
  <c r="L32" i="21"/>
  <c r="B32" i="21"/>
  <c r="X31" i="21"/>
  <c r="T31" i="21"/>
  <c r="Z31" i="21" s="1"/>
  <c r="P31" i="21"/>
  <c r="L31" i="21"/>
  <c r="H31" i="21"/>
  <c r="N31" i="21" s="1"/>
  <c r="D31" i="21"/>
  <c r="B31" i="21"/>
  <c r="Z30" i="21"/>
  <c r="X30" i="21"/>
  <c r="T30" i="21"/>
  <c r="P30" i="21"/>
  <c r="H30" i="21"/>
  <c r="D30" i="21"/>
  <c r="Z26" i="21"/>
  <c r="X26" i="21"/>
  <c r="L26" i="21"/>
  <c r="N26" i="21" s="1"/>
  <c r="B26" i="21"/>
  <c r="Z25" i="21"/>
  <c r="X25" i="21"/>
  <c r="N25" i="21"/>
  <c r="L25" i="21"/>
  <c r="B25" i="21"/>
  <c r="T24" i="21"/>
  <c r="P24" i="21"/>
  <c r="N24" i="21"/>
  <c r="L24" i="21"/>
  <c r="H24" i="21"/>
  <c r="D24" i="21"/>
  <c r="T22" i="21"/>
  <c r="P22" i="21"/>
  <c r="X22" i="21" s="1"/>
  <c r="Z22" i="21" s="1"/>
  <c r="H22" i="21"/>
  <c r="N22" i="21" s="1"/>
  <c r="D22" i="21"/>
  <c r="L22" i="21" s="1"/>
  <c r="B22" i="21"/>
  <c r="T21" i="21"/>
  <c r="P21" i="21"/>
  <c r="X21" i="21" s="1"/>
  <c r="H21" i="21"/>
  <c r="D21" i="21"/>
  <c r="B21" i="21"/>
  <c r="Z20" i="21"/>
  <c r="X20" i="21"/>
  <c r="T20" i="21"/>
  <c r="P20" i="21"/>
  <c r="H20" i="21"/>
  <c r="D20" i="21"/>
  <c r="B20" i="21"/>
  <c r="Z19" i="21"/>
  <c r="T19" i="21"/>
  <c r="P19" i="21"/>
  <c r="X19" i="21" s="1"/>
  <c r="H19" i="21"/>
  <c r="L19" i="21" s="1"/>
  <c r="N19" i="21" s="1"/>
  <c r="D19" i="21"/>
  <c r="B19" i="21"/>
  <c r="T18" i="21"/>
  <c r="P18" i="21"/>
  <c r="X18" i="21" s="1"/>
  <c r="H18" i="21"/>
  <c r="N18" i="21" s="1"/>
  <c r="D18" i="21"/>
  <c r="L18" i="21" s="1"/>
  <c r="B18" i="21"/>
  <c r="T17" i="21"/>
  <c r="P17" i="21"/>
  <c r="X17" i="21" s="1"/>
  <c r="H17" i="21"/>
  <c r="D17" i="21"/>
  <c r="B17" i="21"/>
  <c r="Z16" i="21"/>
  <c r="X16" i="21"/>
  <c r="T16" i="21"/>
  <c r="P16" i="21"/>
  <c r="L16" i="21"/>
  <c r="H16" i="21"/>
  <c r="N16" i="21" s="1"/>
  <c r="D16" i="21"/>
  <c r="B16" i="21"/>
  <c r="Z15" i="21"/>
  <c r="T15" i="21"/>
  <c r="P15" i="21"/>
  <c r="X15" i="21" s="1"/>
  <c r="H15" i="21"/>
  <c r="L15" i="21" s="1"/>
  <c r="N15" i="21" s="1"/>
  <c r="D15" i="21"/>
  <c r="B15" i="21"/>
  <c r="T14" i="21"/>
  <c r="P14" i="21"/>
  <c r="X14" i="21" s="1"/>
  <c r="H14" i="21"/>
  <c r="D14" i="21"/>
  <c r="L14" i="21" s="1"/>
  <c r="B14" i="21"/>
  <c r="T13" i="21"/>
  <c r="T12" i="21" s="1"/>
  <c r="V71" i="21" s="1"/>
  <c r="P13" i="21"/>
  <c r="H13" i="21"/>
  <c r="D13" i="21"/>
  <c r="B13" i="21"/>
  <c r="D4" i="21"/>
  <c r="X283" i="18"/>
  <c r="Z283" i="18" s="1"/>
  <c r="N283" i="18"/>
  <c r="L283" i="18"/>
  <c r="Z279" i="18"/>
  <c r="X279" i="18"/>
  <c r="T279" i="18"/>
  <c r="P279" i="18"/>
  <c r="N279" i="18"/>
  <c r="H279" i="18"/>
  <c r="D279" i="18"/>
  <c r="L279" i="18" s="1"/>
  <c r="B279" i="18"/>
  <c r="X278" i="18"/>
  <c r="Z278" i="18" s="1"/>
  <c r="T278" i="18"/>
  <c r="P278" i="18"/>
  <c r="H278" i="18"/>
  <c r="D278" i="18"/>
  <c r="L278" i="18" s="1"/>
  <c r="B278" i="18"/>
  <c r="T277" i="18"/>
  <c r="P277" i="18"/>
  <c r="X277" i="18" s="1"/>
  <c r="Z277" i="18" s="1"/>
  <c r="H277" i="18"/>
  <c r="D277" i="18"/>
  <c r="L277" i="18" s="1"/>
  <c r="B277" i="18"/>
  <c r="T276" i="18"/>
  <c r="Z276" i="18" s="1"/>
  <c r="P276" i="18"/>
  <c r="X276" i="18" s="1"/>
  <c r="H276" i="18"/>
  <c r="N276" i="18" s="1"/>
  <c r="D276" i="18"/>
  <c r="L276" i="18" s="1"/>
  <c r="B276" i="18"/>
  <c r="X275" i="18"/>
  <c r="T275" i="18"/>
  <c r="Z275" i="18" s="1"/>
  <c r="P275" i="18"/>
  <c r="H275" i="18"/>
  <c r="D275" i="18"/>
  <c r="B275" i="18"/>
  <c r="Z274" i="18"/>
  <c r="T274" i="18"/>
  <c r="P274" i="18"/>
  <c r="X274" i="18" s="1"/>
  <c r="H274" i="18"/>
  <c r="D274" i="18"/>
  <c r="B274" i="18"/>
  <c r="T273" i="18"/>
  <c r="P273" i="18"/>
  <c r="X273" i="18" s="1"/>
  <c r="Z273" i="18" s="1"/>
  <c r="N273" i="18"/>
  <c r="L273" i="18"/>
  <c r="H273" i="18"/>
  <c r="D273" i="18"/>
  <c r="B273" i="18"/>
  <c r="T272" i="18"/>
  <c r="Z272" i="18" s="1"/>
  <c r="P272" i="18"/>
  <c r="X272" i="18" s="1"/>
  <c r="L272" i="18"/>
  <c r="N272" i="18" s="1"/>
  <c r="H272" i="18"/>
  <c r="D272" i="18"/>
  <c r="B272" i="18"/>
  <c r="T271" i="18"/>
  <c r="Z271" i="18" s="1"/>
  <c r="P271" i="18"/>
  <c r="X271" i="18" s="1"/>
  <c r="H271" i="18"/>
  <c r="D271" i="18"/>
  <c r="L271" i="18" s="1"/>
  <c r="N271" i="18" s="1"/>
  <c r="B271" i="18"/>
  <c r="T270" i="18"/>
  <c r="Z270" i="18" s="1"/>
  <c r="P270" i="18"/>
  <c r="H270" i="18"/>
  <c r="H269" i="18" s="1"/>
  <c r="D270" i="18"/>
  <c r="L270" i="18" s="1"/>
  <c r="B270" i="18"/>
  <c r="T269" i="18"/>
  <c r="Z267" i="18"/>
  <c r="X267" i="18"/>
  <c r="N267" i="18"/>
  <c r="L267" i="18"/>
  <c r="B267" i="18"/>
  <c r="T266" i="18"/>
  <c r="Z266" i="18" s="1"/>
  <c r="P266" i="18"/>
  <c r="X266" i="18" s="1"/>
  <c r="L266" i="18"/>
  <c r="N266" i="18" s="1"/>
  <c r="H266" i="18"/>
  <c r="D266" i="18"/>
  <c r="B266" i="18"/>
  <c r="Z265" i="18"/>
  <c r="X265" i="18"/>
  <c r="L265" i="18"/>
  <c r="N265" i="18" s="1"/>
  <c r="B265" i="18"/>
  <c r="Z264" i="18"/>
  <c r="X264" i="18"/>
  <c r="L264" i="18"/>
  <c r="N264" i="18" s="1"/>
  <c r="B264" i="18"/>
  <c r="Z263" i="18"/>
  <c r="X263" i="18"/>
  <c r="N263" i="18"/>
  <c r="L263" i="18"/>
  <c r="B263" i="18"/>
  <c r="T262" i="18"/>
  <c r="P262" i="18"/>
  <c r="H262" i="18"/>
  <c r="D262" i="18"/>
  <c r="L262" i="18" s="1"/>
  <c r="N262" i="18" s="1"/>
  <c r="B262" i="18"/>
  <c r="X261" i="18"/>
  <c r="Z261" i="18" s="1"/>
  <c r="L261" i="18"/>
  <c r="N261" i="18" s="1"/>
  <c r="B261" i="18"/>
  <c r="T260" i="18"/>
  <c r="P260" i="18"/>
  <c r="X260" i="18" s="1"/>
  <c r="H260" i="18"/>
  <c r="D260" i="18"/>
  <c r="L260" i="18" s="1"/>
  <c r="B260" i="18"/>
  <c r="Z259" i="18"/>
  <c r="X259" i="18"/>
  <c r="N259" i="18"/>
  <c r="L259" i="18"/>
  <c r="B259" i="18"/>
  <c r="X258" i="18"/>
  <c r="Z258" i="18" s="1"/>
  <c r="N258" i="18"/>
  <c r="L258" i="18"/>
  <c r="B258" i="18"/>
  <c r="X257" i="18"/>
  <c r="T257" i="18"/>
  <c r="Z257" i="18" s="1"/>
  <c r="P257" i="18"/>
  <c r="H257" i="18"/>
  <c r="D257" i="18"/>
  <c r="B257" i="18"/>
  <c r="Z256" i="18"/>
  <c r="X256" i="18"/>
  <c r="L256" i="18"/>
  <c r="N256" i="18" s="1"/>
  <c r="B256" i="18"/>
  <c r="Z255" i="18"/>
  <c r="X255" i="18"/>
  <c r="N255" i="18"/>
  <c r="L255" i="18"/>
  <c r="B255" i="18"/>
  <c r="Z254" i="18"/>
  <c r="X254" i="18"/>
  <c r="L254" i="18"/>
  <c r="N254" i="18" s="1"/>
  <c r="B254" i="18"/>
  <c r="Z253" i="18"/>
  <c r="X253" i="18"/>
  <c r="L253" i="18"/>
  <c r="N253" i="18" s="1"/>
  <c r="B253" i="18"/>
  <c r="Z252" i="18"/>
  <c r="X252" i="18"/>
  <c r="L252" i="18"/>
  <c r="N252" i="18" s="1"/>
  <c r="B252" i="18"/>
  <c r="Z251" i="18"/>
  <c r="X251" i="18"/>
  <c r="N251" i="18"/>
  <c r="L251" i="18"/>
  <c r="B251" i="18"/>
  <c r="T250" i="18"/>
  <c r="P250" i="18"/>
  <c r="H250" i="18"/>
  <c r="D250" i="18"/>
  <c r="L250" i="18" s="1"/>
  <c r="N250" i="18" s="1"/>
  <c r="B250" i="18"/>
  <c r="X249" i="18"/>
  <c r="Z249" i="18" s="1"/>
  <c r="L249" i="18"/>
  <c r="N249" i="18" s="1"/>
  <c r="B249" i="18"/>
  <c r="X248" i="18"/>
  <c r="Z248" i="18" s="1"/>
  <c r="L248" i="18"/>
  <c r="N248" i="18" s="1"/>
  <c r="B248" i="18"/>
  <c r="T247" i="18"/>
  <c r="P247" i="18"/>
  <c r="X247" i="18" s="1"/>
  <c r="Z247" i="18" s="1"/>
  <c r="L247" i="18"/>
  <c r="N247" i="18" s="1"/>
  <c r="H247" i="18"/>
  <c r="D247" i="18"/>
  <c r="B247" i="18"/>
  <c r="X246" i="18"/>
  <c r="Z246" i="18" s="1"/>
  <c r="N246" i="18"/>
  <c r="L246" i="18"/>
  <c r="B246" i="18"/>
  <c r="X245" i="18"/>
  <c r="Z245" i="18" s="1"/>
  <c r="N245" i="18"/>
  <c r="L245" i="18"/>
  <c r="B245" i="18"/>
  <c r="X244" i="18"/>
  <c r="Z244" i="18" s="1"/>
  <c r="N244" i="18"/>
  <c r="L244" i="18"/>
  <c r="B244" i="18"/>
  <c r="Z243" i="18"/>
  <c r="X243" i="18"/>
  <c r="N243" i="18"/>
  <c r="L243" i="18"/>
  <c r="B243" i="18"/>
  <c r="T242" i="18"/>
  <c r="P242" i="18"/>
  <c r="X242" i="18" s="1"/>
  <c r="L242" i="18"/>
  <c r="N242" i="18" s="1"/>
  <c r="H242" i="18"/>
  <c r="D242" i="18"/>
  <c r="B242" i="18"/>
  <c r="X241" i="18"/>
  <c r="Z241" i="18" s="1"/>
  <c r="L241" i="18"/>
  <c r="N241" i="18" s="1"/>
  <c r="B241" i="18"/>
  <c r="Z240" i="18"/>
  <c r="X240" i="18"/>
  <c r="N240" i="18"/>
  <c r="L240" i="18"/>
  <c r="B240" i="18"/>
  <c r="Z239" i="18"/>
  <c r="X239" i="18"/>
  <c r="N239" i="18"/>
  <c r="L239" i="18"/>
  <c r="B239" i="18"/>
  <c r="T238" i="18"/>
  <c r="P238" i="18"/>
  <c r="H238" i="18"/>
  <c r="D238" i="18"/>
  <c r="L238" i="18" s="1"/>
  <c r="N238" i="18" s="1"/>
  <c r="B238" i="18"/>
  <c r="X237" i="18"/>
  <c r="Z237" i="18" s="1"/>
  <c r="L237" i="18"/>
  <c r="N237" i="18" s="1"/>
  <c r="B237" i="18"/>
  <c r="X236" i="18"/>
  <c r="Z236" i="18" s="1"/>
  <c r="L236" i="18"/>
  <c r="N236" i="18" s="1"/>
  <c r="B236" i="18"/>
  <c r="Z235" i="18"/>
  <c r="X235" i="18"/>
  <c r="N235" i="18"/>
  <c r="L235" i="18"/>
  <c r="B235" i="18"/>
  <c r="T234" i="18"/>
  <c r="P234" i="18"/>
  <c r="X234" i="18" s="1"/>
  <c r="H234" i="18"/>
  <c r="D234" i="18"/>
  <c r="L234" i="18" s="1"/>
  <c r="N234" i="18" s="1"/>
  <c r="B234" i="18"/>
  <c r="X233" i="18"/>
  <c r="Z233" i="18" s="1"/>
  <c r="L233" i="18"/>
  <c r="N233" i="18" s="1"/>
  <c r="B233" i="18"/>
  <c r="X232" i="18"/>
  <c r="Z232" i="18" s="1"/>
  <c r="T232" i="18"/>
  <c r="P232" i="18"/>
  <c r="H232" i="18"/>
  <c r="D232" i="18"/>
  <c r="L232" i="18" s="1"/>
  <c r="B232" i="18"/>
  <c r="Z231" i="18"/>
  <c r="X231" i="18"/>
  <c r="N231" i="18"/>
  <c r="L231" i="18"/>
  <c r="B231" i="18"/>
  <c r="T230" i="18"/>
  <c r="P230" i="18"/>
  <c r="N230" i="18"/>
  <c r="H230" i="18"/>
  <c r="D230" i="18"/>
  <c r="L230" i="18" s="1"/>
  <c r="B230" i="18"/>
  <c r="X229" i="18"/>
  <c r="Z229" i="18" s="1"/>
  <c r="L229" i="18"/>
  <c r="N229" i="18" s="1"/>
  <c r="B229" i="18"/>
  <c r="T228" i="18"/>
  <c r="P228" i="18"/>
  <c r="X228" i="18" s="1"/>
  <c r="Z228" i="18" s="1"/>
  <c r="H228" i="18"/>
  <c r="D228" i="18"/>
  <c r="L228" i="18" s="1"/>
  <c r="B228" i="18"/>
  <c r="Z227" i="18"/>
  <c r="X227" i="18"/>
  <c r="N227" i="18"/>
  <c r="L227" i="18"/>
  <c r="B227" i="18"/>
  <c r="T226" i="18"/>
  <c r="Z226" i="18" s="1"/>
  <c r="P226" i="18"/>
  <c r="X226" i="18" s="1"/>
  <c r="L226" i="18"/>
  <c r="N226" i="18" s="1"/>
  <c r="H226" i="18"/>
  <c r="D226" i="18"/>
  <c r="B226" i="18"/>
  <c r="X225" i="18"/>
  <c r="Z225" i="18" s="1"/>
  <c r="L225" i="18"/>
  <c r="N225" i="18" s="1"/>
  <c r="B225" i="18"/>
  <c r="T224" i="18"/>
  <c r="P224" i="18"/>
  <c r="X224" i="18" s="1"/>
  <c r="Z224" i="18" s="1"/>
  <c r="H224" i="18"/>
  <c r="D224" i="18"/>
  <c r="B224" i="18"/>
  <c r="Z223" i="18"/>
  <c r="X223" i="18"/>
  <c r="N223" i="18"/>
  <c r="L223" i="18"/>
  <c r="B223" i="18"/>
  <c r="X222" i="18"/>
  <c r="Z222" i="18" s="1"/>
  <c r="N222" i="18"/>
  <c r="L222" i="18"/>
  <c r="B222" i="18"/>
  <c r="X221" i="18"/>
  <c r="Z221" i="18" s="1"/>
  <c r="T221" i="18"/>
  <c r="P221" i="18"/>
  <c r="H221" i="18"/>
  <c r="D221" i="18"/>
  <c r="B221" i="18"/>
  <c r="X220" i="18"/>
  <c r="Z220" i="18" s="1"/>
  <c r="N220" i="18"/>
  <c r="L220" i="18"/>
  <c r="B220" i="18"/>
  <c r="T219" i="18"/>
  <c r="P219" i="18"/>
  <c r="H219" i="18"/>
  <c r="N219" i="18" s="1"/>
  <c r="D219" i="18"/>
  <c r="L219" i="18" s="1"/>
  <c r="B219" i="18"/>
  <c r="Z218" i="18"/>
  <c r="X218" i="18"/>
  <c r="L218" i="18"/>
  <c r="N218" i="18" s="1"/>
  <c r="B218" i="18"/>
  <c r="X217" i="18"/>
  <c r="T217" i="18"/>
  <c r="Z217" i="18" s="1"/>
  <c r="P217" i="18"/>
  <c r="N217" i="18"/>
  <c r="H217" i="18"/>
  <c r="D217" i="18"/>
  <c r="L217" i="18" s="1"/>
  <c r="B217" i="18"/>
  <c r="Z216" i="18"/>
  <c r="X216" i="18"/>
  <c r="L216" i="18"/>
  <c r="N216" i="18" s="1"/>
  <c r="B216" i="18"/>
  <c r="T215" i="18"/>
  <c r="P215" i="18"/>
  <c r="L215" i="18"/>
  <c r="N215" i="18" s="1"/>
  <c r="H215" i="18"/>
  <c r="D215" i="18"/>
  <c r="B215" i="18"/>
  <c r="Z214" i="18"/>
  <c r="X214" i="18"/>
  <c r="N214" i="18"/>
  <c r="L214" i="18"/>
  <c r="B214" i="18"/>
  <c r="X213" i="18"/>
  <c r="Z213" i="18" s="1"/>
  <c r="L213" i="18"/>
  <c r="N213" i="18" s="1"/>
  <c r="B213" i="18"/>
  <c r="X212" i="18"/>
  <c r="Z212" i="18" s="1"/>
  <c r="T212" i="18"/>
  <c r="P212" i="18"/>
  <c r="H212" i="18"/>
  <c r="D212" i="18"/>
  <c r="L212" i="18" s="1"/>
  <c r="B212" i="18"/>
  <c r="Z211" i="18"/>
  <c r="X211" i="18"/>
  <c r="N211" i="18"/>
  <c r="L211" i="18"/>
  <c r="B211" i="18"/>
  <c r="Z210" i="18"/>
  <c r="X210" i="18"/>
  <c r="L210" i="18"/>
  <c r="N210" i="18" s="1"/>
  <c r="B210" i="18"/>
  <c r="X209" i="18"/>
  <c r="T209" i="18"/>
  <c r="Z209" i="18" s="1"/>
  <c r="P209" i="18"/>
  <c r="H209" i="18"/>
  <c r="D209" i="18"/>
  <c r="L209" i="18" s="1"/>
  <c r="N209" i="18" s="1"/>
  <c r="B209" i="18"/>
  <c r="Z208" i="18"/>
  <c r="X208" i="18"/>
  <c r="L208" i="18"/>
  <c r="N208" i="18" s="1"/>
  <c r="B208" i="18"/>
  <c r="T207" i="18"/>
  <c r="P207" i="18"/>
  <c r="L207" i="18"/>
  <c r="N207" i="18" s="1"/>
  <c r="H207" i="18"/>
  <c r="D207" i="18"/>
  <c r="B207" i="18"/>
  <c r="Z206" i="18"/>
  <c r="X206" i="18"/>
  <c r="N206" i="18"/>
  <c r="L206" i="18"/>
  <c r="B206" i="18"/>
  <c r="X205" i="18"/>
  <c r="Z205" i="18" s="1"/>
  <c r="L205" i="18"/>
  <c r="N205" i="18" s="1"/>
  <c r="B205" i="18"/>
  <c r="X204" i="18"/>
  <c r="Z204" i="18" s="1"/>
  <c r="T204" i="18"/>
  <c r="P204" i="18"/>
  <c r="H204" i="18"/>
  <c r="D204" i="18"/>
  <c r="L204" i="18" s="1"/>
  <c r="B204" i="18"/>
  <c r="Z203" i="18"/>
  <c r="X203" i="18"/>
  <c r="N203" i="18"/>
  <c r="L203" i="18"/>
  <c r="B203" i="18"/>
  <c r="T202" i="18"/>
  <c r="P202" i="18"/>
  <c r="L202" i="18"/>
  <c r="N202" i="18" s="1"/>
  <c r="H202" i="18"/>
  <c r="D202" i="18"/>
  <c r="B202" i="18"/>
  <c r="X201" i="18"/>
  <c r="Z201" i="18" s="1"/>
  <c r="L201" i="18"/>
  <c r="N201" i="18" s="1"/>
  <c r="B201" i="18"/>
  <c r="Z200" i="18"/>
  <c r="X200" i="18"/>
  <c r="L200" i="18"/>
  <c r="N200" i="18" s="1"/>
  <c r="B200" i="18"/>
  <c r="Z199" i="18"/>
  <c r="X199" i="18"/>
  <c r="L199" i="18"/>
  <c r="N199" i="18" s="1"/>
  <c r="B199" i="18"/>
  <c r="X198" i="18"/>
  <c r="Z198" i="18" s="1"/>
  <c r="N198" i="18"/>
  <c r="L198" i="18"/>
  <c r="B198" i="18"/>
  <c r="X197" i="18"/>
  <c r="Z197" i="18" s="1"/>
  <c r="L197" i="18"/>
  <c r="N197" i="18" s="1"/>
  <c r="B197" i="18"/>
  <c r="Z196" i="18"/>
  <c r="X196" i="18"/>
  <c r="L196" i="18"/>
  <c r="N196" i="18" s="1"/>
  <c r="B196" i="18"/>
  <c r="Z195" i="18"/>
  <c r="X195" i="18"/>
  <c r="L195" i="18"/>
  <c r="N195" i="18" s="1"/>
  <c r="B195" i="18"/>
  <c r="T194" i="18"/>
  <c r="P194" i="18"/>
  <c r="X194" i="18" s="1"/>
  <c r="H194" i="18"/>
  <c r="D194" i="18"/>
  <c r="L194" i="18" s="1"/>
  <c r="N194" i="18" s="1"/>
  <c r="B194" i="18"/>
  <c r="X193" i="18"/>
  <c r="Z193" i="18" s="1"/>
  <c r="L193" i="18"/>
  <c r="N193" i="18" s="1"/>
  <c r="B193" i="18"/>
  <c r="X192" i="18"/>
  <c r="Z192" i="18" s="1"/>
  <c r="L192" i="18"/>
  <c r="N192" i="18" s="1"/>
  <c r="B192" i="18"/>
  <c r="X191" i="18"/>
  <c r="Z191" i="18" s="1"/>
  <c r="N191" i="18"/>
  <c r="L191" i="18"/>
  <c r="B191" i="18"/>
  <c r="Z190" i="18"/>
  <c r="X190" i="18"/>
  <c r="N190" i="18"/>
  <c r="L190" i="18"/>
  <c r="B190" i="18"/>
  <c r="X189" i="18"/>
  <c r="Z189" i="18" s="1"/>
  <c r="L189" i="18"/>
  <c r="N189" i="18" s="1"/>
  <c r="B189" i="18"/>
  <c r="X188" i="18"/>
  <c r="Z188" i="18" s="1"/>
  <c r="L188" i="18"/>
  <c r="N188" i="18" s="1"/>
  <c r="B188" i="18"/>
  <c r="X187" i="18"/>
  <c r="Z187" i="18" s="1"/>
  <c r="N187" i="18"/>
  <c r="L187" i="18"/>
  <c r="B187" i="18"/>
  <c r="Z186" i="18"/>
  <c r="X186" i="18"/>
  <c r="N186" i="18"/>
  <c r="L186" i="18"/>
  <c r="B186" i="18"/>
  <c r="X185" i="18"/>
  <c r="Z185" i="18" s="1"/>
  <c r="L185" i="18"/>
  <c r="N185" i="18" s="1"/>
  <c r="B185" i="18"/>
  <c r="X184" i="18"/>
  <c r="Z184" i="18" s="1"/>
  <c r="T184" i="18"/>
  <c r="P184" i="18"/>
  <c r="H184" i="18"/>
  <c r="N184" i="18" s="1"/>
  <c r="D184" i="18"/>
  <c r="L184" i="18" s="1"/>
  <c r="B184" i="18"/>
  <c r="T183" i="18"/>
  <c r="P183" i="18"/>
  <c r="X183" i="18" s="1"/>
  <c r="Z183" i="18" s="1"/>
  <c r="H183" i="18"/>
  <c r="D183" i="18"/>
  <c r="Z179" i="18"/>
  <c r="X179" i="18"/>
  <c r="N179" i="18"/>
  <c r="L179" i="18"/>
  <c r="B179" i="18"/>
  <c r="Z178" i="18"/>
  <c r="X178" i="18"/>
  <c r="L178" i="18"/>
  <c r="N178" i="18" s="1"/>
  <c r="B178" i="18"/>
  <c r="X177" i="18"/>
  <c r="Z177" i="18" s="1"/>
  <c r="L177" i="18"/>
  <c r="N177" i="18" s="1"/>
  <c r="B177" i="18"/>
  <c r="Z176" i="18"/>
  <c r="X176" i="18"/>
  <c r="N176" i="18"/>
  <c r="L176" i="18"/>
  <c r="B176" i="18"/>
  <c r="Z175" i="18"/>
  <c r="X175" i="18"/>
  <c r="N175" i="18"/>
  <c r="L175" i="18"/>
  <c r="B175" i="18"/>
  <c r="Z174" i="18"/>
  <c r="X174" i="18"/>
  <c r="L174" i="18"/>
  <c r="N174" i="18" s="1"/>
  <c r="B174" i="18"/>
  <c r="X173" i="18"/>
  <c r="Z173" i="18" s="1"/>
  <c r="L173" i="18"/>
  <c r="N173" i="18" s="1"/>
  <c r="B173" i="18"/>
  <c r="Z172" i="18"/>
  <c r="X172" i="18"/>
  <c r="N172" i="18"/>
  <c r="L172" i="18"/>
  <c r="B172" i="18"/>
  <c r="Z171" i="18"/>
  <c r="X171" i="18"/>
  <c r="N171" i="18"/>
  <c r="L171" i="18"/>
  <c r="B171" i="18"/>
  <c r="Z170" i="18"/>
  <c r="X170" i="18"/>
  <c r="L170" i="18"/>
  <c r="N170" i="18" s="1"/>
  <c r="B170" i="18"/>
  <c r="X169" i="18"/>
  <c r="Z169" i="18" s="1"/>
  <c r="L169" i="18"/>
  <c r="N169" i="18" s="1"/>
  <c r="B169" i="18"/>
  <c r="Z168" i="18"/>
  <c r="X168" i="18"/>
  <c r="N168" i="18"/>
  <c r="L168" i="18"/>
  <c r="B168" i="18"/>
  <c r="Z167" i="18"/>
  <c r="X167" i="18"/>
  <c r="N167" i="18"/>
  <c r="L167" i="18"/>
  <c r="B167" i="18"/>
  <c r="Z166" i="18"/>
  <c r="X166" i="18"/>
  <c r="L166" i="18"/>
  <c r="N166" i="18" s="1"/>
  <c r="B166" i="18"/>
  <c r="X165" i="18"/>
  <c r="Z165" i="18" s="1"/>
  <c r="L165" i="18"/>
  <c r="N165" i="18" s="1"/>
  <c r="B165" i="18"/>
  <c r="Z164" i="18"/>
  <c r="X164" i="18"/>
  <c r="N164" i="18"/>
  <c r="L164" i="18"/>
  <c r="B164" i="18"/>
  <c r="Z163" i="18"/>
  <c r="X163" i="18"/>
  <c r="N163" i="18"/>
  <c r="L163" i="18"/>
  <c r="B163" i="18"/>
  <c r="Z162" i="18"/>
  <c r="X162" i="18"/>
  <c r="L162" i="18"/>
  <c r="N162" i="18" s="1"/>
  <c r="B162" i="18"/>
  <c r="X161" i="18"/>
  <c r="Z161" i="18" s="1"/>
  <c r="L161" i="18"/>
  <c r="N161" i="18" s="1"/>
  <c r="B161" i="18"/>
  <c r="Z160" i="18"/>
  <c r="X160" i="18"/>
  <c r="N160" i="18"/>
  <c r="L160" i="18"/>
  <c r="B160" i="18"/>
  <c r="Z159" i="18"/>
  <c r="X159" i="18"/>
  <c r="N159" i="18"/>
  <c r="L159" i="18"/>
  <c r="B159" i="18"/>
  <c r="Z158" i="18"/>
  <c r="X158" i="18"/>
  <c r="L158" i="18"/>
  <c r="N158" i="18" s="1"/>
  <c r="B158" i="18"/>
  <c r="Z157" i="18"/>
  <c r="X157" i="18"/>
  <c r="N157" i="18"/>
  <c r="L157" i="18"/>
  <c r="B157" i="18"/>
  <c r="Z156" i="18"/>
  <c r="X156" i="18"/>
  <c r="N156" i="18"/>
  <c r="L156" i="18"/>
  <c r="B156" i="18"/>
  <c r="Z155" i="18"/>
  <c r="X155" i="18"/>
  <c r="N155" i="18"/>
  <c r="L155" i="18"/>
  <c r="B155" i="18"/>
  <c r="Z154" i="18"/>
  <c r="X154" i="18"/>
  <c r="L154" i="18"/>
  <c r="N154" i="18" s="1"/>
  <c r="B154" i="18"/>
  <c r="X153" i="18"/>
  <c r="Z153" i="18" s="1"/>
  <c r="L153" i="18"/>
  <c r="N153" i="18" s="1"/>
  <c r="B153" i="18"/>
  <c r="Z152" i="18"/>
  <c r="X152" i="18"/>
  <c r="N152" i="18"/>
  <c r="L152" i="18"/>
  <c r="B152" i="18"/>
  <c r="Z151" i="18"/>
  <c r="X151" i="18"/>
  <c r="N151" i="18"/>
  <c r="L151" i="18"/>
  <c r="B151" i="18"/>
  <c r="Z150" i="18"/>
  <c r="X150" i="18"/>
  <c r="L150" i="18"/>
  <c r="N150" i="18" s="1"/>
  <c r="B150" i="18"/>
  <c r="X149" i="18"/>
  <c r="Z149" i="18" s="1"/>
  <c r="L149" i="18"/>
  <c r="N149" i="18" s="1"/>
  <c r="B149" i="18"/>
  <c r="Z148" i="18"/>
  <c r="X148" i="18"/>
  <c r="N148" i="18"/>
  <c r="L148" i="18"/>
  <c r="B148" i="18"/>
  <c r="Z147" i="18"/>
  <c r="X147" i="18"/>
  <c r="N147" i="18"/>
  <c r="L147" i="18"/>
  <c r="B147" i="18"/>
  <c r="Z146" i="18"/>
  <c r="X146" i="18"/>
  <c r="L146" i="18"/>
  <c r="N146" i="18" s="1"/>
  <c r="B146" i="18"/>
  <c r="X145" i="18"/>
  <c r="Z145" i="18" s="1"/>
  <c r="L145" i="18"/>
  <c r="N145" i="18" s="1"/>
  <c r="B145" i="18"/>
  <c r="Z144" i="18"/>
  <c r="X144" i="18"/>
  <c r="N144" i="18"/>
  <c r="L144" i="18"/>
  <c r="B144" i="18"/>
  <c r="Z143" i="18"/>
  <c r="X143" i="18"/>
  <c r="N143" i="18"/>
  <c r="L143" i="18"/>
  <c r="B143" i="18"/>
  <c r="Z142" i="18"/>
  <c r="X142" i="18"/>
  <c r="L142" i="18"/>
  <c r="N142" i="18" s="1"/>
  <c r="B142" i="18"/>
  <c r="X141" i="18"/>
  <c r="Z141" i="18" s="1"/>
  <c r="L141" i="18"/>
  <c r="N141" i="18" s="1"/>
  <c r="B141" i="18"/>
  <c r="Z140" i="18"/>
  <c r="X140" i="18"/>
  <c r="N140" i="18"/>
  <c r="L140" i="18"/>
  <c r="B140" i="18"/>
  <c r="Z139" i="18"/>
  <c r="X139" i="18"/>
  <c r="L139" i="18"/>
  <c r="N139" i="18" s="1"/>
  <c r="B139" i="18"/>
  <c r="Z138" i="18"/>
  <c r="X138" i="18"/>
  <c r="L138" i="18"/>
  <c r="N138" i="18" s="1"/>
  <c r="B138" i="18"/>
  <c r="X137" i="18"/>
  <c r="Z137" i="18" s="1"/>
  <c r="L137" i="18"/>
  <c r="N137" i="18" s="1"/>
  <c r="B137" i="18"/>
  <c r="Z136" i="18"/>
  <c r="X136" i="18"/>
  <c r="N136" i="18"/>
  <c r="L136" i="18"/>
  <c r="B136" i="18"/>
  <c r="Z135" i="18"/>
  <c r="X135" i="18"/>
  <c r="L135" i="18"/>
  <c r="N135" i="18" s="1"/>
  <c r="B135" i="18"/>
  <c r="Z134" i="18"/>
  <c r="X134" i="18"/>
  <c r="L134" i="18"/>
  <c r="N134" i="18" s="1"/>
  <c r="B134" i="18"/>
  <c r="X133" i="18"/>
  <c r="Z133" i="18" s="1"/>
  <c r="N133" i="18"/>
  <c r="L133" i="18"/>
  <c r="B133" i="18"/>
  <c r="Z132" i="18"/>
  <c r="X132" i="18"/>
  <c r="N132" i="18"/>
  <c r="L132" i="18"/>
  <c r="B132" i="18"/>
  <c r="Z131" i="18"/>
  <c r="X131" i="18"/>
  <c r="L131" i="18"/>
  <c r="N131" i="18" s="1"/>
  <c r="B131" i="18"/>
  <c r="Z130" i="18"/>
  <c r="X130" i="18"/>
  <c r="L130" i="18"/>
  <c r="N130" i="18" s="1"/>
  <c r="B130" i="18"/>
  <c r="X129" i="18"/>
  <c r="Z129" i="18" s="1"/>
  <c r="L129" i="18"/>
  <c r="N129" i="18" s="1"/>
  <c r="B129" i="18"/>
  <c r="Z128" i="18"/>
  <c r="X128" i="18"/>
  <c r="N128" i="18"/>
  <c r="L128" i="18"/>
  <c r="B128" i="18"/>
  <c r="Z127" i="18"/>
  <c r="X127" i="18"/>
  <c r="L127" i="18"/>
  <c r="N127" i="18" s="1"/>
  <c r="B127" i="18"/>
  <c r="Z126" i="18"/>
  <c r="X126" i="18"/>
  <c r="L126" i="18"/>
  <c r="N126" i="18" s="1"/>
  <c r="B126" i="18"/>
  <c r="X125" i="18"/>
  <c r="Z125" i="18" s="1"/>
  <c r="L125" i="18"/>
  <c r="N125" i="18" s="1"/>
  <c r="B125" i="18"/>
  <c r="Z124" i="18"/>
  <c r="X124" i="18"/>
  <c r="N124" i="18"/>
  <c r="L124" i="18"/>
  <c r="B124" i="18"/>
  <c r="Z123" i="18"/>
  <c r="T123" i="18"/>
  <c r="P123" i="18"/>
  <c r="X123" i="18" s="1"/>
  <c r="H123" i="18"/>
  <c r="D123" i="18"/>
  <c r="L123" i="18" s="1"/>
  <c r="Z121" i="18"/>
  <c r="T121" i="18"/>
  <c r="P121" i="18"/>
  <c r="X121" i="18" s="1"/>
  <c r="N121" i="18"/>
  <c r="L121" i="18"/>
  <c r="H121" i="18"/>
  <c r="D121" i="18"/>
  <c r="B121" i="18"/>
  <c r="T120" i="18"/>
  <c r="P120" i="18"/>
  <c r="H120" i="18"/>
  <c r="D120" i="18"/>
  <c r="B120" i="18"/>
  <c r="T119" i="18"/>
  <c r="Z119" i="18" s="1"/>
  <c r="P119" i="18"/>
  <c r="X119" i="18" s="1"/>
  <c r="L119" i="18"/>
  <c r="H119" i="18"/>
  <c r="N119" i="18" s="1"/>
  <c r="D119" i="18"/>
  <c r="B119" i="18"/>
  <c r="Z118" i="18"/>
  <c r="T118" i="18"/>
  <c r="X118" i="18" s="1"/>
  <c r="P118" i="18"/>
  <c r="N118" i="18"/>
  <c r="L118" i="18"/>
  <c r="H118" i="18"/>
  <c r="D118" i="18"/>
  <c r="B118" i="18"/>
  <c r="Z117" i="18"/>
  <c r="T117" i="18"/>
  <c r="P117" i="18"/>
  <c r="X117" i="18" s="1"/>
  <c r="N117" i="18"/>
  <c r="H117" i="18"/>
  <c r="D117" i="18"/>
  <c r="L117" i="18" s="1"/>
  <c r="B117" i="18"/>
  <c r="Z116" i="18"/>
  <c r="T116" i="18"/>
  <c r="P116" i="18"/>
  <c r="X116" i="18" s="1"/>
  <c r="H116" i="18"/>
  <c r="D116" i="18"/>
  <c r="L116" i="18" s="1"/>
  <c r="B116" i="18"/>
  <c r="T115" i="18"/>
  <c r="P115" i="18"/>
  <c r="X115" i="18" s="1"/>
  <c r="H115" i="18"/>
  <c r="D115" i="18"/>
  <c r="B115" i="18"/>
  <c r="T114" i="18"/>
  <c r="X114" i="18" s="1"/>
  <c r="P114" i="18"/>
  <c r="N114" i="18"/>
  <c r="H114" i="18"/>
  <c r="L114" i="18" s="1"/>
  <c r="D114" i="18"/>
  <c r="B114" i="18"/>
  <c r="T113" i="18"/>
  <c r="P113" i="18"/>
  <c r="X113" i="18" s="1"/>
  <c r="Z113" i="18" s="1"/>
  <c r="L113" i="18"/>
  <c r="N113" i="18" s="1"/>
  <c r="H113" i="18"/>
  <c r="D113" i="18"/>
  <c r="B113" i="18"/>
  <c r="Z112" i="18"/>
  <c r="T112" i="18"/>
  <c r="P112" i="18"/>
  <c r="X112" i="18" s="1"/>
  <c r="H112" i="18"/>
  <c r="D112" i="18"/>
  <c r="L112" i="18" s="1"/>
  <c r="B112" i="18"/>
  <c r="T111" i="18"/>
  <c r="P111" i="18"/>
  <c r="X111" i="18" s="1"/>
  <c r="H111" i="18"/>
  <c r="N111" i="18" s="1"/>
  <c r="D111" i="18"/>
  <c r="B111" i="18"/>
  <c r="T110" i="18"/>
  <c r="P110" i="18"/>
  <c r="L110" i="18"/>
  <c r="H110" i="18"/>
  <c r="N110" i="18" s="1"/>
  <c r="D110" i="18"/>
  <c r="B110" i="18"/>
  <c r="T109" i="18"/>
  <c r="P109" i="18"/>
  <c r="X109" i="18" s="1"/>
  <c r="Z109" i="18" s="1"/>
  <c r="H109" i="18"/>
  <c r="D109" i="18"/>
  <c r="L109" i="18" s="1"/>
  <c r="N109" i="18" s="1"/>
  <c r="B109" i="18"/>
  <c r="T108" i="18"/>
  <c r="P108" i="18"/>
  <c r="X108" i="18" s="1"/>
  <c r="Z108" i="18" s="1"/>
  <c r="H108" i="18"/>
  <c r="D108" i="18"/>
  <c r="L108" i="18" s="1"/>
  <c r="B108" i="18"/>
  <c r="X107" i="18"/>
  <c r="T107" i="18"/>
  <c r="P107" i="18"/>
  <c r="H107" i="18"/>
  <c r="N107" i="18" s="1"/>
  <c r="D107" i="18"/>
  <c r="B107" i="18"/>
  <c r="X106" i="18"/>
  <c r="Z106" i="18" s="1"/>
  <c r="T106" i="18"/>
  <c r="P106" i="18"/>
  <c r="N106" i="18"/>
  <c r="L106" i="18"/>
  <c r="H106" i="18"/>
  <c r="D106" i="18"/>
  <c r="B106" i="18"/>
  <c r="Z105" i="18"/>
  <c r="T105" i="18"/>
  <c r="P105" i="18"/>
  <c r="X105" i="18" s="1"/>
  <c r="N105" i="18"/>
  <c r="L105" i="18"/>
  <c r="H105" i="18"/>
  <c r="D105" i="18"/>
  <c r="B105" i="18"/>
  <c r="Z104" i="18"/>
  <c r="T104" i="18"/>
  <c r="P104" i="18"/>
  <c r="X104" i="18" s="1"/>
  <c r="H104" i="18"/>
  <c r="D104" i="18"/>
  <c r="L104" i="18" s="1"/>
  <c r="B104" i="18"/>
  <c r="T103" i="18"/>
  <c r="Z103" i="18" s="1"/>
  <c r="P103" i="18"/>
  <c r="X103" i="18" s="1"/>
  <c r="H103" i="18"/>
  <c r="N103" i="18" s="1"/>
  <c r="D103" i="18"/>
  <c r="B103" i="18"/>
  <c r="T102" i="18"/>
  <c r="Z102" i="18" s="1"/>
  <c r="P102" i="18"/>
  <c r="L102" i="18"/>
  <c r="H102" i="18"/>
  <c r="N102" i="18" s="1"/>
  <c r="D102" i="18"/>
  <c r="B102" i="18"/>
  <c r="T101" i="18"/>
  <c r="P101" i="18"/>
  <c r="X101" i="18" s="1"/>
  <c r="Z101" i="18" s="1"/>
  <c r="H101" i="18"/>
  <c r="D101" i="18"/>
  <c r="L101" i="18" s="1"/>
  <c r="N101" i="18" s="1"/>
  <c r="B101" i="18"/>
  <c r="T100" i="18"/>
  <c r="P100" i="18"/>
  <c r="X100" i="18" s="1"/>
  <c r="Z100" i="18" s="1"/>
  <c r="H100" i="18"/>
  <c r="D100" i="18"/>
  <c r="L100" i="18" s="1"/>
  <c r="B100" i="18"/>
  <c r="X99" i="18"/>
  <c r="T99" i="18"/>
  <c r="P99" i="18"/>
  <c r="H99" i="18"/>
  <c r="D99" i="18"/>
  <c r="B99" i="18"/>
  <c r="X98" i="18"/>
  <c r="Z98" i="18" s="1"/>
  <c r="T98" i="18"/>
  <c r="P98" i="18"/>
  <c r="N98" i="18"/>
  <c r="L98" i="18"/>
  <c r="H98" i="18"/>
  <c r="D98" i="18"/>
  <c r="B98" i="18"/>
  <c r="T97" i="18"/>
  <c r="P97" i="18"/>
  <c r="X97" i="18" s="1"/>
  <c r="Z97" i="18" s="1"/>
  <c r="L97" i="18"/>
  <c r="N97" i="18" s="1"/>
  <c r="H97" i="18"/>
  <c r="D97" i="18"/>
  <c r="B97" i="18"/>
  <c r="Z96" i="18"/>
  <c r="T96" i="18"/>
  <c r="P96" i="18"/>
  <c r="X96" i="18" s="1"/>
  <c r="H96" i="18"/>
  <c r="N96" i="18" s="1"/>
  <c r="D96" i="18"/>
  <c r="L96" i="18" s="1"/>
  <c r="B96" i="18"/>
  <c r="T95" i="18"/>
  <c r="P95" i="18"/>
  <c r="X95" i="18" s="1"/>
  <c r="H95" i="18"/>
  <c r="L95" i="18" s="1"/>
  <c r="D95" i="18"/>
  <c r="B95" i="18"/>
  <c r="T94" i="18"/>
  <c r="P94" i="18"/>
  <c r="L94" i="18"/>
  <c r="H94" i="18"/>
  <c r="N94" i="18" s="1"/>
  <c r="D94" i="18"/>
  <c r="B94" i="18"/>
  <c r="T93" i="18"/>
  <c r="P93" i="18"/>
  <c r="X93" i="18" s="1"/>
  <c r="Z93" i="18" s="1"/>
  <c r="H93" i="18"/>
  <c r="D93" i="18"/>
  <c r="L93" i="18" s="1"/>
  <c r="N93" i="18" s="1"/>
  <c r="B93" i="18"/>
  <c r="T92" i="18"/>
  <c r="P92" i="18"/>
  <c r="X92" i="18" s="1"/>
  <c r="Z92" i="18" s="1"/>
  <c r="H92" i="18"/>
  <c r="D92" i="18"/>
  <c r="L92" i="18" s="1"/>
  <c r="B92" i="18"/>
  <c r="X91" i="18"/>
  <c r="T91" i="18"/>
  <c r="P91" i="18"/>
  <c r="H91" i="18"/>
  <c r="D91" i="18"/>
  <c r="B91" i="18"/>
  <c r="X90" i="18"/>
  <c r="Z90" i="18" s="1"/>
  <c r="T90" i="18"/>
  <c r="P90" i="18"/>
  <c r="L90" i="18"/>
  <c r="N90" i="18" s="1"/>
  <c r="H90" i="18"/>
  <c r="D90" i="18"/>
  <c r="B90" i="18"/>
  <c r="T89" i="18"/>
  <c r="P89" i="18"/>
  <c r="X89" i="18" s="1"/>
  <c r="Z89" i="18" s="1"/>
  <c r="L89" i="18"/>
  <c r="N89" i="18" s="1"/>
  <c r="H89" i="18"/>
  <c r="D89" i="18"/>
  <c r="B89" i="18"/>
  <c r="Z88" i="18"/>
  <c r="T88" i="18"/>
  <c r="P88" i="18"/>
  <c r="X88" i="18" s="1"/>
  <c r="H88" i="18"/>
  <c r="D88" i="18"/>
  <c r="L88" i="18" s="1"/>
  <c r="B88" i="18"/>
  <c r="T87" i="18"/>
  <c r="P87" i="18"/>
  <c r="X87" i="18" s="1"/>
  <c r="H87" i="18"/>
  <c r="N87" i="18" s="1"/>
  <c r="D87" i="18"/>
  <c r="B87" i="18"/>
  <c r="T86" i="18"/>
  <c r="P86" i="18"/>
  <c r="L86" i="18"/>
  <c r="H86" i="18"/>
  <c r="N86" i="18" s="1"/>
  <c r="D86" i="18"/>
  <c r="B86" i="18"/>
  <c r="T85" i="18"/>
  <c r="Z85" i="18" s="1"/>
  <c r="P85" i="18"/>
  <c r="X85" i="18" s="1"/>
  <c r="N85" i="18"/>
  <c r="H85" i="18"/>
  <c r="D85" i="18"/>
  <c r="L85" i="18" s="1"/>
  <c r="B85" i="18"/>
  <c r="T84" i="18"/>
  <c r="P84" i="18"/>
  <c r="X84" i="18" s="1"/>
  <c r="Z84" i="18" s="1"/>
  <c r="H84" i="18"/>
  <c r="D84" i="18"/>
  <c r="L84" i="18" s="1"/>
  <c r="B84" i="18"/>
  <c r="T83" i="18"/>
  <c r="P83" i="18"/>
  <c r="X83" i="18" s="1"/>
  <c r="L83" i="18"/>
  <c r="H83" i="18"/>
  <c r="N83" i="18" s="1"/>
  <c r="D83" i="18"/>
  <c r="B83" i="18"/>
  <c r="T82" i="18"/>
  <c r="X82" i="18" s="1"/>
  <c r="Z82" i="18" s="1"/>
  <c r="P82" i="18"/>
  <c r="H82" i="18"/>
  <c r="L82" i="18" s="1"/>
  <c r="N82" i="18" s="1"/>
  <c r="D82" i="18"/>
  <c r="B82" i="18"/>
  <c r="T81" i="18"/>
  <c r="P81" i="18"/>
  <c r="H81" i="18"/>
  <c r="D81" i="18"/>
  <c r="L81" i="18" s="1"/>
  <c r="N81" i="18" s="1"/>
  <c r="B81" i="18"/>
  <c r="T80" i="18"/>
  <c r="Z80" i="18" s="1"/>
  <c r="P80" i="18"/>
  <c r="X80" i="18" s="1"/>
  <c r="H80" i="18"/>
  <c r="N80" i="18" s="1"/>
  <c r="D80" i="18"/>
  <c r="L80" i="18" s="1"/>
  <c r="B80" i="18"/>
  <c r="X79" i="18"/>
  <c r="T79" i="18"/>
  <c r="P79" i="18"/>
  <c r="H79" i="18"/>
  <c r="D79" i="18"/>
  <c r="B79" i="18"/>
  <c r="X78" i="18"/>
  <c r="Z78" i="18" s="1"/>
  <c r="T78" i="18"/>
  <c r="P78" i="18"/>
  <c r="L78" i="18"/>
  <c r="N78" i="18" s="1"/>
  <c r="H78" i="18"/>
  <c r="D78" i="18"/>
  <c r="B78" i="18"/>
  <c r="Z77" i="18"/>
  <c r="T77" i="18"/>
  <c r="P77" i="18"/>
  <c r="X77" i="18" s="1"/>
  <c r="N77" i="18"/>
  <c r="H77" i="18"/>
  <c r="D77" i="18"/>
  <c r="L77" i="18" s="1"/>
  <c r="B77" i="18"/>
  <c r="Z76" i="18"/>
  <c r="T76" i="18"/>
  <c r="P76" i="18"/>
  <c r="X76" i="18" s="1"/>
  <c r="H76" i="18"/>
  <c r="D76" i="18"/>
  <c r="B76" i="18"/>
  <c r="T75" i="18"/>
  <c r="P75" i="18"/>
  <c r="L75" i="18"/>
  <c r="H75" i="18"/>
  <c r="D75" i="18"/>
  <c r="B75" i="18"/>
  <c r="T74" i="18"/>
  <c r="P74" i="18"/>
  <c r="H74" i="18"/>
  <c r="D74" i="18"/>
  <c r="B74" i="18"/>
  <c r="T73" i="18"/>
  <c r="P73" i="18"/>
  <c r="L73" i="18"/>
  <c r="N73" i="18" s="1"/>
  <c r="H73" i="18"/>
  <c r="D73" i="18"/>
  <c r="B73" i="18"/>
  <c r="T72" i="18"/>
  <c r="P72" i="18"/>
  <c r="H72" i="18"/>
  <c r="D72" i="18"/>
  <c r="L72" i="18" s="1"/>
  <c r="B72" i="18"/>
  <c r="T71" i="18"/>
  <c r="P71" i="18"/>
  <c r="X71" i="18" s="1"/>
  <c r="H71" i="18"/>
  <c r="D71" i="18"/>
  <c r="B71" i="18"/>
  <c r="X70" i="18"/>
  <c r="T70" i="18"/>
  <c r="Z70" i="18" s="1"/>
  <c r="P70" i="18"/>
  <c r="H70" i="18"/>
  <c r="L70" i="18" s="1"/>
  <c r="D70" i="18"/>
  <c r="B70" i="18"/>
  <c r="T69" i="18"/>
  <c r="Z69" i="18" s="1"/>
  <c r="P69" i="18"/>
  <c r="X69" i="18" s="1"/>
  <c r="H69" i="18"/>
  <c r="D69" i="18"/>
  <c r="L69" i="18" s="1"/>
  <c r="N69" i="18" s="1"/>
  <c r="B69" i="18"/>
  <c r="T68" i="18"/>
  <c r="Z68" i="18" s="1"/>
  <c r="P68" i="18"/>
  <c r="X68" i="18" s="1"/>
  <c r="H68" i="18"/>
  <c r="D68" i="18"/>
  <c r="L68" i="18" s="1"/>
  <c r="B68" i="18"/>
  <c r="T67" i="18"/>
  <c r="P67" i="18"/>
  <c r="X67" i="18" s="1"/>
  <c r="L67" i="18"/>
  <c r="H67" i="18"/>
  <c r="D67" i="18"/>
  <c r="B67" i="18"/>
  <c r="T66" i="18"/>
  <c r="X66" i="18" s="1"/>
  <c r="Z66" i="18" s="1"/>
  <c r="P66" i="18"/>
  <c r="H66" i="18"/>
  <c r="D66" i="18"/>
  <c r="B66" i="18"/>
  <c r="T65" i="18"/>
  <c r="Z65" i="18" s="1"/>
  <c r="P65" i="18"/>
  <c r="X65" i="18" s="1"/>
  <c r="H65" i="18"/>
  <c r="D65" i="18"/>
  <c r="L65" i="18" s="1"/>
  <c r="N65" i="18" s="1"/>
  <c r="B65" i="18"/>
  <c r="T64" i="18"/>
  <c r="P64" i="18"/>
  <c r="L64" i="18"/>
  <c r="H64" i="18"/>
  <c r="N64" i="18" s="1"/>
  <c r="D64" i="18"/>
  <c r="B64" i="18"/>
  <c r="X63" i="18"/>
  <c r="T63" i="18"/>
  <c r="P63" i="18"/>
  <c r="H63" i="18"/>
  <c r="D63" i="18"/>
  <c r="B63" i="18"/>
  <c r="X62" i="18"/>
  <c r="Z62" i="18" s="1"/>
  <c r="T62" i="18"/>
  <c r="P62" i="18"/>
  <c r="L62" i="18"/>
  <c r="N62" i="18" s="1"/>
  <c r="H62" i="18"/>
  <c r="D62" i="18"/>
  <c r="B62" i="18"/>
  <c r="T61" i="18"/>
  <c r="P61" i="18"/>
  <c r="X61" i="18" s="1"/>
  <c r="Z61" i="18" s="1"/>
  <c r="L61" i="18"/>
  <c r="N61" i="18" s="1"/>
  <c r="H61" i="18"/>
  <c r="D61" i="18"/>
  <c r="B61" i="18"/>
  <c r="Z60" i="18"/>
  <c r="T60" i="18"/>
  <c r="P60" i="18"/>
  <c r="X60" i="18" s="1"/>
  <c r="H60" i="18"/>
  <c r="D60" i="18"/>
  <c r="B60" i="18"/>
  <c r="T59" i="18"/>
  <c r="P59" i="18"/>
  <c r="H59" i="18"/>
  <c r="D59" i="18"/>
  <c r="B59" i="18"/>
  <c r="T58" i="18"/>
  <c r="P58" i="18"/>
  <c r="H58" i="18"/>
  <c r="D58" i="18"/>
  <c r="B58" i="18"/>
  <c r="T57" i="18"/>
  <c r="P57" i="18"/>
  <c r="N57" i="18"/>
  <c r="L57" i="18"/>
  <c r="H57" i="18"/>
  <c r="D57" i="18"/>
  <c r="B57" i="18"/>
  <c r="T56" i="18"/>
  <c r="P56" i="18"/>
  <c r="H56" i="18"/>
  <c r="N56" i="18" s="1"/>
  <c r="D56" i="18"/>
  <c r="L56" i="18" s="1"/>
  <c r="B56" i="18"/>
  <c r="T55" i="18"/>
  <c r="P55" i="18"/>
  <c r="X55" i="18" s="1"/>
  <c r="H55" i="18"/>
  <c r="N55" i="18" s="1"/>
  <c r="D55" i="18"/>
  <c r="B55" i="18"/>
  <c r="T54" i="18"/>
  <c r="X54" i="18" s="1"/>
  <c r="P54" i="18"/>
  <c r="H54" i="18"/>
  <c r="D54" i="18"/>
  <c r="B54" i="18"/>
  <c r="T53" i="18"/>
  <c r="P53" i="18"/>
  <c r="X53" i="18" s="1"/>
  <c r="Z53" i="18" s="1"/>
  <c r="H53" i="18"/>
  <c r="D53" i="18"/>
  <c r="L53" i="18" s="1"/>
  <c r="N53" i="18" s="1"/>
  <c r="B53" i="18"/>
  <c r="T52" i="18"/>
  <c r="Z52" i="18" s="1"/>
  <c r="P52" i="18"/>
  <c r="X52" i="18" s="1"/>
  <c r="H52" i="18"/>
  <c r="N52" i="18" s="1"/>
  <c r="D52" i="18"/>
  <c r="L52" i="18" s="1"/>
  <c r="B52" i="18"/>
  <c r="T51" i="18"/>
  <c r="P51" i="18"/>
  <c r="X51" i="18" s="1"/>
  <c r="L51" i="18"/>
  <c r="H51" i="18"/>
  <c r="D51" i="18"/>
  <c r="B51" i="18"/>
  <c r="T50" i="18"/>
  <c r="P50" i="18"/>
  <c r="H50" i="18"/>
  <c r="L50" i="18" s="1"/>
  <c r="N50" i="18" s="1"/>
  <c r="D50" i="18"/>
  <c r="B50" i="18"/>
  <c r="T49" i="18"/>
  <c r="Z49" i="18" s="1"/>
  <c r="P49" i="18"/>
  <c r="X49" i="18" s="1"/>
  <c r="H49" i="18"/>
  <c r="D49" i="18"/>
  <c r="L49" i="18" s="1"/>
  <c r="N49" i="18" s="1"/>
  <c r="B49" i="18"/>
  <c r="T48" i="18"/>
  <c r="Z48" i="18" s="1"/>
  <c r="P48" i="18"/>
  <c r="X48" i="18" s="1"/>
  <c r="L48" i="18"/>
  <c r="H48" i="18"/>
  <c r="D48" i="18"/>
  <c r="B48" i="18"/>
  <c r="T47" i="18"/>
  <c r="P47" i="18"/>
  <c r="X47" i="18" s="1"/>
  <c r="H47" i="18"/>
  <c r="D47" i="18"/>
  <c r="B47" i="18"/>
  <c r="X46" i="18"/>
  <c r="Z46" i="18" s="1"/>
  <c r="T46" i="18"/>
  <c r="P46" i="18"/>
  <c r="L46" i="18"/>
  <c r="N46" i="18" s="1"/>
  <c r="H46" i="18"/>
  <c r="D46" i="18"/>
  <c r="B46" i="18"/>
  <c r="Z45" i="18"/>
  <c r="T45" i="18"/>
  <c r="P45" i="18"/>
  <c r="X45" i="18" s="1"/>
  <c r="L45" i="18"/>
  <c r="N45" i="18" s="1"/>
  <c r="H45" i="18"/>
  <c r="D45" i="18"/>
  <c r="B45" i="18"/>
  <c r="T44" i="18"/>
  <c r="P44" i="18"/>
  <c r="X44" i="18" s="1"/>
  <c r="Z44" i="18" s="1"/>
  <c r="H44" i="18"/>
  <c r="D44" i="18"/>
  <c r="B44" i="18"/>
  <c r="T43" i="18"/>
  <c r="P43" i="18"/>
  <c r="H43" i="18"/>
  <c r="N43" i="18" s="1"/>
  <c r="D43" i="18"/>
  <c r="B43" i="18"/>
  <c r="T42" i="18"/>
  <c r="P42" i="18"/>
  <c r="H42" i="18"/>
  <c r="D42" i="18"/>
  <c r="B42" i="18"/>
  <c r="T41" i="18"/>
  <c r="P41" i="18"/>
  <c r="N41" i="18"/>
  <c r="L41" i="18"/>
  <c r="H41" i="18"/>
  <c r="D41" i="18"/>
  <c r="B41" i="18"/>
  <c r="T40" i="18"/>
  <c r="P40" i="18"/>
  <c r="H40" i="18"/>
  <c r="D40" i="18"/>
  <c r="L40" i="18" s="1"/>
  <c r="B40" i="18"/>
  <c r="T39" i="18"/>
  <c r="P39" i="18"/>
  <c r="X39" i="18" s="1"/>
  <c r="H39" i="18"/>
  <c r="L39" i="18" s="1"/>
  <c r="D39" i="18"/>
  <c r="B39" i="18"/>
  <c r="T38" i="18"/>
  <c r="P38" i="18"/>
  <c r="L38" i="18"/>
  <c r="H38" i="18"/>
  <c r="N38" i="18" s="1"/>
  <c r="D38" i="18"/>
  <c r="B38" i="18"/>
  <c r="T37" i="18"/>
  <c r="Z37" i="18" s="1"/>
  <c r="P37" i="18"/>
  <c r="X37" i="18" s="1"/>
  <c r="H37" i="18"/>
  <c r="D37" i="18"/>
  <c r="L37" i="18" s="1"/>
  <c r="N37" i="18" s="1"/>
  <c r="B37" i="18"/>
  <c r="T36" i="18"/>
  <c r="P36" i="18"/>
  <c r="X36" i="18" s="1"/>
  <c r="Z36" i="18" s="1"/>
  <c r="H36" i="18"/>
  <c r="D36" i="18"/>
  <c r="L36" i="18" s="1"/>
  <c r="B36" i="18"/>
  <c r="T35" i="18"/>
  <c r="P35" i="18"/>
  <c r="X35" i="18" s="1"/>
  <c r="L35" i="18"/>
  <c r="H35" i="18"/>
  <c r="D35" i="18"/>
  <c r="B35" i="18"/>
  <c r="T34" i="18"/>
  <c r="X34" i="18" s="1"/>
  <c r="Z34" i="18" s="1"/>
  <c r="P34" i="18"/>
  <c r="H34" i="18"/>
  <c r="L34" i="18" s="1"/>
  <c r="N34" i="18" s="1"/>
  <c r="D34" i="18"/>
  <c r="B34" i="18"/>
  <c r="T33" i="18"/>
  <c r="P33" i="18"/>
  <c r="H33" i="18"/>
  <c r="D33" i="18"/>
  <c r="L33" i="18" s="1"/>
  <c r="N33" i="18" s="1"/>
  <c r="B33" i="18"/>
  <c r="T32" i="18"/>
  <c r="Z32" i="18" s="1"/>
  <c r="P32" i="18"/>
  <c r="X32" i="18" s="1"/>
  <c r="H32" i="18"/>
  <c r="D32" i="18"/>
  <c r="L32" i="18" s="1"/>
  <c r="B32" i="18"/>
  <c r="X31" i="18"/>
  <c r="T31" i="18"/>
  <c r="P31" i="18"/>
  <c r="H31" i="18"/>
  <c r="D31" i="18"/>
  <c r="B31" i="18"/>
  <c r="X30" i="18"/>
  <c r="Z30" i="18" s="1"/>
  <c r="T30" i="18"/>
  <c r="P30" i="18"/>
  <c r="L30" i="18"/>
  <c r="N30" i="18" s="1"/>
  <c r="H30" i="18"/>
  <c r="D30" i="18"/>
  <c r="B30" i="18"/>
  <c r="Z29" i="18"/>
  <c r="T29" i="18"/>
  <c r="P29" i="18"/>
  <c r="X29" i="18" s="1"/>
  <c r="H29" i="18"/>
  <c r="D29" i="18"/>
  <c r="L29" i="18" s="1"/>
  <c r="N29" i="18" s="1"/>
  <c r="B29" i="18"/>
  <c r="Z28" i="18"/>
  <c r="T28" i="18"/>
  <c r="P28" i="18"/>
  <c r="X28" i="18" s="1"/>
  <c r="H28" i="18"/>
  <c r="D28" i="18"/>
  <c r="B28" i="18"/>
  <c r="T27" i="18"/>
  <c r="P27" i="18"/>
  <c r="L27" i="18"/>
  <c r="H27" i="18"/>
  <c r="D27" i="18"/>
  <c r="B27" i="18"/>
  <c r="T26" i="18"/>
  <c r="P26" i="18"/>
  <c r="H26" i="18"/>
  <c r="D26" i="18"/>
  <c r="B26" i="18"/>
  <c r="T25" i="18"/>
  <c r="P25" i="18"/>
  <c r="L25" i="18"/>
  <c r="N25" i="18" s="1"/>
  <c r="H25" i="18"/>
  <c r="D25" i="18"/>
  <c r="B25" i="18"/>
  <c r="T24" i="18"/>
  <c r="P24" i="18"/>
  <c r="H24" i="18"/>
  <c r="D24" i="18"/>
  <c r="L24" i="18" s="1"/>
  <c r="B24" i="18"/>
  <c r="T23" i="18"/>
  <c r="P23" i="18"/>
  <c r="X23" i="18" s="1"/>
  <c r="H23" i="18"/>
  <c r="D23" i="18"/>
  <c r="B23" i="18"/>
  <c r="X22" i="18"/>
  <c r="T22" i="18"/>
  <c r="Z22" i="18" s="1"/>
  <c r="P22" i="18"/>
  <c r="H22" i="18"/>
  <c r="L22" i="18" s="1"/>
  <c r="D22" i="18"/>
  <c r="B22" i="18"/>
  <c r="T21" i="18"/>
  <c r="Z21" i="18" s="1"/>
  <c r="P21" i="18"/>
  <c r="X21" i="18" s="1"/>
  <c r="H21" i="18"/>
  <c r="D21" i="18"/>
  <c r="L21" i="18" s="1"/>
  <c r="N21" i="18" s="1"/>
  <c r="B21" i="18"/>
  <c r="T20" i="18"/>
  <c r="Z20" i="18" s="1"/>
  <c r="P20" i="18"/>
  <c r="X20" i="18" s="1"/>
  <c r="H20" i="18"/>
  <c r="D20" i="18"/>
  <c r="L20" i="18" s="1"/>
  <c r="B20" i="18"/>
  <c r="T19" i="18"/>
  <c r="P19" i="18"/>
  <c r="X19" i="18" s="1"/>
  <c r="L19" i="18"/>
  <c r="H19" i="18"/>
  <c r="D19" i="18"/>
  <c r="B19" i="18"/>
  <c r="T18" i="18"/>
  <c r="X18" i="18" s="1"/>
  <c r="Z18" i="18" s="1"/>
  <c r="P18" i="18"/>
  <c r="H18" i="18"/>
  <c r="D18" i="18"/>
  <c r="B18" i="18"/>
  <c r="T17" i="18"/>
  <c r="Z17" i="18" s="1"/>
  <c r="P17" i="18"/>
  <c r="X17" i="18" s="1"/>
  <c r="H17" i="18"/>
  <c r="D17" i="18"/>
  <c r="L17" i="18" s="1"/>
  <c r="N17" i="18" s="1"/>
  <c r="B17" i="18"/>
  <c r="T16" i="18"/>
  <c r="P16" i="18"/>
  <c r="L16" i="18"/>
  <c r="H16" i="18"/>
  <c r="D16" i="18"/>
  <c r="B16" i="18"/>
  <c r="X15" i="18"/>
  <c r="T15" i="18"/>
  <c r="P15" i="18"/>
  <c r="H15" i="18"/>
  <c r="D15" i="18"/>
  <c r="B15" i="18"/>
  <c r="X14" i="18"/>
  <c r="Z14" i="18" s="1"/>
  <c r="T14" i="18"/>
  <c r="P14" i="18"/>
  <c r="L14" i="18"/>
  <c r="N14" i="18" s="1"/>
  <c r="H14" i="18"/>
  <c r="D14" i="18"/>
  <c r="B14" i="18"/>
  <c r="T13" i="18"/>
  <c r="T12" i="18" s="1"/>
  <c r="P13" i="18"/>
  <c r="X13" i="18" s="1"/>
  <c r="Z13" i="18" s="1"/>
  <c r="L13" i="18"/>
  <c r="N13" i="18" s="1"/>
  <c r="H13" i="18"/>
  <c r="D13" i="18"/>
  <c r="D12" i="18" s="1"/>
  <c r="B13" i="18"/>
  <c r="D4" i="18"/>
  <c r="X256" i="15"/>
  <c r="Z256" i="15" s="1"/>
  <c r="L256" i="15"/>
  <c r="N256" i="15" s="1"/>
  <c r="T252" i="15"/>
  <c r="Z252" i="15" s="1"/>
  <c r="P252" i="15"/>
  <c r="X252" i="15" s="1"/>
  <c r="H252" i="15"/>
  <c r="L252" i="15" s="1"/>
  <c r="D252" i="15"/>
  <c r="B252" i="15"/>
  <c r="T251" i="15"/>
  <c r="P251" i="15"/>
  <c r="L251" i="15"/>
  <c r="N251" i="15" s="1"/>
  <c r="H251" i="15"/>
  <c r="D251" i="15"/>
  <c r="B251" i="15"/>
  <c r="T250" i="15"/>
  <c r="P250" i="15"/>
  <c r="L250" i="15"/>
  <c r="N250" i="15" s="1"/>
  <c r="H250" i="15"/>
  <c r="D250" i="15"/>
  <c r="B250" i="15"/>
  <c r="Z249" i="15"/>
  <c r="X249" i="15"/>
  <c r="T249" i="15"/>
  <c r="P249" i="15"/>
  <c r="H249" i="15"/>
  <c r="D249" i="15"/>
  <c r="L249" i="15" s="1"/>
  <c r="N249" i="15" s="1"/>
  <c r="B249" i="15"/>
  <c r="X248" i="15"/>
  <c r="Z248" i="15" s="1"/>
  <c r="T248" i="15"/>
  <c r="P248" i="15"/>
  <c r="P244" i="15" s="1"/>
  <c r="H248" i="15"/>
  <c r="D248" i="15"/>
  <c r="L248" i="15" s="1"/>
  <c r="B248" i="15"/>
  <c r="T247" i="15"/>
  <c r="P247" i="15"/>
  <c r="X247" i="15" s="1"/>
  <c r="Z247" i="15" s="1"/>
  <c r="H247" i="15"/>
  <c r="N247" i="15" s="1"/>
  <c r="D247" i="15"/>
  <c r="L247" i="15" s="1"/>
  <c r="B247" i="15"/>
  <c r="T246" i="15"/>
  <c r="X246" i="15" s="1"/>
  <c r="P246" i="15"/>
  <c r="H246" i="15"/>
  <c r="D246" i="15"/>
  <c r="D244" i="15" s="1"/>
  <c r="L244" i="15" s="1"/>
  <c r="B246" i="15"/>
  <c r="Z245" i="15"/>
  <c r="X245" i="15"/>
  <c r="T245" i="15"/>
  <c r="P245" i="15"/>
  <c r="H245" i="15"/>
  <c r="N245" i="15" s="1"/>
  <c r="D245" i="15"/>
  <c r="B245" i="15"/>
  <c r="H244" i="15"/>
  <c r="N244" i="15" s="1"/>
  <c r="X242" i="15"/>
  <c r="Z242" i="15" s="1"/>
  <c r="L242" i="15"/>
  <c r="N242" i="15" s="1"/>
  <c r="B242" i="15"/>
  <c r="T241" i="15"/>
  <c r="X241" i="15" s="1"/>
  <c r="Z241" i="15" s="1"/>
  <c r="P241" i="15"/>
  <c r="H241" i="15"/>
  <c r="N241" i="15" s="1"/>
  <c r="D241" i="15"/>
  <c r="L241" i="15" s="1"/>
  <c r="B241" i="15"/>
  <c r="X240" i="15"/>
  <c r="Z240" i="15" s="1"/>
  <c r="L240" i="15"/>
  <c r="N240" i="15" s="1"/>
  <c r="B240" i="15"/>
  <c r="Z239" i="15"/>
  <c r="X239" i="15"/>
  <c r="L239" i="15"/>
  <c r="N239" i="15" s="1"/>
  <c r="B239" i="15"/>
  <c r="X238" i="15"/>
  <c r="Z238" i="15" s="1"/>
  <c r="L238" i="15"/>
  <c r="N238" i="15" s="1"/>
  <c r="B238" i="15"/>
  <c r="T237" i="15"/>
  <c r="P237" i="15"/>
  <c r="X237" i="15" s="1"/>
  <c r="Z237" i="15" s="1"/>
  <c r="N237" i="15"/>
  <c r="L237" i="15"/>
  <c r="H237" i="15"/>
  <c r="D237" i="15"/>
  <c r="B237" i="15"/>
  <c r="X236" i="15"/>
  <c r="Z236" i="15" s="1"/>
  <c r="L236" i="15"/>
  <c r="N236" i="15" s="1"/>
  <c r="B236" i="15"/>
  <c r="X235" i="15"/>
  <c r="Z235" i="15" s="1"/>
  <c r="T235" i="15"/>
  <c r="P235" i="15"/>
  <c r="H235" i="15"/>
  <c r="D235" i="15"/>
  <c r="B235" i="15"/>
  <c r="X234" i="15"/>
  <c r="Z234" i="15" s="1"/>
  <c r="L234" i="15"/>
  <c r="N234" i="15" s="1"/>
  <c r="B234" i="15"/>
  <c r="Z233" i="15"/>
  <c r="X233" i="15"/>
  <c r="N233" i="15"/>
  <c r="L233" i="15"/>
  <c r="B233" i="15"/>
  <c r="T232" i="15"/>
  <c r="P232" i="15"/>
  <c r="L232" i="15"/>
  <c r="N232" i="15" s="1"/>
  <c r="H232" i="15"/>
  <c r="D232" i="15"/>
  <c r="B232" i="15"/>
  <c r="Z231" i="15"/>
  <c r="X231" i="15"/>
  <c r="L231" i="15"/>
  <c r="N231" i="15" s="1"/>
  <c r="B231" i="15"/>
  <c r="X230" i="15"/>
  <c r="Z230" i="15" s="1"/>
  <c r="L230" i="15"/>
  <c r="N230" i="15" s="1"/>
  <c r="B230" i="15"/>
  <c r="Z229" i="15"/>
  <c r="X229" i="15"/>
  <c r="N229" i="15"/>
  <c r="L229" i="15"/>
  <c r="B229" i="15"/>
  <c r="X228" i="15"/>
  <c r="Z228" i="15" s="1"/>
  <c r="L228" i="15"/>
  <c r="N228" i="15" s="1"/>
  <c r="B228" i="15"/>
  <c r="Z227" i="15"/>
  <c r="X227" i="15"/>
  <c r="L227" i="15"/>
  <c r="N227" i="15" s="1"/>
  <c r="B227" i="15"/>
  <c r="X226" i="15"/>
  <c r="Z226" i="15" s="1"/>
  <c r="L226" i="15"/>
  <c r="N226" i="15" s="1"/>
  <c r="B226" i="15"/>
  <c r="T225" i="15"/>
  <c r="P225" i="15"/>
  <c r="X225" i="15" s="1"/>
  <c r="Z225" i="15" s="1"/>
  <c r="N225" i="15"/>
  <c r="L225" i="15"/>
  <c r="H225" i="15"/>
  <c r="D225" i="15"/>
  <c r="B225" i="15"/>
  <c r="X224" i="15"/>
  <c r="Z224" i="15" s="1"/>
  <c r="L224" i="15"/>
  <c r="N224" i="15" s="1"/>
  <c r="B224" i="15"/>
  <c r="X223" i="15"/>
  <c r="Z223" i="15" s="1"/>
  <c r="L223" i="15"/>
  <c r="N223" i="15" s="1"/>
  <c r="B223" i="15"/>
  <c r="X222" i="15"/>
  <c r="Z222" i="15" s="1"/>
  <c r="T222" i="15"/>
  <c r="P222" i="15"/>
  <c r="H222" i="15"/>
  <c r="D222" i="15"/>
  <c r="L222" i="15" s="1"/>
  <c r="B222" i="15"/>
  <c r="Z221" i="15"/>
  <c r="X221" i="15"/>
  <c r="N221" i="15"/>
  <c r="L221" i="15"/>
  <c r="B221" i="15"/>
  <c r="X220" i="15"/>
  <c r="Z220" i="15" s="1"/>
  <c r="L220" i="15"/>
  <c r="N220" i="15" s="1"/>
  <c r="B220" i="15"/>
  <c r="X219" i="15"/>
  <c r="Z219" i="15" s="1"/>
  <c r="N219" i="15"/>
  <c r="L219" i="15"/>
  <c r="B219" i="15"/>
  <c r="X218" i="15"/>
  <c r="Z218" i="15" s="1"/>
  <c r="L218" i="15"/>
  <c r="N218" i="15" s="1"/>
  <c r="B218" i="15"/>
  <c r="T217" i="15"/>
  <c r="P217" i="15"/>
  <c r="X217" i="15" s="1"/>
  <c r="Z217" i="15" s="1"/>
  <c r="H217" i="15"/>
  <c r="D217" i="15"/>
  <c r="L217" i="15" s="1"/>
  <c r="N217" i="15" s="1"/>
  <c r="B217" i="15"/>
  <c r="X216" i="15"/>
  <c r="Z216" i="15" s="1"/>
  <c r="L216" i="15"/>
  <c r="N216" i="15" s="1"/>
  <c r="B216" i="15"/>
  <c r="Z215" i="15"/>
  <c r="X215" i="15"/>
  <c r="L215" i="15"/>
  <c r="N215" i="15" s="1"/>
  <c r="B215" i="15"/>
  <c r="X214" i="15"/>
  <c r="Z214" i="15" s="1"/>
  <c r="L214" i="15"/>
  <c r="N214" i="15" s="1"/>
  <c r="B214" i="15"/>
  <c r="T213" i="15"/>
  <c r="P213" i="15"/>
  <c r="X213" i="15" s="1"/>
  <c r="Z213" i="15" s="1"/>
  <c r="N213" i="15"/>
  <c r="L213" i="15"/>
  <c r="H213" i="15"/>
  <c r="D213" i="15"/>
  <c r="B213" i="15"/>
  <c r="X212" i="15"/>
  <c r="Z212" i="15" s="1"/>
  <c r="L212" i="15"/>
  <c r="N212" i="15" s="1"/>
  <c r="B212" i="15"/>
  <c r="X211" i="15"/>
  <c r="Z211" i="15" s="1"/>
  <c r="L211" i="15"/>
  <c r="N211" i="15" s="1"/>
  <c r="B211" i="15"/>
  <c r="X210" i="15"/>
  <c r="Z210" i="15" s="1"/>
  <c r="L210" i="15"/>
  <c r="N210" i="15" s="1"/>
  <c r="B210" i="15"/>
  <c r="T209" i="15"/>
  <c r="P209" i="15"/>
  <c r="L209" i="15"/>
  <c r="N209" i="15" s="1"/>
  <c r="H209" i="15"/>
  <c r="D209" i="15"/>
  <c r="B209" i="15"/>
  <c r="X208" i="15"/>
  <c r="Z208" i="15" s="1"/>
  <c r="L208" i="15"/>
  <c r="N208" i="15" s="1"/>
  <c r="B208" i="15"/>
  <c r="T207" i="15"/>
  <c r="P207" i="15"/>
  <c r="X207" i="15" s="1"/>
  <c r="Z207" i="15" s="1"/>
  <c r="H207" i="15"/>
  <c r="D207" i="15"/>
  <c r="L207" i="15" s="1"/>
  <c r="N207" i="15" s="1"/>
  <c r="B207" i="15"/>
  <c r="X206" i="15"/>
  <c r="Z206" i="15" s="1"/>
  <c r="N206" i="15"/>
  <c r="L206" i="15"/>
  <c r="B206" i="15"/>
  <c r="T205" i="15"/>
  <c r="P205" i="15"/>
  <c r="X205" i="15" s="1"/>
  <c r="Z205" i="15" s="1"/>
  <c r="N205" i="15"/>
  <c r="L205" i="15"/>
  <c r="H205" i="15"/>
  <c r="D205" i="15"/>
  <c r="B205" i="15"/>
  <c r="X204" i="15"/>
  <c r="Z204" i="15" s="1"/>
  <c r="L204" i="15"/>
  <c r="N204" i="15" s="1"/>
  <c r="B204" i="15"/>
  <c r="X203" i="15"/>
  <c r="Z203" i="15" s="1"/>
  <c r="T203" i="15"/>
  <c r="P203" i="15"/>
  <c r="H203" i="15"/>
  <c r="D203" i="15"/>
  <c r="B203" i="15"/>
  <c r="X202" i="15"/>
  <c r="Z202" i="15" s="1"/>
  <c r="L202" i="15"/>
  <c r="N202" i="15" s="1"/>
  <c r="B202" i="15"/>
  <c r="T201" i="15"/>
  <c r="X201" i="15" s="1"/>
  <c r="Z201" i="15" s="1"/>
  <c r="P201" i="15"/>
  <c r="H201" i="15"/>
  <c r="D201" i="15"/>
  <c r="L201" i="15" s="1"/>
  <c r="N201" i="15" s="1"/>
  <c r="B201" i="15"/>
  <c r="X200" i="15"/>
  <c r="Z200" i="15" s="1"/>
  <c r="L200" i="15"/>
  <c r="N200" i="15" s="1"/>
  <c r="B200" i="15"/>
  <c r="Z199" i="15"/>
  <c r="X199" i="15"/>
  <c r="T199" i="15"/>
  <c r="P199" i="15"/>
  <c r="H199" i="15"/>
  <c r="D199" i="15"/>
  <c r="L199" i="15" s="1"/>
  <c r="N199" i="15" s="1"/>
  <c r="B199" i="15"/>
  <c r="X198" i="15"/>
  <c r="Z198" i="15" s="1"/>
  <c r="L198" i="15"/>
  <c r="N198" i="15" s="1"/>
  <c r="B198" i="15"/>
  <c r="Z197" i="15"/>
  <c r="X197" i="15"/>
  <c r="N197" i="15"/>
  <c r="L197" i="15"/>
  <c r="B197" i="15"/>
  <c r="T196" i="15"/>
  <c r="P196" i="15"/>
  <c r="X196" i="15" s="1"/>
  <c r="L196" i="15"/>
  <c r="N196" i="15" s="1"/>
  <c r="H196" i="15"/>
  <c r="D196" i="15"/>
  <c r="B196" i="15"/>
  <c r="X195" i="15"/>
  <c r="Z195" i="15" s="1"/>
  <c r="N195" i="15"/>
  <c r="L195" i="15"/>
  <c r="B195" i="15"/>
  <c r="X194" i="15"/>
  <c r="Z194" i="15" s="1"/>
  <c r="T194" i="15"/>
  <c r="P194" i="15"/>
  <c r="H194" i="15"/>
  <c r="D194" i="15"/>
  <c r="B194" i="15"/>
  <c r="Z193" i="15"/>
  <c r="X193" i="15"/>
  <c r="N193" i="15"/>
  <c r="L193" i="15"/>
  <c r="B193" i="15"/>
  <c r="T192" i="15"/>
  <c r="X192" i="15" s="1"/>
  <c r="P192" i="15"/>
  <c r="H192" i="15"/>
  <c r="D192" i="15"/>
  <c r="L192" i="15" s="1"/>
  <c r="B192" i="15"/>
  <c r="X191" i="15"/>
  <c r="Z191" i="15" s="1"/>
  <c r="L191" i="15"/>
  <c r="N191" i="15" s="1"/>
  <c r="B191" i="15"/>
  <c r="X190" i="15"/>
  <c r="Z190" i="15" s="1"/>
  <c r="T190" i="15"/>
  <c r="P190" i="15"/>
  <c r="H190" i="15"/>
  <c r="N190" i="15" s="1"/>
  <c r="D190" i="15"/>
  <c r="L190" i="15" s="1"/>
  <c r="B190" i="15"/>
  <c r="Z189" i="15"/>
  <c r="X189" i="15"/>
  <c r="N189" i="15"/>
  <c r="L189" i="15"/>
  <c r="B189" i="15"/>
  <c r="X188" i="15"/>
  <c r="Z188" i="15" s="1"/>
  <c r="L188" i="15"/>
  <c r="N188" i="15" s="1"/>
  <c r="B188" i="15"/>
  <c r="T187" i="15"/>
  <c r="P187" i="15"/>
  <c r="X187" i="15" s="1"/>
  <c r="Z187" i="15" s="1"/>
  <c r="H187" i="15"/>
  <c r="D187" i="15"/>
  <c r="L187" i="15" s="1"/>
  <c r="N187" i="15" s="1"/>
  <c r="B187" i="15"/>
  <c r="X186" i="15"/>
  <c r="Z186" i="15" s="1"/>
  <c r="L186" i="15"/>
  <c r="N186" i="15" s="1"/>
  <c r="B186" i="15"/>
  <c r="Z185" i="15"/>
  <c r="X185" i="15"/>
  <c r="N185" i="15"/>
  <c r="L185" i="15"/>
  <c r="B185" i="15"/>
  <c r="T184" i="15"/>
  <c r="X184" i="15" s="1"/>
  <c r="P184" i="15"/>
  <c r="H184" i="15"/>
  <c r="N184" i="15" s="1"/>
  <c r="D184" i="15"/>
  <c r="L184" i="15" s="1"/>
  <c r="B184" i="15"/>
  <c r="X183" i="15"/>
  <c r="Z183" i="15" s="1"/>
  <c r="L183" i="15"/>
  <c r="N183" i="15" s="1"/>
  <c r="B183" i="15"/>
  <c r="X182" i="15"/>
  <c r="Z182" i="15" s="1"/>
  <c r="T182" i="15"/>
  <c r="P182" i="15"/>
  <c r="H182" i="15"/>
  <c r="N182" i="15" s="1"/>
  <c r="D182" i="15"/>
  <c r="L182" i="15" s="1"/>
  <c r="B182" i="15"/>
  <c r="Z181" i="15"/>
  <c r="X181" i="15"/>
  <c r="N181" i="15"/>
  <c r="L181" i="15"/>
  <c r="B181" i="15"/>
  <c r="X180" i="15"/>
  <c r="Z180" i="15" s="1"/>
  <c r="L180" i="15"/>
  <c r="N180" i="15" s="1"/>
  <c r="B180" i="15"/>
  <c r="T179" i="15"/>
  <c r="P179" i="15"/>
  <c r="X179" i="15" s="1"/>
  <c r="Z179" i="15" s="1"/>
  <c r="H179" i="15"/>
  <c r="D179" i="15"/>
  <c r="L179" i="15" s="1"/>
  <c r="N179" i="15" s="1"/>
  <c r="B179" i="15"/>
  <c r="X178" i="15"/>
  <c r="Z178" i="15" s="1"/>
  <c r="L178" i="15"/>
  <c r="N178" i="15" s="1"/>
  <c r="B178" i="15"/>
  <c r="T177" i="15"/>
  <c r="P177" i="15"/>
  <c r="X177" i="15" s="1"/>
  <c r="Z177" i="15" s="1"/>
  <c r="H177" i="15"/>
  <c r="D177" i="15"/>
  <c r="L177" i="15" s="1"/>
  <c r="N177" i="15" s="1"/>
  <c r="B177" i="15"/>
  <c r="X176" i="15"/>
  <c r="Z176" i="15" s="1"/>
  <c r="L176" i="15"/>
  <c r="N176" i="15" s="1"/>
  <c r="B176" i="15"/>
  <c r="X175" i="15"/>
  <c r="Z175" i="15" s="1"/>
  <c r="L175" i="15"/>
  <c r="N175" i="15" s="1"/>
  <c r="B175" i="15"/>
  <c r="X174" i="15"/>
  <c r="Z174" i="15" s="1"/>
  <c r="L174" i="15"/>
  <c r="N174" i="15" s="1"/>
  <c r="B174" i="15"/>
  <c r="Z173" i="15"/>
  <c r="X173" i="15"/>
  <c r="N173" i="15"/>
  <c r="L173" i="15"/>
  <c r="B173" i="15"/>
  <c r="X172" i="15"/>
  <c r="Z172" i="15" s="1"/>
  <c r="L172" i="15"/>
  <c r="N172" i="15" s="1"/>
  <c r="B172" i="15"/>
  <c r="X171" i="15"/>
  <c r="Z171" i="15" s="1"/>
  <c r="L171" i="15"/>
  <c r="N171" i="15" s="1"/>
  <c r="B171" i="15"/>
  <c r="X170" i="15"/>
  <c r="Z170" i="15" s="1"/>
  <c r="L170" i="15"/>
  <c r="N170" i="15" s="1"/>
  <c r="B170" i="15"/>
  <c r="T169" i="15"/>
  <c r="P169" i="15"/>
  <c r="L169" i="15"/>
  <c r="N169" i="15" s="1"/>
  <c r="H169" i="15"/>
  <c r="D169" i="15"/>
  <c r="B169" i="15"/>
  <c r="X168" i="15"/>
  <c r="Z168" i="15" s="1"/>
  <c r="L168" i="15"/>
  <c r="N168" i="15" s="1"/>
  <c r="B168" i="15"/>
  <c r="X167" i="15"/>
  <c r="Z167" i="15" s="1"/>
  <c r="N167" i="15"/>
  <c r="L167" i="15"/>
  <c r="B167" i="15"/>
  <c r="X166" i="15"/>
  <c r="Z166" i="15" s="1"/>
  <c r="L166" i="15"/>
  <c r="N166" i="15" s="1"/>
  <c r="B166" i="15"/>
  <c r="Z165" i="15"/>
  <c r="X165" i="15"/>
  <c r="N165" i="15"/>
  <c r="L165" i="15"/>
  <c r="B165" i="15"/>
  <c r="X164" i="15"/>
  <c r="Z164" i="15" s="1"/>
  <c r="L164" i="15"/>
  <c r="N164" i="15" s="1"/>
  <c r="B164" i="15"/>
  <c r="X163" i="15"/>
  <c r="Z163" i="15" s="1"/>
  <c r="N163" i="15"/>
  <c r="L163" i="15"/>
  <c r="B163" i="15"/>
  <c r="X162" i="15"/>
  <c r="Z162" i="15" s="1"/>
  <c r="L162" i="15"/>
  <c r="N162" i="15" s="1"/>
  <c r="B162" i="15"/>
  <c r="Z161" i="15"/>
  <c r="X161" i="15"/>
  <c r="N161" i="15"/>
  <c r="L161" i="15"/>
  <c r="B161" i="15"/>
  <c r="X160" i="15"/>
  <c r="Z160" i="15" s="1"/>
  <c r="L160" i="15"/>
  <c r="N160" i="15" s="1"/>
  <c r="B160" i="15"/>
  <c r="T159" i="15"/>
  <c r="P159" i="15"/>
  <c r="X159" i="15" s="1"/>
  <c r="Z159" i="15" s="1"/>
  <c r="H159" i="15"/>
  <c r="D159" i="15"/>
  <c r="L159" i="15" s="1"/>
  <c r="N159" i="15" s="1"/>
  <c r="B159" i="15"/>
  <c r="T158" i="15"/>
  <c r="Z158" i="15" s="1"/>
  <c r="P158" i="15"/>
  <c r="X158" i="15" s="1"/>
  <c r="H158" i="15"/>
  <c r="D158" i="15"/>
  <c r="L158" i="15" s="1"/>
  <c r="X154" i="15"/>
  <c r="Z154" i="15" s="1"/>
  <c r="N154" i="15"/>
  <c r="L154" i="15"/>
  <c r="B154" i="15"/>
  <c r="Z153" i="15"/>
  <c r="X153" i="15"/>
  <c r="N153" i="15"/>
  <c r="L153" i="15"/>
  <c r="B153" i="15"/>
  <c r="X152" i="15"/>
  <c r="Z152" i="15" s="1"/>
  <c r="L152" i="15"/>
  <c r="N152" i="15" s="1"/>
  <c r="B152" i="15"/>
  <c r="Z151" i="15"/>
  <c r="X151" i="15"/>
  <c r="N151" i="15"/>
  <c r="L151" i="15"/>
  <c r="B151" i="15"/>
  <c r="X150" i="15"/>
  <c r="Z150" i="15" s="1"/>
  <c r="L150" i="15"/>
  <c r="N150" i="15" s="1"/>
  <c r="B150" i="15"/>
  <c r="Z149" i="15"/>
  <c r="X149" i="15"/>
  <c r="N149" i="15"/>
  <c r="L149" i="15"/>
  <c r="B149" i="15"/>
  <c r="X148" i="15"/>
  <c r="Z148" i="15" s="1"/>
  <c r="L148" i="15"/>
  <c r="N148" i="15" s="1"/>
  <c r="B148" i="15"/>
  <c r="Z147" i="15"/>
  <c r="X147" i="15"/>
  <c r="L147" i="15"/>
  <c r="N147" i="15" s="1"/>
  <c r="B147" i="15"/>
  <c r="X146" i="15"/>
  <c r="Z146" i="15" s="1"/>
  <c r="L146" i="15"/>
  <c r="N146" i="15" s="1"/>
  <c r="B146" i="15"/>
  <c r="Z145" i="15"/>
  <c r="X145" i="15"/>
  <c r="N145" i="15"/>
  <c r="L145" i="15"/>
  <c r="B145" i="15"/>
  <c r="X144" i="15"/>
  <c r="Z144" i="15" s="1"/>
  <c r="L144" i="15"/>
  <c r="N144" i="15" s="1"/>
  <c r="B144" i="15"/>
  <c r="Z143" i="15"/>
  <c r="X143" i="15"/>
  <c r="N143" i="15"/>
  <c r="L143" i="15"/>
  <c r="B143" i="15"/>
  <c r="X142" i="15"/>
  <c r="Z142" i="15" s="1"/>
  <c r="N142" i="15"/>
  <c r="L142" i="15"/>
  <c r="B142" i="15"/>
  <c r="Z141" i="15"/>
  <c r="X141" i="15"/>
  <c r="N141" i="15"/>
  <c r="L141" i="15"/>
  <c r="B141" i="15"/>
  <c r="X140" i="15"/>
  <c r="Z140" i="15" s="1"/>
  <c r="L140" i="15"/>
  <c r="N140" i="15" s="1"/>
  <c r="B140" i="15"/>
  <c r="Z139" i="15"/>
  <c r="X139" i="15"/>
  <c r="L139" i="15"/>
  <c r="N139" i="15" s="1"/>
  <c r="B139" i="15"/>
  <c r="X138" i="15"/>
  <c r="Z138" i="15" s="1"/>
  <c r="L138" i="15"/>
  <c r="N138" i="15" s="1"/>
  <c r="B138" i="15"/>
  <c r="Z137" i="15"/>
  <c r="X137" i="15"/>
  <c r="N137" i="15"/>
  <c r="L137" i="15"/>
  <c r="B137" i="15"/>
  <c r="Z136" i="15"/>
  <c r="X136" i="15"/>
  <c r="N136" i="15"/>
  <c r="L136" i="15"/>
  <c r="B136" i="15"/>
  <c r="Z135" i="15"/>
  <c r="X135" i="15"/>
  <c r="L135" i="15"/>
  <c r="N135" i="15" s="1"/>
  <c r="B135" i="15"/>
  <c r="X134" i="15"/>
  <c r="Z134" i="15" s="1"/>
  <c r="L134" i="15"/>
  <c r="N134" i="15" s="1"/>
  <c r="B134" i="15"/>
  <c r="Z133" i="15"/>
  <c r="X133" i="15"/>
  <c r="N133" i="15"/>
  <c r="L133" i="15"/>
  <c r="B133" i="15"/>
  <c r="X132" i="15"/>
  <c r="Z132" i="15" s="1"/>
  <c r="L132" i="15"/>
  <c r="N132" i="15" s="1"/>
  <c r="B132" i="15"/>
  <c r="Z131" i="15"/>
  <c r="X131" i="15"/>
  <c r="L131" i="15"/>
  <c r="N131" i="15" s="1"/>
  <c r="B131" i="15"/>
  <c r="X130" i="15"/>
  <c r="Z130" i="15" s="1"/>
  <c r="L130" i="15"/>
  <c r="N130" i="15" s="1"/>
  <c r="B130" i="15"/>
  <c r="Z129" i="15"/>
  <c r="X129" i="15"/>
  <c r="N129" i="15"/>
  <c r="L129" i="15"/>
  <c r="B129" i="15"/>
  <c r="X128" i="15"/>
  <c r="Z128" i="15" s="1"/>
  <c r="L128" i="15"/>
  <c r="N128" i="15" s="1"/>
  <c r="B128" i="15"/>
  <c r="Z127" i="15"/>
  <c r="X127" i="15"/>
  <c r="L127" i="15"/>
  <c r="N127" i="15" s="1"/>
  <c r="B127" i="15"/>
  <c r="X126" i="15"/>
  <c r="Z126" i="15" s="1"/>
  <c r="L126" i="15"/>
  <c r="N126" i="15" s="1"/>
  <c r="B126" i="15"/>
  <c r="Z125" i="15"/>
  <c r="X125" i="15"/>
  <c r="N125" i="15"/>
  <c r="L125" i="15"/>
  <c r="B125" i="15"/>
  <c r="X124" i="15"/>
  <c r="Z124" i="15" s="1"/>
  <c r="L124" i="15"/>
  <c r="N124" i="15" s="1"/>
  <c r="B124" i="15"/>
  <c r="Z123" i="15"/>
  <c r="X123" i="15"/>
  <c r="L123" i="15"/>
  <c r="N123" i="15" s="1"/>
  <c r="B123" i="15"/>
  <c r="X122" i="15"/>
  <c r="Z122" i="15" s="1"/>
  <c r="L122" i="15"/>
  <c r="N122" i="15" s="1"/>
  <c r="B122" i="15"/>
  <c r="Z121" i="15"/>
  <c r="X121" i="15"/>
  <c r="N121" i="15"/>
  <c r="L121" i="15"/>
  <c r="B121" i="15"/>
  <c r="X120" i="15"/>
  <c r="Z120" i="15" s="1"/>
  <c r="L120" i="15"/>
  <c r="N120" i="15" s="1"/>
  <c r="B120" i="15"/>
  <c r="Z119" i="15"/>
  <c r="X119" i="15"/>
  <c r="L119" i="15"/>
  <c r="N119" i="15" s="1"/>
  <c r="B119" i="15"/>
  <c r="X118" i="15"/>
  <c r="Z118" i="15" s="1"/>
  <c r="L118" i="15"/>
  <c r="N118" i="15" s="1"/>
  <c r="B118" i="15"/>
  <c r="Z117" i="15"/>
  <c r="X117" i="15"/>
  <c r="N117" i="15"/>
  <c r="L117" i="15"/>
  <c r="B117" i="15"/>
  <c r="X116" i="15"/>
  <c r="Z116" i="15" s="1"/>
  <c r="L116" i="15"/>
  <c r="N116" i="15" s="1"/>
  <c r="B116" i="15"/>
  <c r="Z115" i="15"/>
  <c r="X115" i="15"/>
  <c r="N115" i="15"/>
  <c r="L115" i="15"/>
  <c r="B115" i="15"/>
  <c r="X114" i="15"/>
  <c r="Z114" i="15" s="1"/>
  <c r="L114" i="15"/>
  <c r="N114" i="15" s="1"/>
  <c r="B114" i="15"/>
  <c r="Z113" i="15"/>
  <c r="X113" i="15"/>
  <c r="N113" i="15"/>
  <c r="L113" i="15"/>
  <c r="B113" i="15"/>
  <c r="X112" i="15"/>
  <c r="Z112" i="15" s="1"/>
  <c r="L112" i="15"/>
  <c r="N112" i="15" s="1"/>
  <c r="B112" i="15"/>
  <c r="Z111" i="15"/>
  <c r="X111" i="15"/>
  <c r="L111" i="15"/>
  <c r="N111" i="15" s="1"/>
  <c r="B111" i="15"/>
  <c r="X110" i="15"/>
  <c r="Z110" i="15" s="1"/>
  <c r="L110" i="15"/>
  <c r="N110" i="15" s="1"/>
  <c r="B110" i="15"/>
  <c r="Z109" i="15"/>
  <c r="X109" i="15"/>
  <c r="N109" i="15"/>
  <c r="L109" i="15"/>
  <c r="B109" i="15"/>
  <c r="X108" i="15"/>
  <c r="Z108" i="15" s="1"/>
  <c r="L108" i="15"/>
  <c r="N108" i="15" s="1"/>
  <c r="B108" i="15"/>
  <c r="Z107" i="15"/>
  <c r="X107" i="15"/>
  <c r="L107" i="15"/>
  <c r="N107" i="15" s="1"/>
  <c r="B107" i="15"/>
  <c r="X106" i="15"/>
  <c r="Z106" i="15" s="1"/>
  <c r="L106" i="15"/>
  <c r="N106" i="15" s="1"/>
  <c r="B106" i="15"/>
  <c r="T105" i="15"/>
  <c r="P105" i="15"/>
  <c r="X105" i="15" s="1"/>
  <c r="Z105" i="15" s="1"/>
  <c r="H105" i="15"/>
  <c r="D105" i="15"/>
  <c r="L105" i="15" s="1"/>
  <c r="N105" i="15" s="1"/>
  <c r="Z103" i="15"/>
  <c r="T103" i="15"/>
  <c r="P103" i="15"/>
  <c r="X103" i="15" s="1"/>
  <c r="H103" i="15"/>
  <c r="N103" i="15" s="1"/>
  <c r="D103" i="15"/>
  <c r="L103" i="15" s="1"/>
  <c r="B103" i="15"/>
  <c r="T102" i="15"/>
  <c r="Z102" i="15" s="1"/>
  <c r="P102" i="15"/>
  <c r="X102" i="15" s="1"/>
  <c r="H102" i="15"/>
  <c r="N102" i="15" s="1"/>
  <c r="D102" i="15"/>
  <c r="L102" i="15" s="1"/>
  <c r="B102" i="15"/>
  <c r="T101" i="15"/>
  <c r="P101" i="15"/>
  <c r="H101" i="15"/>
  <c r="D101" i="15"/>
  <c r="B101" i="15"/>
  <c r="T100" i="15"/>
  <c r="P100" i="15"/>
  <c r="X100" i="15" s="1"/>
  <c r="L100" i="15"/>
  <c r="N100" i="15" s="1"/>
  <c r="H100" i="15"/>
  <c r="D100" i="15"/>
  <c r="B100" i="15"/>
  <c r="Z99" i="15"/>
  <c r="T99" i="15"/>
  <c r="P99" i="15"/>
  <c r="X99" i="15" s="1"/>
  <c r="H99" i="15"/>
  <c r="N99" i="15" s="1"/>
  <c r="D99" i="15"/>
  <c r="L99" i="15" s="1"/>
  <c r="B99" i="15"/>
  <c r="T98" i="15"/>
  <c r="P98" i="15"/>
  <c r="X98" i="15" s="1"/>
  <c r="H98" i="15"/>
  <c r="D98" i="15"/>
  <c r="L98" i="15" s="1"/>
  <c r="B98" i="15"/>
  <c r="T97" i="15"/>
  <c r="P97" i="15"/>
  <c r="L97" i="15"/>
  <c r="H97" i="15"/>
  <c r="N97" i="15" s="1"/>
  <c r="D97" i="15"/>
  <c r="B97" i="15"/>
  <c r="T96" i="15"/>
  <c r="P96" i="15"/>
  <c r="X96" i="15" s="1"/>
  <c r="N96" i="15"/>
  <c r="L96" i="15"/>
  <c r="H96" i="15"/>
  <c r="D96" i="15"/>
  <c r="B96" i="15"/>
  <c r="T95" i="15"/>
  <c r="P95" i="15"/>
  <c r="X95" i="15" s="1"/>
  <c r="Z95" i="15" s="1"/>
  <c r="H95" i="15"/>
  <c r="N95" i="15" s="1"/>
  <c r="D95" i="15"/>
  <c r="L95" i="15" s="1"/>
  <c r="B95" i="15"/>
  <c r="T94" i="15"/>
  <c r="P94" i="15"/>
  <c r="X94" i="15" s="1"/>
  <c r="H94" i="15"/>
  <c r="N94" i="15" s="1"/>
  <c r="D94" i="15"/>
  <c r="L94" i="15" s="1"/>
  <c r="B94" i="15"/>
  <c r="T93" i="15"/>
  <c r="P93" i="15"/>
  <c r="L93" i="15"/>
  <c r="H93" i="15"/>
  <c r="N93" i="15" s="1"/>
  <c r="D93" i="15"/>
  <c r="B93" i="15"/>
  <c r="T92" i="15"/>
  <c r="Z92" i="15" s="1"/>
  <c r="P92" i="15"/>
  <c r="X92" i="15" s="1"/>
  <c r="N92" i="15"/>
  <c r="L92" i="15"/>
  <c r="H92" i="15"/>
  <c r="D92" i="15"/>
  <c r="B92" i="15"/>
  <c r="T91" i="15"/>
  <c r="P91" i="15"/>
  <c r="X91" i="15" s="1"/>
  <c r="Z91" i="15" s="1"/>
  <c r="H91" i="15"/>
  <c r="N91" i="15" s="1"/>
  <c r="D91" i="15"/>
  <c r="L91" i="15" s="1"/>
  <c r="B91" i="15"/>
  <c r="T90" i="15"/>
  <c r="Z90" i="15" s="1"/>
  <c r="P90" i="15"/>
  <c r="X90" i="15" s="1"/>
  <c r="H90" i="15"/>
  <c r="N90" i="15" s="1"/>
  <c r="D90" i="15"/>
  <c r="L90" i="15" s="1"/>
  <c r="B90" i="15"/>
  <c r="T89" i="15"/>
  <c r="P89" i="15"/>
  <c r="L89" i="15"/>
  <c r="H89" i="15"/>
  <c r="N89" i="15" s="1"/>
  <c r="D89" i="15"/>
  <c r="B89" i="15"/>
  <c r="T88" i="15"/>
  <c r="Z88" i="15" s="1"/>
  <c r="P88" i="15"/>
  <c r="X88" i="15" s="1"/>
  <c r="L88" i="15"/>
  <c r="N88" i="15" s="1"/>
  <c r="H88" i="15"/>
  <c r="D88" i="15"/>
  <c r="B88" i="15"/>
  <c r="T87" i="15"/>
  <c r="P87" i="15"/>
  <c r="X87" i="15" s="1"/>
  <c r="Z87" i="15" s="1"/>
  <c r="H87" i="15"/>
  <c r="N87" i="15" s="1"/>
  <c r="D87" i="15"/>
  <c r="L87" i="15" s="1"/>
  <c r="B87" i="15"/>
  <c r="T86" i="15"/>
  <c r="P86" i="15"/>
  <c r="X86" i="15" s="1"/>
  <c r="H86" i="15"/>
  <c r="N86" i="15" s="1"/>
  <c r="D86" i="15"/>
  <c r="L86" i="15" s="1"/>
  <c r="B86" i="15"/>
  <c r="T85" i="15"/>
  <c r="P85" i="15"/>
  <c r="L85" i="15"/>
  <c r="H85" i="15"/>
  <c r="N85" i="15" s="1"/>
  <c r="D85" i="15"/>
  <c r="B85" i="15"/>
  <c r="T84" i="15"/>
  <c r="Z84" i="15" s="1"/>
  <c r="P84" i="15"/>
  <c r="X84" i="15" s="1"/>
  <c r="L84" i="15"/>
  <c r="N84" i="15" s="1"/>
  <c r="H84" i="15"/>
  <c r="D84" i="15"/>
  <c r="B84" i="15"/>
  <c r="T83" i="15"/>
  <c r="P83" i="15"/>
  <c r="X83" i="15" s="1"/>
  <c r="Z83" i="15" s="1"/>
  <c r="H83" i="15"/>
  <c r="D83" i="15"/>
  <c r="L83" i="15" s="1"/>
  <c r="B83" i="15"/>
  <c r="T82" i="15"/>
  <c r="Z82" i="15" s="1"/>
  <c r="P82" i="15"/>
  <c r="X82" i="15" s="1"/>
  <c r="H82" i="15"/>
  <c r="D82" i="15"/>
  <c r="L82" i="15" s="1"/>
  <c r="B82" i="15"/>
  <c r="T81" i="15"/>
  <c r="P81" i="15"/>
  <c r="L81" i="15"/>
  <c r="H81" i="15"/>
  <c r="N81" i="15" s="1"/>
  <c r="D81" i="15"/>
  <c r="B81" i="15"/>
  <c r="T80" i="15"/>
  <c r="P80" i="15"/>
  <c r="X80" i="15" s="1"/>
  <c r="L80" i="15"/>
  <c r="N80" i="15" s="1"/>
  <c r="H80" i="15"/>
  <c r="D80" i="15"/>
  <c r="B80" i="15"/>
  <c r="T79" i="15"/>
  <c r="P79" i="15"/>
  <c r="X79" i="15" s="1"/>
  <c r="Z79" i="15" s="1"/>
  <c r="H79" i="15"/>
  <c r="N79" i="15" s="1"/>
  <c r="D79" i="15"/>
  <c r="L79" i="15" s="1"/>
  <c r="B79" i="15"/>
  <c r="T78" i="15"/>
  <c r="P78" i="15"/>
  <c r="X78" i="15" s="1"/>
  <c r="H78" i="15"/>
  <c r="N78" i="15" s="1"/>
  <c r="D78" i="15"/>
  <c r="L78" i="15" s="1"/>
  <c r="B78" i="15"/>
  <c r="T77" i="15"/>
  <c r="P77" i="15"/>
  <c r="L77" i="15"/>
  <c r="H77" i="15"/>
  <c r="N77" i="15" s="1"/>
  <c r="D77" i="15"/>
  <c r="B77" i="15"/>
  <c r="T76" i="15"/>
  <c r="P76" i="15"/>
  <c r="X76" i="15" s="1"/>
  <c r="N76" i="15"/>
  <c r="L76" i="15"/>
  <c r="H76" i="15"/>
  <c r="D76" i="15"/>
  <c r="B76" i="15"/>
  <c r="T75" i="15"/>
  <c r="P75" i="15"/>
  <c r="X75" i="15" s="1"/>
  <c r="Z75" i="15" s="1"/>
  <c r="H75" i="15"/>
  <c r="D75" i="15"/>
  <c r="L75" i="15" s="1"/>
  <c r="B75" i="15"/>
  <c r="T74" i="15"/>
  <c r="P74" i="15"/>
  <c r="X74" i="15" s="1"/>
  <c r="H74" i="15"/>
  <c r="N74" i="15" s="1"/>
  <c r="D74" i="15"/>
  <c r="L74" i="15" s="1"/>
  <c r="B74" i="15"/>
  <c r="T73" i="15"/>
  <c r="P73" i="15"/>
  <c r="L73" i="15"/>
  <c r="H73" i="15"/>
  <c r="N73" i="15" s="1"/>
  <c r="D73" i="15"/>
  <c r="B73" i="15"/>
  <c r="T72" i="15"/>
  <c r="P72" i="15"/>
  <c r="X72" i="15" s="1"/>
  <c r="L72" i="15"/>
  <c r="N72" i="15" s="1"/>
  <c r="H72" i="15"/>
  <c r="D72" i="15"/>
  <c r="B72" i="15"/>
  <c r="T71" i="15"/>
  <c r="P71" i="15"/>
  <c r="X71" i="15" s="1"/>
  <c r="Z71" i="15" s="1"/>
  <c r="H71" i="15"/>
  <c r="D71" i="15"/>
  <c r="L71" i="15" s="1"/>
  <c r="B71" i="15"/>
  <c r="T70" i="15"/>
  <c r="Z70" i="15" s="1"/>
  <c r="P70" i="15"/>
  <c r="X70" i="15" s="1"/>
  <c r="H70" i="15"/>
  <c r="D70" i="15"/>
  <c r="L70" i="15" s="1"/>
  <c r="B70" i="15"/>
  <c r="T69" i="15"/>
  <c r="P69" i="15"/>
  <c r="L69" i="15"/>
  <c r="H69" i="15"/>
  <c r="N69" i="15" s="1"/>
  <c r="D69" i="15"/>
  <c r="B69" i="15"/>
  <c r="T68" i="15"/>
  <c r="P68" i="15"/>
  <c r="X68" i="15" s="1"/>
  <c r="L68" i="15"/>
  <c r="N68" i="15" s="1"/>
  <c r="H68" i="15"/>
  <c r="D68" i="15"/>
  <c r="B68" i="15"/>
  <c r="T67" i="15"/>
  <c r="P67" i="15"/>
  <c r="X67" i="15" s="1"/>
  <c r="Z67" i="15" s="1"/>
  <c r="H67" i="15"/>
  <c r="D67" i="15"/>
  <c r="L67" i="15" s="1"/>
  <c r="B67" i="15"/>
  <c r="T66" i="15"/>
  <c r="P66" i="15"/>
  <c r="X66" i="15" s="1"/>
  <c r="H66" i="15"/>
  <c r="N66" i="15" s="1"/>
  <c r="D66" i="15"/>
  <c r="L66" i="15" s="1"/>
  <c r="B66" i="15"/>
  <c r="T65" i="15"/>
  <c r="P65" i="15"/>
  <c r="L65" i="15"/>
  <c r="H65" i="15"/>
  <c r="N65" i="15" s="1"/>
  <c r="D65" i="15"/>
  <c r="B65" i="15"/>
  <c r="T64" i="15"/>
  <c r="P64" i="15"/>
  <c r="X64" i="15" s="1"/>
  <c r="L64" i="15"/>
  <c r="N64" i="15" s="1"/>
  <c r="H64" i="15"/>
  <c r="D64" i="15"/>
  <c r="B64" i="15"/>
  <c r="T63" i="15"/>
  <c r="P63" i="15"/>
  <c r="X63" i="15" s="1"/>
  <c r="Z63" i="15" s="1"/>
  <c r="H63" i="15"/>
  <c r="N63" i="15" s="1"/>
  <c r="D63" i="15"/>
  <c r="L63" i="15" s="1"/>
  <c r="B63" i="15"/>
  <c r="T62" i="15"/>
  <c r="Z62" i="15" s="1"/>
  <c r="P62" i="15"/>
  <c r="X62" i="15" s="1"/>
  <c r="L62" i="15"/>
  <c r="H62" i="15"/>
  <c r="N62" i="15" s="1"/>
  <c r="D62" i="15"/>
  <c r="B62" i="15"/>
  <c r="T61" i="15"/>
  <c r="P61" i="15"/>
  <c r="L61" i="15"/>
  <c r="H61" i="15"/>
  <c r="N61" i="15" s="1"/>
  <c r="D61" i="15"/>
  <c r="B61" i="15"/>
  <c r="T60" i="15"/>
  <c r="Z60" i="15" s="1"/>
  <c r="P60" i="15"/>
  <c r="X60" i="15" s="1"/>
  <c r="L60" i="15"/>
  <c r="N60" i="15" s="1"/>
  <c r="H60" i="15"/>
  <c r="D60" i="15"/>
  <c r="B60" i="15"/>
  <c r="T59" i="15"/>
  <c r="P59" i="15"/>
  <c r="X59" i="15" s="1"/>
  <c r="Z59" i="15" s="1"/>
  <c r="H59" i="15"/>
  <c r="D59" i="15"/>
  <c r="L59" i="15" s="1"/>
  <c r="B59" i="15"/>
  <c r="T58" i="15"/>
  <c r="P58" i="15"/>
  <c r="X58" i="15" s="1"/>
  <c r="L58" i="15"/>
  <c r="H58" i="15"/>
  <c r="N58" i="15" s="1"/>
  <c r="D58" i="15"/>
  <c r="B58" i="15"/>
  <c r="T57" i="15"/>
  <c r="P57" i="15"/>
  <c r="L57" i="15"/>
  <c r="H57" i="15"/>
  <c r="N57" i="15" s="1"/>
  <c r="D57" i="15"/>
  <c r="B57" i="15"/>
  <c r="T56" i="15"/>
  <c r="P56" i="15"/>
  <c r="X56" i="15" s="1"/>
  <c r="L56" i="15"/>
  <c r="N56" i="15" s="1"/>
  <c r="H56" i="15"/>
  <c r="D56" i="15"/>
  <c r="B56" i="15"/>
  <c r="T55" i="15"/>
  <c r="P55" i="15"/>
  <c r="X55" i="15" s="1"/>
  <c r="Z55" i="15" s="1"/>
  <c r="H55" i="15"/>
  <c r="D55" i="15"/>
  <c r="L55" i="15" s="1"/>
  <c r="B55" i="15"/>
  <c r="T54" i="15"/>
  <c r="Z54" i="15" s="1"/>
  <c r="P54" i="15"/>
  <c r="X54" i="15" s="1"/>
  <c r="L54" i="15"/>
  <c r="H54" i="15"/>
  <c r="N54" i="15" s="1"/>
  <c r="D54" i="15"/>
  <c r="B54" i="15"/>
  <c r="T53" i="15"/>
  <c r="P53" i="15"/>
  <c r="L53" i="15"/>
  <c r="H53" i="15"/>
  <c r="N53" i="15" s="1"/>
  <c r="D53" i="15"/>
  <c r="B53" i="15"/>
  <c r="T52" i="15"/>
  <c r="Z52" i="15" s="1"/>
  <c r="P52" i="15"/>
  <c r="X52" i="15" s="1"/>
  <c r="N52" i="15"/>
  <c r="L52" i="15"/>
  <c r="H52" i="15"/>
  <c r="D52" i="15"/>
  <c r="B52" i="15"/>
  <c r="T51" i="15"/>
  <c r="P51" i="15"/>
  <c r="X51" i="15" s="1"/>
  <c r="Z51" i="15" s="1"/>
  <c r="H51" i="15"/>
  <c r="D51" i="15"/>
  <c r="L51" i="15" s="1"/>
  <c r="B51" i="15"/>
  <c r="T50" i="15"/>
  <c r="Z50" i="15" s="1"/>
  <c r="P50" i="15"/>
  <c r="X50" i="15" s="1"/>
  <c r="L50" i="15"/>
  <c r="H50" i="15"/>
  <c r="N50" i="15" s="1"/>
  <c r="D50" i="15"/>
  <c r="B50" i="15"/>
  <c r="T49" i="15"/>
  <c r="P49" i="15"/>
  <c r="L49" i="15"/>
  <c r="H49" i="15"/>
  <c r="N49" i="15" s="1"/>
  <c r="D49" i="15"/>
  <c r="B49" i="15"/>
  <c r="T48" i="15"/>
  <c r="Z48" i="15" s="1"/>
  <c r="P48" i="15"/>
  <c r="X48" i="15" s="1"/>
  <c r="L48" i="15"/>
  <c r="N48" i="15" s="1"/>
  <c r="H48" i="15"/>
  <c r="D48" i="15"/>
  <c r="B48" i="15"/>
  <c r="T47" i="15"/>
  <c r="P47" i="15"/>
  <c r="X47" i="15" s="1"/>
  <c r="Z47" i="15" s="1"/>
  <c r="H47" i="15"/>
  <c r="D47" i="15"/>
  <c r="L47" i="15" s="1"/>
  <c r="B47" i="15"/>
  <c r="T46" i="15"/>
  <c r="Z46" i="15" s="1"/>
  <c r="P46" i="15"/>
  <c r="X46" i="15" s="1"/>
  <c r="L46" i="15"/>
  <c r="H46" i="15"/>
  <c r="N46" i="15" s="1"/>
  <c r="D46" i="15"/>
  <c r="B46" i="15"/>
  <c r="T45" i="15"/>
  <c r="P45" i="15"/>
  <c r="L45" i="15"/>
  <c r="H45" i="15"/>
  <c r="N45" i="15" s="1"/>
  <c r="D45" i="15"/>
  <c r="B45" i="15"/>
  <c r="T44" i="15"/>
  <c r="Z44" i="15" s="1"/>
  <c r="P44" i="15"/>
  <c r="X44" i="15" s="1"/>
  <c r="L44" i="15"/>
  <c r="N44" i="15" s="1"/>
  <c r="H44" i="15"/>
  <c r="D44" i="15"/>
  <c r="B44" i="15"/>
  <c r="T43" i="15"/>
  <c r="P43" i="15"/>
  <c r="X43" i="15" s="1"/>
  <c r="Z43" i="15" s="1"/>
  <c r="H43" i="15"/>
  <c r="D43" i="15"/>
  <c r="L43" i="15" s="1"/>
  <c r="B43" i="15"/>
  <c r="T42" i="15"/>
  <c r="P42" i="15"/>
  <c r="X42" i="15" s="1"/>
  <c r="L42" i="15"/>
  <c r="H42" i="15"/>
  <c r="N42" i="15" s="1"/>
  <c r="D42" i="15"/>
  <c r="B42" i="15"/>
  <c r="T41" i="15"/>
  <c r="P41" i="15"/>
  <c r="L41" i="15"/>
  <c r="H41" i="15"/>
  <c r="N41" i="15" s="1"/>
  <c r="D41" i="15"/>
  <c r="B41" i="15"/>
  <c r="T40" i="15"/>
  <c r="P40" i="15"/>
  <c r="X40" i="15" s="1"/>
  <c r="L40" i="15"/>
  <c r="N40" i="15" s="1"/>
  <c r="H40" i="15"/>
  <c r="D40" i="15"/>
  <c r="B40" i="15"/>
  <c r="T39" i="15"/>
  <c r="P39" i="15"/>
  <c r="X39" i="15" s="1"/>
  <c r="Z39" i="15" s="1"/>
  <c r="H39" i="15"/>
  <c r="N39" i="15" s="1"/>
  <c r="D39" i="15"/>
  <c r="L39" i="15" s="1"/>
  <c r="B39" i="15"/>
  <c r="T38" i="15"/>
  <c r="P38" i="15"/>
  <c r="X38" i="15" s="1"/>
  <c r="L38" i="15"/>
  <c r="H38" i="15"/>
  <c r="N38" i="15" s="1"/>
  <c r="D38" i="15"/>
  <c r="B38" i="15"/>
  <c r="T37" i="15"/>
  <c r="P37" i="15"/>
  <c r="L37" i="15"/>
  <c r="H37" i="15"/>
  <c r="N37" i="15" s="1"/>
  <c r="D37" i="15"/>
  <c r="B37" i="15"/>
  <c r="T36" i="15"/>
  <c r="P36" i="15"/>
  <c r="X36" i="15" s="1"/>
  <c r="L36" i="15"/>
  <c r="N36" i="15" s="1"/>
  <c r="H36" i="15"/>
  <c r="D36" i="15"/>
  <c r="B36" i="15"/>
  <c r="T35" i="15"/>
  <c r="P35" i="15"/>
  <c r="X35" i="15" s="1"/>
  <c r="Z35" i="15" s="1"/>
  <c r="H35" i="15"/>
  <c r="D35" i="15"/>
  <c r="L35" i="15" s="1"/>
  <c r="B35" i="15"/>
  <c r="T34" i="15"/>
  <c r="P34" i="15"/>
  <c r="X34" i="15" s="1"/>
  <c r="L34" i="15"/>
  <c r="H34" i="15"/>
  <c r="N34" i="15" s="1"/>
  <c r="D34" i="15"/>
  <c r="B34" i="15"/>
  <c r="T33" i="15"/>
  <c r="P33" i="15"/>
  <c r="L33" i="15"/>
  <c r="H33" i="15"/>
  <c r="N33" i="15" s="1"/>
  <c r="D33" i="15"/>
  <c r="B33" i="15"/>
  <c r="T32" i="15"/>
  <c r="P32" i="15"/>
  <c r="X32" i="15" s="1"/>
  <c r="L32" i="15"/>
  <c r="N32" i="15" s="1"/>
  <c r="H32" i="15"/>
  <c r="D32" i="15"/>
  <c r="B32" i="15"/>
  <c r="T31" i="15"/>
  <c r="P31" i="15"/>
  <c r="X31" i="15" s="1"/>
  <c r="Z31" i="15" s="1"/>
  <c r="H31" i="15"/>
  <c r="D31" i="15"/>
  <c r="L31" i="15" s="1"/>
  <c r="B31" i="15"/>
  <c r="T30" i="15"/>
  <c r="P30" i="15"/>
  <c r="X30" i="15" s="1"/>
  <c r="L30" i="15"/>
  <c r="H30" i="15"/>
  <c r="N30" i="15" s="1"/>
  <c r="D30" i="15"/>
  <c r="B30" i="15"/>
  <c r="T29" i="15"/>
  <c r="P29" i="15"/>
  <c r="L29" i="15"/>
  <c r="H29" i="15"/>
  <c r="N29" i="15" s="1"/>
  <c r="D29" i="15"/>
  <c r="B29" i="15"/>
  <c r="T28" i="15"/>
  <c r="P28" i="15"/>
  <c r="X28" i="15" s="1"/>
  <c r="L28" i="15"/>
  <c r="N28" i="15" s="1"/>
  <c r="H28" i="15"/>
  <c r="D28" i="15"/>
  <c r="B28" i="15"/>
  <c r="T27" i="15"/>
  <c r="P27" i="15"/>
  <c r="X27" i="15" s="1"/>
  <c r="Z27" i="15" s="1"/>
  <c r="H27" i="15"/>
  <c r="N27" i="15" s="1"/>
  <c r="D27" i="15"/>
  <c r="L27" i="15" s="1"/>
  <c r="B27" i="15"/>
  <c r="T26" i="15"/>
  <c r="Z26" i="15" s="1"/>
  <c r="P26" i="15"/>
  <c r="X26" i="15" s="1"/>
  <c r="L26" i="15"/>
  <c r="H26" i="15"/>
  <c r="N26" i="15" s="1"/>
  <c r="D26" i="15"/>
  <c r="B26" i="15"/>
  <c r="T25" i="15"/>
  <c r="P25" i="15"/>
  <c r="L25" i="15"/>
  <c r="H25" i="15"/>
  <c r="N25" i="15" s="1"/>
  <c r="D25" i="15"/>
  <c r="B25" i="15"/>
  <c r="T24" i="15"/>
  <c r="Z24" i="15" s="1"/>
  <c r="P24" i="15"/>
  <c r="X24" i="15" s="1"/>
  <c r="L24" i="15"/>
  <c r="N24" i="15" s="1"/>
  <c r="H24" i="15"/>
  <c r="D24" i="15"/>
  <c r="B24" i="15"/>
  <c r="T23" i="15"/>
  <c r="P23" i="15"/>
  <c r="X23" i="15" s="1"/>
  <c r="Z23" i="15" s="1"/>
  <c r="H23" i="15"/>
  <c r="N23" i="15" s="1"/>
  <c r="D23" i="15"/>
  <c r="L23" i="15" s="1"/>
  <c r="B23" i="15"/>
  <c r="T22" i="15"/>
  <c r="P22" i="15"/>
  <c r="X22" i="15" s="1"/>
  <c r="L22" i="15"/>
  <c r="H22" i="15"/>
  <c r="N22" i="15" s="1"/>
  <c r="D22" i="15"/>
  <c r="B22" i="15"/>
  <c r="T21" i="15"/>
  <c r="P21" i="15"/>
  <c r="L21" i="15"/>
  <c r="H21" i="15"/>
  <c r="N21" i="15" s="1"/>
  <c r="D21" i="15"/>
  <c r="B21" i="15"/>
  <c r="T20" i="15"/>
  <c r="P20" i="15"/>
  <c r="X20" i="15" s="1"/>
  <c r="L20" i="15"/>
  <c r="N20" i="15" s="1"/>
  <c r="H20" i="15"/>
  <c r="D20" i="15"/>
  <c r="B20" i="15"/>
  <c r="T19" i="15"/>
  <c r="P19" i="15"/>
  <c r="X19" i="15" s="1"/>
  <c r="Z19" i="15" s="1"/>
  <c r="H19" i="15"/>
  <c r="D19" i="15"/>
  <c r="L19" i="15" s="1"/>
  <c r="B19" i="15"/>
  <c r="T18" i="15"/>
  <c r="P18" i="15"/>
  <c r="X18" i="15" s="1"/>
  <c r="L18" i="15"/>
  <c r="H18" i="15"/>
  <c r="N18" i="15" s="1"/>
  <c r="D18" i="15"/>
  <c r="B18" i="15"/>
  <c r="T17" i="15"/>
  <c r="P17" i="15"/>
  <c r="L17" i="15"/>
  <c r="H17" i="15"/>
  <c r="N17" i="15" s="1"/>
  <c r="D17" i="15"/>
  <c r="B17" i="15"/>
  <c r="T16" i="15"/>
  <c r="P16" i="15"/>
  <c r="X16" i="15" s="1"/>
  <c r="L16" i="15"/>
  <c r="N16" i="15" s="1"/>
  <c r="H16" i="15"/>
  <c r="D16" i="15"/>
  <c r="B16" i="15"/>
  <c r="T15" i="15"/>
  <c r="P15" i="15"/>
  <c r="X15" i="15" s="1"/>
  <c r="Z15" i="15" s="1"/>
  <c r="H15" i="15"/>
  <c r="N15" i="15" s="1"/>
  <c r="D15" i="15"/>
  <c r="L15" i="15" s="1"/>
  <c r="B15" i="15"/>
  <c r="T14" i="15"/>
  <c r="Z14" i="15" s="1"/>
  <c r="P14" i="15"/>
  <c r="X14" i="15" s="1"/>
  <c r="L14" i="15"/>
  <c r="H14" i="15"/>
  <c r="N14" i="15" s="1"/>
  <c r="D14" i="15"/>
  <c r="D12" i="15" s="1"/>
  <c r="B14" i="15"/>
  <c r="T13" i="15"/>
  <c r="P13" i="15"/>
  <c r="L13" i="15"/>
  <c r="H13" i="15"/>
  <c r="N13" i="15" s="1"/>
  <c r="D13" i="15"/>
  <c r="B13" i="15"/>
  <c r="D4" i="15"/>
  <c r="Z265" i="12"/>
  <c r="X265" i="12"/>
  <c r="N265" i="12"/>
  <c r="L265" i="12"/>
  <c r="Z261" i="12"/>
  <c r="X261" i="12"/>
  <c r="T261" i="12"/>
  <c r="P261" i="12"/>
  <c r="H261" i="12"/>
  <c r="N261" i="12" s="1"/>
  <c r="D261" i="12"/>
  <c r="B261" i="12"/>
  <c r="Z260" i="12"/>
  <c r="X260" i="12"/>
  <c r="T260" i="12"/>
  <c r="P260" i="12"/>
  <c r="H260" i="12"/>
  <c r="D260" i="12"/>
  <c r="B260" i="12"/>
  <c r="T259" i="12"/>
  <c r="P259" i="12"/>
  <c r="X259" i="12" s="1"/>
  <c r="Z259" i="12" s="1"/>
  <c r="H259" i="12"/>
  <c r="D259" i="12"/>
  <c r="L259" i="12" s="1"/>
  <c r="N259" i="12" s="1"/>
  <c r="B259" i="12"/>
  <c r="T258" i="12"/>
  <c r="Z258" i="12" s="1"/>
  <c r="P258" i="12"/>
  <c r="X258" i="12" s="1"/>
  <c r="L258" i="12"/>
  <c r="N258" i="12" s="1"/>
  <c r="H258" i="12"/>
  <c r="D258" i="12"/>
  <c r="B258" i="12"/>
  <c r="T257" i="12"/>
  <c r="P257" i="12"/>
  <c r="X257" i="12" s="1"/>
  <c r="Z257" i="12" s="1"/>
  <c r="N257" i="12"/>
  <c r="H257" i="12"/>
  <c r="D257" i="12"/>
  <c r="L257" i="12" s="1"/>
  <c r="B257" i="12"/>
  <c r="T256" i="12"/>
  <c r="P256" i="12"/>
  <c r="H256" i="12"/>
  <c r="N256" i="12" s="1"/>
  <c r="D256" i="12"/>
  <c r="L256" i="12" s="1"/>
  <c r="B256" i="12"/>
  <c r="T255" i="12"/>
  <c r="P255" i="12"/>
  <c r="L255" i="12"/>
  <c r="N255" i="12" s="1"/>
  <c r="H255" i="12"/>
  <c r="D255" i="12"/>
  <c r="B255" i="12"/>
  <c r="T254" i="12"/>
  <c r="P254" i="12"/>
  <c r="N254" i="12"/>
  <c r="L254" i="12"/>
  <c r="H254" i="12"/>
  <c r="H253" i="12" s="1"/>
  <c r="D254" i="12"/>
  <c r="B254" i="12"/>
  <c r="Z251" i="12"/>
  <c r="X251" i="12"/>
  <c r="L251" i="12"/>
  <c r="N251" i="12" s="1"/>
  <c r="B251" i="12"/>
  <c r="T250" i="12"/>
  <c r="P250" i="12"/>
  <c r="X250" i="12" s="1"/>
  <c r="H250" i="12"/>
  <c r="D250" i="12"/>
  <c r="L250" i="12" s="1"/>
  <c r="B250" i="12"/>
  <c r="X249" i="12"/>
  <c r="Z249" i="12" s="1"/>
  <c r="N249" i="12"/>
  <c r="L249" i="12"/>
  <c r="B249" i="12"/>
  <c r="X248" i="12"/>
  <c r="Z248" i="12" s="1"/>
  <c r="L248" i="12"/>
  <c r="N248" i="12" s="1"/>
  <c r="B248" i="12"/>
  <c r="X247" i="12"/>
  <c r="Z247" i="12" s="1"/>
  <c r="N247" i="12"/>
  <c r="L247" i="12"/>
  <c r="B247" i="12"/>
  <c r="X246" i="12"/>
  <c r="Z246" i="12" s="1"/>
  <c r="T246" i="12"/>
  <c r="P246" i="12"/>
  <c r="L246" i="12"/>
  <c r="H246" i="12"/>
  <c r="N246" i="12" s="1"/>
  <c r="D246" i="12"/>
  <c r="B246" i="12"/>
  <c r="Z245" i="12"/>
  <c r="X245" i="12"/>
  <c r="N245" i="12"/>
  <c r="L245" i="12"/>
  <c r="B245" i="12"/>
  <c r="T244" i="12"/>
  <c r="P244" i="12"/>
  <c r="N244" i="12"/>
  <c r="L244" i="12"/>
  <c r="H244" i="12"/>
  <c r="D244" i="12"/>
  <c r="B244" i="12"/>
  <c r="Z243" i="12"/>
  <c r="X243" i="12"/>
  <c r="L243" i="12"/>
  <c r="N243" i="12" s="1"/>
  <c r="B243" i="12"/>
  <c r="X242" i="12"/>
  <c r="Z242" i="12" s="1"/>
  <c r="N242" i="12"/>
  <c r="L242" i="12"/>
  <c r="B242" i="12"/>
  <c r="T241" i="12"/>
  <c r="P241" i="12"/>
  <c r="X241" i="12" s="1"/>
  <c r="Z241" i="12" s="1"/>
  <c r="H241" i="12"/>
  <c r="D241" i="12"/>
  <c r="L241" i="12" s="1"/>
  <c r="N241" i="12" s="1"/>
  <c r="B241" i="12"/>
  <c r="X240" i="12"/>
  <c r="Z240" i="12" s="1"/>
  <c r="N240" i="12"/>
  <c r="L240" i="12"/>
  <c r="B240" i="12"/>
  <c r="X239" i="12"/>
  <c r="Z239" i="12" s="1"/>
  <c r="N239" i="12"/>
  <c r="L239" i="12"/>
  <c r="B239" i="12"/>
  <c r="X238" i="12"/>
  <c r="Z238" i="12" s="1"/>
  <c r="N238" i="12"/>
  <c r="L238" i="12"/>
  <c r="B238" i="12"/>
  <c r="X237" i="12"/>
  <c r="Z237" i="12" s="1"/>
  <c r="N237" i="12"/>
  <c r="L237" i="12"/>
  <c r="B237" i="12"/>
  <c r="X236" i="12"/>
  <c r="Z236" i="12" s="1"/>
  <c r="L236" i="12"/>
  <c r="N236" i="12" s="1"/>
  <c r="B236" i="12"/>
  <c r="X235" i="12"/>
  <c r="Z235" i="12" s="1"/>
  <c r="N235" i="12"/>
  <c r="L235" i="12"/>
  <c r="B235" i="12"/>
  <c r="X234" i="12"/>
  <c r="Z234" i="12" s="1"/>
  <c r="N234" i="12"/>
  <c r="L234" i="12"/>
  <c r="B234" i="12"/>
  <c r="T233" i="12"/>
  <c r="P233" i="12"/>
  <c r="L233" i="12"/>
  <c r="N233" i="12" s="1"/>
  <c r="H233" i="12"/>
  <c r="D233" i="12"/>
  <c r="B233" i="12"/>
  <c r="X232" i="12"/>
  <c r="Z232" i="12" s="1"/>
  <c r="L232" i="12"/>
  <c r="N232" i="12" s="1"/>
  <c r="B232" i="12"/>
  <c r="Z231" i="12"/>
  <c r="X231" i="12"/>
  <c r="N231" i="12"/>
  <c r="L231" i="12"/>
  <c r="B231" i="12"/>
  <c r="Z230" i="12"/>
  <c r="X230" i="12"/>
  <c r="T230" i="12"/>
  <c r="P230" i="12"/>
  <c r="H230" i="12"/>
  <c r="D230" i="12"/>
  <c r="B230" i="12"/>
  <c r="Z229" i="12"/>
  <c r="X229" i="12"/>
  <c r="L229" i="12"/>
  <c r="N229" i="12" s="1"/>
  <c r="B229" i="12"/>
  <c r="X228" i="12"/>
  <c r="Z228" i="12" s="1"/>
  <c r="L228" i="12"/>
  <c r="N228" i="12" s="1"/>
  <c r="B228" i="12"/>
  <c r="Z227" i="12"/>
  <c r="X227" i="12"/>
  <c r="L227" i="12"/>
  <c r="N227" i="12" s="1"/>
  <c r="B227" i="12"/>
  <c r="X226" i="12"/>
  <c r="Z226" i="12" s="1"/>
  <c r="L226" i="12"/>
  <c r="N226" i="12" s="1"/>
  <c r="B226" i="12"/>
  <c r="Z225" i="12"/>
  <c r="X225" i="12"/>
  <c r="L225" i="12"/>
  <c r="N225" i="12" s="1"/>
  <c r="B225" i="12"/>
  <c r="T224" i="12"/>
  <c r="Z224" i="12" s="1"/>
  <c r="P224" i="12"/>
  <c r="X224" i="12" s="1"/>
  <c r="H224" i="12"/>
  <c r="D224" i="12"/>
  <c r="L224" i="12" s="1"/>
  <c r="B224" i="12"/>
  <c r="X223" i="12"/>
  <c r="Z223" i="12" s="1"/>
  <c r="N223" i="12"/>
  <c r="L223" i="12"/>
  <c r="B223" i="12"/>
  <c r="X222" i="12"/>
  <c r="Z222" i="12" s="1"/>
  <c r="N222" i="12"/>
  <c r="L222" i="12"/>
  <c r="B222" i="12"/>
  <c r="X221" i="12"/>
  <c r="Z221" i="12" s="1"/>
  <c r="N221" i="12"/>
  <c r="L221" i="12"/>
  <c r="B221" i="12"/>
  <c r="X220" i="12"/>
  <c r="T220" i="12"/>
  <c r="Z220" i="12" s="1"/>
  <c r="P220" i="12"/>
  <c r="L220" i="12"/>
  <c r="N220" i="12" s="1"/>
  <c r="H220" i="12"/>
  <c r="D220" i="12"/>
  <c r="B220" i="12"/>
  <c r="Z219" i="12"/>
  <c r="X219" i="12"/>
  <c r="N219" i="12"/>
  <c r="L219" i="12"/>
  <c r="B219" i="12"/>
  <c r="Z218" i="12"/>
  <c r="X218" i="12"/>
  <c r="L218" i="12"/>
  <c r="N218" i="12" s="1"/>
  <c r="B218" i="12"/>
  <c r="Z217" i="12"/>
  <c r="X217" i="12"/>
  <c r="N217" i="12"/>
  <c r="L217" i="12"/>
  <c r="B217" i="12"/>
  <c r="T216" i="12"/>
  <c r="P216" i="12"/>
  <c r="N216" i="12"/>
  <c r="L216" i="12"/>
  <c r="H216" i="12"/>
  <c r="D216" i="12"/>
  <c r="B216" i="12"/>
  <c r="Z215" i="12"/>
  <c r="X215" i="12"/>
  <c r="L215" i="12"/>
  <c r="N215" i="12" s="1"/>
  <c r="B215" i="12"/>
  <c r="T214" i="12"/>
  <c r="Z214" i="12" s="1"/>
  <c r="P214" i="12"/>
  <c r="X214" i="12" s="1"/>
  <c r="H214" i="12"/>
  <c r="N214" i="12" s="1"/>
  <c r="D214" i="12"/>
  <c r="L214" i="12" s="1"/>
  <c r="B214" i="12"/>
  <c r="X213" i="12"/>
  <c r="Z213" i="12" s="1"/>
  <c r="N213" i="12"/>
  <c r="L213" i="12"/>
  <c r="B213" i="12"/>
  <c r="X212" i="12"/>
  <c r="T212" i="12"/>
  <c r="Z212" i="12" s="1"/>
  <c r="P212" i="12"/>
  <c r="N212" i="12"/>
  <c r="L212" i="12"/>
  <c r="H212" i="12"/>
  <c r="D212" i="12"/>
  <c r="B212" i="12"/>
  <c r="Z211" i="12"/>
  <c r="X211" i="12"/>
  <c r="N211" i="12"/>
  <c r="L211" i="12"/>
  <c r="B211" i="12"/>
  <c r="Z210" i="12"/>
  <c r="X210" i="12"/>
  <c r="T210" i="12"/>
  <c r="P210" i="12"/>
  <c r="H210" i="12"/>
  <c r="D210" i="12"/>
  <c r="B210" i="12"/>
  <c r="Z209" i="12"/>
  <c r="X209" i="12"/>
  <c r="L209" i="12"/>
  <c r="N209" i="12" s="1"/>
  <c r="B209" i="12"/>
  <c r="T208" i="12"/>
  <c r="P208" i="12"/>
  <c r="X208" i="12" s="1"/>
  <c r="H208" i="12"/>
  <c r="N208" i="12" s="1"/>
  <c r="D208" i="12"/>
  <c r="L208" i="12" s="1"/>
  <c r="B208" i="12"/>
  <c r="X207" i="12"/>
  <c r="Z207" i="12" s="1"/>
  <c r="N207" i="12"/>
  <c r="L207" i="12"/>
  <c r="B207" i="12"/>
  <c r="X206" i="12"/>
  <c r="Z206" i="12" s="1"/>
  <c r="T206" i="12"/>
  <c r="P206" i="12"/>
  <c r="L206" i="12"/>
  <c r="H206" i="12"/>
  <c r="N206" i="12" s="1"/>
  <c r="D206" i="12"/>
  <c r="B206" i="12"/>
  <c r="Z205" i="12"/>
  <c r="X205" i="12"/>
  <c r="N205" i="12"/>
  <c r="L205" i="12"/>
  <c r="B205" i="12"/>
  <c r="T204" i="12"/>
  <c r="P204" i="12"/>
  <c r="N204" i="12"/>
  <c r="L204" i="12"/>
  <c r="H204" i="12"/>
  <c r="D204" i="12"/>
  <c r="B204" i="12"/>
  <c r="Z203" i="12"/>
  <c r="X203" i="12"/>
  <c r="L203" i="12"/>
  <c r="N203" i="12" s="1"/>
  <c r="B203" i="12"/>
  <c r="X202" i="12"/>
  <c r="Z202" i="12" s="1"/>
  <c r="L202" i="12"/>
  <c r="N202" i="12" s="1"/>
  <c r="B202" i="12"/>
  <c r="T201" i="12"/>
  <c r="P201" i="12"/>
  <c r="X201" i="12" s="1"/>
  <c r="Z201" i="12" s="1"/>
  <c r="H201" i="12"/>
  <c r="D201" i="12"/>
  <c r="L201" i="12" s="1"/>
  <c r="N201" i="12" s="1"/>
  <c r="B201" i="12"/>
  <c r="X200" i="12"/>
  <c r="Z200" i="12" s="1"/>
  <c r="L200" i="12"/>
  <c r="N200" i="12" s="1"/>
  <c r="B200" i="12"/>
  <c r="X199" i="12"/>
  <c r="Z199" i="12" s="1"/>
  <c r="T199" i="12"/>
  <c r="P199" i="12"/>
  <c r="H199" i="12"/>
  <c r="D199" i="12"/>
  <c r="B199" i="12"/>
  <c r="Z198" i="12"/>
  <c r="X198" i="12"/>
  <c r="L198" i="12"/>
  <c r="N198" i="12" s="1"/>
  <c r="B198" i="12"/>
  <c r="T197" i="12"/>
  <c r="X197" i="12" s="1"/>
  <c r="P197" i="12"/>
  <c r="H197" i="12"/>
  <c r="D197" i="12"/>
  <c r="L197" i="12" s="1"/>
  <c r="N197" i="12" s="1"/>
  <c r="B197" i="12"/>
  <c r="X196" i="12"/>
  <c r="Z196" i="12" s="1"/>
  <c r="L196" i="12"/>
  <c r="N196" i="12" s="1"/>
  <c r="B196" i="12"/>
  <c r="T195" i="12"/>
  <c r="P195" i="12"/>
  <c r="X195" i="12" s="1"/>
  <c r="Z195" i="12" s="1"/>
  <c r="H195" i="12"/>
  <c r="D195" i="12"/>
  <c r="L195" i="12" s="1"/>
  <c r="N195" i="12" s="1"/>
  <c r="B195" i="12"/>
  <c r="X194" i="12"/>
  <c r="Z194" i="12" s="1"/>
  <c r="N194" i="12"/>
  <c r="L194" i="12"/>
  <c r="B194" i="12"/>
  <c r="X193" i="12"/>
  <c r="Z193" i="12" s="1"/>
  <c r="N193" i="12"/>
  <c r="L193" i="12"/>
  <c r="B193" i="12"/>
  <c r="X192" i="12"/>
  <c r="T192" i="12"/>
  <c r="Z192" i="12" s="1"/>
  <c r="P192" i="12"/>
  <c r="L192" i="12"/>
  <c r="N192" i="12" s="1"/>
  <c r="H192" i="12"/>
  <c r="D192" i="12"/>
  <c r="B192" i="12"/>
  <c r="Z191" i="12"/>
  <c r="X191" i="12"/>
  <c r="N191" i="12"/>
  <c r="L191" i="12"/>
  <c r="B191" i="12"/>
  <c r="Z190" i="12"/>
  <c r="X190" i="12"/>
  <c r="L190" i="12"/>
  <c r="N190" i="12" s="1"/>
  <c r="B190" i="12"/>
  <c r="T189" i="12"/>
  <c r="P189" i="12"/>
  <c r="X189" i="12" s="1"/>
  <c r="H189" i="12"/>
  <c r="D189" i="12"/>
  <c r="L189" i="12" s="1"/>
  <c r="N189" i="12" s="1"/>
  <c r="B189" i="12"/>
  <c r="X188" i="12"/>
  <c r="Z188" i="12" s="1"/>
  <c r="L188" i="12"/>
  <c r="N188" i="12" s="1"/>
  <c r="B188" i="12"/>
  <c r="T187" i="12"/>
  <c r="P187" i="12"/>
  <c r="X187" i="12" s="1"/>
  <c r="Z187" i="12" s="1"/>
  <c r="H187" i="12"/>
  <c r="D187" i="12"/>
  <c r="L187" i="12" s="1"/>
  <c r="N187" i="12" s="1"/>
  <c r="B187" i="12"/>
  <c r="Z186" i="12"/>
  <c r="X186" i="12"/>
  <c r="N186" i="12"/>
  <c r="L186" i="12"/>
  <c r="B186" i="12"/>
  <c r="X185" i="12"/>
  <c r="Z185" i="12" s="1"/>
  <c r="N185" i="12"/>
  <c r="L185" i="12"/>
  <c r="B185" i="12"/>
  <c r="X184" i="12"/>
  <c r="T184" i="12"/>
  <c r="Z184" i="12" s="1"/>
  <c r="P184" i="12"/>
  <c r="L184" i="12"/>
  <c r="N184" i="12" s="1"/>
  <c r="H184" i="12"/>
  <c r="D184" i="12"/>
  <c r="B184" i="12"/>
  <c r="Z183" i="12"/>
  <c r="X183" i="12"/>
  <c r="N183" i="12"/>
  <c r="L183" i="12"/>
  <c r="B183" i="12"/>
  <c r="Z182" i="12"/>
  <c r="X182" i="12"/>
  <c r="T182" i="12"/>
  <c r="P182" i="12"/>
  <c r="H182" i="12"/>
  <c r="D182" i="12"/>
  <c r="B182" i="12"/>
  <c r="Z181" i="12"/>
  <c r="X181" i="12"/>
  <c r="L181" i="12"/>
  <c r="N181" i="12" s="1"/>
  <c r="B181" i="12"/>
  <c r="X180" i="12"/>
  <c r="Z180" i="12" s="1"/>
  <c r="L180" i="12"/>
  <c r="N180" i="12" s="1"/>
  <c r="B180" i="12"/>
  <c r="Z179" i="12"/>
  <c r="X179" i="12"/>
  <c r="L179" i="12"/>
  <c r="N179" i="12" s="1"/>
  <c r="B179" i="12"/>
  <c r="X178" i="12"/>
  <c r="Z178" i="12" s="1"/>
  <c r="L178" i="12"/>
  <c r="N178" i="12" s="1"/>
  <c r="B178" i="12"/>
  <c r="Z177" i="12"/>
  <c r="X177" i="12"/>
  <c r="L177" i="12"/>
  <c r="N177" i="12" s="1"/>
  <c r="B177" i="12"/>
  <c r="X176" i="12"/>
  <c r="Z176" i="12" s="1"/>
  <c r="L176" i="12"/>
  <c r="N176" i="12" s="1"/>
  <c r="B176" i="12"/>
  <c r="Z175" i="12"/>
  <c r="X175" i="12"/>
  <c r="L175" i="12"/>
  <c r="N175" i="12" s="1"/>
  <c r="B175" i="12"/>
  <c r="T174" i="12"/>
  <c r="Z174" i="12" s="1"/>
  <c r="P174" i="12"/>
  <c r="X174" i="12" s="1"/>
  <c r="H174" i="12"/>
  <c r="D174" i="12"/>
  <c r="L174" i="12" s="1"/>
  <c r="B174" i="12"/>
  <c r="X173" i="12"/>
  <c r="Z173" i="12" s="1"/>
  <c r="N173" i="12"/>
  <c r="L173" i="12"/>
  <c r="B173" i="12"/>
  <c r="X172" i="12"/>
  <c r="Z172" i="12" s="1"/>
  <c r="L172" i="12"/>
  <c r="N172" i="12" s="1"/>
  <c r="B172" i="12"/>
  <c r="X171" i="12"/>
  <c r="Z171" i="12" s="1"/>
  <c r="N171" i="12"/>
  <c r="L171" i="12"/>
  <c r="B171" i="12"/>
  <c r="X170" i="12"/>
  <c r="Z170" i="12" s="1"/>
  <c r="L170" i="12"/>
  <c r="N170" i="12" s="1"/>
  <c r="B170" i="12"/>
  <c r="X169" i="12"/>
  <c r="Z169" i="12" s="1"/>
  <c r="N169" i="12"/>
  <c r="L169" i="12"/>
  <c r="B169" i="12"/>
  <c r="X168" i="12"/>
  <c r="Z168" i="12" s="1"/>
  <c r="L168" i="12"/>
  <c r="N168" i="12" s="1"/>
  <c r="B168" i="12"/>
  <c r="X167" i="12"/>
  <c r="Z167" i="12" s="1"/>
  <c r="N167" i="12"/>
  <c r="L167" i="12"/>
  <c r="B167" i="12"/>
  <c r="X166" i="12"/>
  <c r="Z166" i="12" s="1"/>
  <c r="L166" i="12"/>
  <c r="N166" i="12" s="1"/>
  <c r="B166" i="12"/>
  <c r="X165" i="12"/>
  <c r="Z165" i="12" s="1"/>
  <c r="N165" i="12"/>
  <c r="L165" i="12"/>
  <c r="B165" i="12"/>
  <c r="X164" i="12"/>
  <c r="T164" i="12"/>
  <c r="Z164" i="12" s="1"/>
  <c r="P164" i="12"/>
  <c r="H164" i="12"/>
  <c r="D164" i="12"/>
  <c r="L164" i="12" s="1"/>
  <c r="N164" i="12" s="1"/>
  <c r="B164" i="12"/>
  <c r="T163" i="12"/>
  <c r="P163" i="12"/>
  <c r="X163" i="12" s="1"/>
  <c r="H163" i="12"/>
  <c r="D163" i="12"/>
  <c r="Z159" i="12"/>
  <c r="X159" i="12"/>
  <c r="N159" i="12"/>
  <c r="L159" i="12"/>
  <c r="B159" i="12"/>
  <c r="Z158" i="12"/>
  <c r="X158" i="12"/>
  <c r="L158" i="12"/>
  <c r="N158" i="12" s="1"/>
  <c r="B158" i="12"/>
  <c r="Z157" i="12"/>
  <c r="X157" i="12"/>
  <c r="N157" i="12"/>
  <c r="L157" i="12"/>
  <c r="B157" i="12"/>
  <c r="Z156" i="12"/>
  <c r="X156" i="12"/>
  <c r="N156" i="12"/>
  <c r="L156" i="12"/>
  <c r="B156" i="12"/>
  <c r="Z155" i="12"/>
  <c r="X155" i="12"/>
  <c r="L155" i="12"/>
  <c r="N155" i="12" s="1"/>
  <c r="B155" i="12"/>
  <c r="Z154" i="12"/>
  <c r="X154" i="12"/>
  <c r="L154" i="12"/>
  <c r="N154" i="12" s="1"/>
  <c r="B154" i="12"/>
  <c r="Z153" i="12"/>
  <c r="X153" i="12"/>
  <c r="N153" i="12"/>
  <c r="L153" i="12"/>
  <c r="B153" i="12"/>
  <c r="Z152" i="12"/>
  <c r="X152" i="12"/>
  <c r="L152" i="12"/>
  <c r="N152" i="12" s="1"/>
  <c r="B152" i="12"/>
  <c r="Z151" i="12"/>
  <c r="X151" i="12"/>
  <c r="L151" i="12"/>
  <c r="N151" i="12" s="1"/>
  <c r="B151" i="12"/>
  <c r="X150" i="12"/>
  <c r="Z150" i="12" s="1"/>
  <c r="L150" i="12"/>
  <c r="N150" i="12" s="1"/>
  <c r="B150" i="12"/>
  <c r="Z149" i="12"/>
  <c r="X149" i="12"/>
  <c r="N149" i="12"/>
  <c r="L149" i="12"/>
  <c r="B149" i="12"/>
  <c r="Z148" i="12"/>
  <c r="X148" i="12"/>
  <c r="N148" i="12"/>
  <c r="L148" i="12"/>
  <c r="B148" i="12"/>
  <c r="Z147" i="12"/>
  <c r="X147" i="12"/>
  <c r="N147" i="12"/>
  <c r="L147" i="12"/>
  <c r="B147" i="12"/>
  <c r="Z146" i="12"/>
  <c r="X146" i="12"/>
  <c r="L146" i="12"/>
  <c r="N146" i="12" s="1"/>
  <c r="B146" i="12"/>
  <c r="Z145" i="12"/>
  <c r="X145" i="12"/>
  <c r="N145" i="12"/>
  <c r="L145" i="12"/>
  <c r="B145" i="12"/>
  <c r="Z144" i="12"/>
  <c r="X144" i="12"/>
  <c r="L144" i="12"/>
  <c r="N144" i="12" s="1"/>
  <c r="B144" i="12"/>
  <c r="Z143" i="12"/>
  <c r="X143" i="12"/>
  <c r="L143" i="12"/>
  <c r="N143" i="12" s="1"/>
  <c r="B143" i="12"/>
  <c r="Z142" i="12"/>
  <c r="X142" i="12"/>
  <c r="L142" i="12"/>
  <c r="N142" i="12" s="1"/>
  <c r="B142" i="12"/>
  <c r="Z141" i="12"/>
  <c r="X141" i="12"/>
  <c r="N141" i="12"/>
  <c r="L141" i="12"/>
  <c r="B141" i="12"/>
  <c r="Z140" i="12"/>
  <c r="X140" i="12"/>
  <c r="L140" i="12"/>
  <c r="N140" i="12" s="1"/>
  <c r="B140" i="12"/>
  <c r="Z139" i="12"/>
  <c r="X139" i="12"/>
  <c r="L139" i="12"/>
  <c r="N139" i="12" s="1"/>
  <c r="B139" i="12"/>
  <c r="X138" i="12"/>
  <c r="Z138" i="12" s="1"/>
  <c r="L138" i="12"/>
  <c r="N138" i="12" s="1"/>
  <c r="B138" i="12"/>
  <c r="Z137" i="12"/>
  <c r="X137" i="12"/>
  <c r="L137" i="12"/>
  <c r="N137" i="12" s="1"/>
  <c r="B137" i="12"/>
  <c r="Z136" i="12"/>
  <c r="X136" i="12"/>
  <c r="L136" i="12"/>
  <c r="N136" i="12" s="1"/>
  <c r="B136" i="12"/>
  <c r="Z135" i="12"/>
  <c r="X135" i="12"/>
  <c r="L135" i="12"/>
  <c r="N135" i="12" s="1"/>
  <c r="B135" i="12"/>
  <c r="X134" i="12"/>
  <c r="Z134" i="12" s="1"/>
  <c r="L134" i="12"/>
  <c r="N134" i="12" s="1"/>
  <c r="B134" i="12"/>
  <c r="Z133" i="12"/>
  <c r="X133" i="12"/>
  <c r="N133" i="12"/>
  <c r="L133" i="12"/>
  <c r="B133" i="12"/>
  <c r="Z132" i="12"/>
  <c r="X132" i="12"/>
  <c r="L132" i="12"/>
  <c r="N132" i="12" s="1"/>
  <c r="B132" i="12"/>
  <c r="Z131" i="12"/>
  <c r="X131" i="12"/>
  <c r="N131" i="12"/>
  <c r="L131" i="12"/>
  <c r="B131" i="12"/>
  <c r="Z130" i="12"/>
  <c r="X130" i="12"/>
  <c r="L130" i="12"/>
  <c r="N130" i="12" s="1"/>
  <c r="B130" i="12"/>
  <c r="Z129" i="12"/>
  <c r="X129" i="12"/>
  <c r="L129" i="12"/>
  <c r="N129" i="12" s="1"/>
  <c r="B129" i="12"/>
  <c r="X128" i="12"/>
  <c r="Z128" i="12" s="1"/>
  <c r="L128" i="12"/>
  <c r="N128" i="12" s="1"/>
  <c r="B128" i="12"/>
  <c r="Z127" i="12"/>
  <c r="X127" i="12"/>
  <c r="N127" i="12"/>
  <c r="L127" i="12"/>
  <c r="B127" i="12"/>
  <c r="Z126" i="12"/>
  <c r="X126" i="12"/>
  <c r="L126" i="12"/>
  <c r="N126" i="12" s="1"/>
  <c r="B126" i="12"/>
  <c r="Z125" i="12"/>
  <c r="X125" i="12"/>
  <c r="N125" i="12"/>
  <c r="L125" i="12"/>
  <c r="B125" i="12"/>
  <c r="Z124" i="12"/>
  <c r="X124" i="12"/>
  <c r="L124" i="12"/>
  <c r="N124" i="12" s="1"/>
  <c r="B124" i="12"/>
  <c r="Z123" i="12"/>
  <c r="X123" i="12"/>
  <c r="N123" i="12"/>
  <c r="L123" i="12"/>
  <c r="B123" i="12"/>
  <c r="Z122" i="12"/>
  <c r="X122" i="12"/>
  <c r="L122" i="12"/>
  <c r="N122" i="12" s="1"/>
  <c r="B122" i="12"/>
  <c r="Z121" i="12"/>
  <c r="X121" i="12"/>
  <c r="N121" i="12"/>
  <c r="L121" i="12"/>
  <c r="B121" i="12"/>
  <c r="X120" i="12"/>
  <c r="Z120" i="12" s="1"/>
  <c r="L120" i="12"/>
  <c r="N120" i="12" s="1"/>
  <c r="B120" i="12"/>
  <c r="Z119" i="12"/>
  <c r="X119" i="12"/>
  <c r="N119" i="12"/>
  <c r="L119" i="12"/>
  <c r="B119" i="12"/>
  <c r="Z118" i="12"/>
  <c r="X118" i="12"/>
  <c r="N118" i="12"/>
  <c r="L118" i="12"/>
  <c r="B118" i="12"/>
  <c r="Z117" i="12"/>
  <c r="X117" i="12"/>
  <c r="N117" i="12"/>
  <c r="L117" i="12"/>
  <c r="B117" i="12"/>
  <c r="X116" i="12"/>
  <c r="Z116" i="12" s="1"/>
  <c r="L116" i="12"/>
  <c r="N116" i="12" s="1"/>
  <c r="B116" i="12"/>
  <c r="Z115" i="12"/>
  <c r="X115" i="12"/>
  <c r="N115" i="12"/>
  <c r="L115" i="12"/>
  <c r="B115" i="12"/>
  <c r="X114" i="12"/>
  <c r="Z114" i="12" s="1"/>
  <c r="L114" i="12"/>
  <c r="N114" i="12" s="1"/>
  <c r="B114" i="12"/>
  <c r="Z113" i="12"/>
  <c r="X113" i="12"/>
  <c r="N113" i="12"/>
  <c r="L113" i="12"/>
  <c r="B113" i="12"/>
  <c r="X112" i="12"/>
  <c r="Z112" i="12" s="1"/>
  <c r="L112" i="12"/>
  <c r="N112" i="12" s="1"/>
  <c r="B112" i="12"/>
  <c r="Z111" i="12"/>
  <c r="X111" i="12"/>
  <c r="L111" i="12"/>
  <c r="N111" i="12" s="1"/>
  <c r="B111" i="12"/>
  <c r="Z110" i="12"/>
  <c r="X110" i="12"/>
  <c r="L110" i="12"/>
  <c r="N110" i="12" s="1"/>
  <c r="B110" i="12"/>
  <c r="Z109" i="12"/>
  <c r="X109" i="12"/>
  <c r="L109" i="12"/>
  <c r="N109" i="12" s="1"/>
  <c r="B109" i="12"/>
  <c r="X108" i="12"/>
  <c r="Z108" i="12" s="1"/>
  <c r="T108" i="12"/>
  <c r="P108" i="12"/>
  <c r="L108" i="12"/>
  <c r="N108" i="12" s="1"/>
  <c r="H108" i="12"/>
  <c r="D108" i="12"/>
  <c r="T106" i="12"/>
  <c r="Z106" i="12" s="1"/>
  <c r="P106" i="12"/>
  <c r="X106" i="12" s="1"/>
  <c r="H106" i="12"/>
  <c r="N106" i="12" s="1"/>
  <c r="D106" i="12"/>
  <c r="L106" i="12" s="1"/>
  <c r="B106" i="12"/>
  <c r="T105" i="12"/>
  <c r="Z105" i="12" s="1"/>
  <c r="P105" i="12"/>
  <c r="L105" i="12"/>
  <c r="H105" i="12"/>
  <c r="N105" i="12" s="1"/>
  <c r="D105" i="12"/>
  <c r="B105" i="12"/>
  <c r="T104" i="12"/>
  <c r="P104" i="12"/>
  <c r="X104" i="12" s="1"/>
  <c r="Z104" i="12" s="1"/>
  <c r="H104" i="12"/>
  <c r="D104" i="12"/>
  <c r="B104" i="12"/>
  <c r="Z103" i="12"/>
  <c r="T103" i="12"/>
  <c r="P103" i="12"/>
  <c r="X103" i="12" s="1"/>
  <c r="N103" i="12"/>
  <c r="L103" i="12"/>
  <c r="H103" i="12"/>
  <c r="D103" i="12"/>
  <c r="B103" i="12"/>
  <c r="Z102" i="12"/>
  <c r="X102" i="12"/>
  <c r="T102" i="12"/>
  <c r="P102" i="12"/>
  <c r="H102" i="12"/>
  <c r="N102" i="12" s="1"/>
  <c r="D102" i="12"/>
  <c r="B102" i="12"/>
  <c r="T101" i="12"/>
  <c r="P101" i="12"/>
  <c r="H101" i="12"/>
  <c r="D101" i="12"/>
  <c r="B101" i="12"/>
  <c r="X100" i="12"/>
  <c r="T100" i="12"/>
  <c r="Z100" i="12" s="1"/>
  <c r="P100" i="12"/>
  <c r="H100" i="12"/>
  <c r="D100" i="12"/>
  <c r="B100" i="12"/>
  <c r="T99" i="12"/>
  <c r="P99" i="12"/>
  <c r="X99" i="12" s="1"/>
  <c r="Z99" i="12" s="1"/>
  <c r="H99" i="12"/>
  <c r="N99" i="12" s="1"/>
  <c r="D99" i="12"/>
  <c r="B99" i="12"/>
  <c r="X98" i="12"/>
  <c r="Z98" i="12" s="1"/>
  <c r="T98" i="12"/>
  <c r="P98" i="12"/>
  <c r="H98" i="12"/>
  <c r="N98" i="12" s="1"/>
  <c r="D98" i="12"/>
  <c r="L98" i="12" s="1"/>
  <c r="B98" i="12"/>
  <c r="T97" i="12"/>
  <c r="P97" i="12"/>
  <c r="X97" i="12" s="1"/>
  <c r="Z97" i="12" s="1"/>
  <c r="H97" i="12"/>
  <c r="D97" i="12"/>
  <c r="B97" i="12"/>
  <c r="T96" i="12"/>
  <c r="P96" i="12"/>
  <c r="X96" i="12" s="1"/>
  <c r="H96" i="12"/>
  <c r="D96" i="12"/>
  <c r="L96" i="12" s="1"/>
  <c r="B96" i="12"/>
  <c r="T95" i="12"/>
  <c r="P95" i="12"/>
  <c r="X95" i="12" s="1"/>
  <c r="Z95" i="12" s="1"/>
  <c r="L95" i="12"/>
  <c r="H95" i="12"/>
  <c r="N95" i="12" s="1"/>
  <c r="D95" i="12"/>
  <c r="B95" i="12"/>
  <c r="T94" i="12"/>
  <c r="P94" i="12"/>
  <c r="X94" i="12" s="1"/>
  <c r="H94" i="12"/>
  <c r="N94" i="12" s="1"/>
  <c r="D94" i="12"/>
  <c r="L94" i="12" s="1"/>
  <c r="B94" i="12"/>
  <c r="T93" i="12"/>
  <c r="Z93" i="12" s="1"/>
  <c r="P93" i="12"/>
  <c r="N93" i="12"/>
  <c r="L93" i="12"/>
  <c r="H93" i="12"/>
  <c r="D93" i="12"/>
  <c r="B93" i="12"/>
  <c r="T92" i="12"/>
  <c r="Z92" i="12" s="1"/>
  <c r="P92" i="12"/>
  <c r="X92" i="12" s="1"/>
  <c r="H92" i="12"/>
  <c r="N92" i="12" s="1"/>
  <c r="D92" i="12"/>
  <c r="L92" i="12" s="1"/>
  <c r="B92" i="12"/>
  <c r="T91" i="12"/>
  <c r="P91" i="12"/>
  <c r="H91" i="12"/>
  <c r="L91" i="12" s="1"/>
  <c r="N91" i="12" s="1"/>
  <c r="D91" i="12"/>
  <c r="B91" i="12"/>
  <c r="T90" i="12"/>
  <c r="Z90" i="12" s="1"/>
  <c r="P90" i="12"/>
  <c r="X90" i="12" s="1"/>
  <c r="L90" i="12"/>
  <c r="H90" i="12"/>
  <c r="N90" i="12" s="1"/>
  <c r="D90" i="12"/>
  <c r="B90" i="12"/>
  <c r="T89" i="12"/>
  <c r="Z89" i="12" s="1"/>
  <c r="P89" i="12"/>
  <c r="X89" i="12" s="1"/>
  <c r="H89" i="12"/>
  <c r="L89" i="12" s="1"/>
  <c r="N89" i="12" s="1"/>
  <c r="D89" i="12"/>
  <c r="B89" i="12"/>
  <c r="T88" i="12"/>
  <c r="P88" i="12"/>
  <c r="X88" i="12" s="1"/>
  <c r="Z88" i="12" s="1"/>
  <c r="H88" i="12"/>
  <c r="D88" i="12"/>
  <c r="L88" i="12" s="1"/>
  <c r="B88" i="12"/>
  <c r="T87" i="12"/>
  <c r="P87" i="12"/>
  <c r="L87" i="12"/>
  <c r="N87" i="12" s="1"/>
  <c r="H87" i="12"/>
  <c r="D87" i="12"/>
  <c r="B87" i="12"/>
  <c r="T86" i="12"/>
  <c r="P86" i="12"/>
  <c r="H86" i="12"/>
  <c r="D86" i="12"/>
  <c r="L86" i="12" s="1"/>
  <c r="B86" i="12"/>
  <c r="T85" i="12"/>
  <c r="P85" i="12"/>
  <c r="H85" i="12"/>
  <c r="L85" i="12" s="1"/>
  <c r="N85" i="12" s="1"/>
  <c r="D85" i="12"/>
  <c r="B85" i="12"/>
  <c r="T84" i="12"/>
  <c r="Z84" i="12" s="1"/>
  <c r="P84" i="12"/>
  <c r="X84" i="12" s="1"/>
  <c r="L84" i="12"/>
  <c r="H84" i="12"/>
  <c r="D84" i="12"/>
  <c r="B84" i="12"/>
  <c r="T83" i="12"/>
  <c r="P83" i="12"/>
  <c r="X83" i="12" s="1"/>
  <c r="H83" i="12"/>
  <c r="L83" i="12" s="1"/>
  <c r="N83" i="12" s="1"/>
  <c r="D83" i="12"/>
  <c r="B83" i="12"/>
  <c r="T82" i="12"/>
  <c r="P82" i="12"/>
  <c r="X82" i="12" s="1"/>
  <c r="Z82" i="12" s="1"/>
  <c r="H82" i="12"/>
  <c r="D82" i="12"/>
  <c r="L82" i="12" s="1"/>
  <c r="B82" i="12"/>
  <c r="T81" i="12"/>
  <c r="P81" i="12"/>
  <c r="N81" i="12"/>
  <c r="L81" i="12"/>
  <c r="H81" i="12"/>
  <c r="D81" i="12"/>
  <c r="B81" i="12"/>
  <c r="T80" i="12"/>
  <c r="P80" i="12"/>
  <c r="H80" i="12"/>
  <c r="N80" i="12" s="1"/>
  <c r="D80" i="12"/>
  <c r="L80" i="12" s="1"/>
  <c r="B80" i="12"/>
  <c r="T79" i="12"/>
  <c r="P79" i="12"/>
  <c r="N79" i="12"/>
  <c r="H79" i="12"/>
  <c r="L79" i="12" s="1"/>
  <c r="D79" i="12"/>
  <c r="B79" i="12"/>
  <c r="T78" i="12"/>
  <c r="P78" i="12"/>
  <c r="X78" i="12" s="1"/>
  <c r="L78" i="12"/>
  <c r="H78" i="12"/>
  <c r="D78" i="12"/>
  <c r="B78" i="12"/>
  <c r="T77" i="12"/>
  <c r="P77" i="12"/>
  <c r="X77" i="12" s="1"/>
  <c r="N77" i="12"/>
  <c r="H77" i="12"/>
  <c r="L77" i="12" s="1"/>
  <c r="D77" i="12"/>
  <c r="B77" i="12"/>
  <c r="T76" i="12"/>
  <c r="P76" i="12"/>
  <c r="X76" i="12" s="1"/>
  <c r="Z76" i="12" s="1"/>
  <c r="H76" i="12"/>
  <c r="D76" i="12"/>
  <c r="L76" i="12" s="1"/>
  <c r="B76" i="12"/>
  <c r="T75" i="12"/>
  <c r="P75" i="12"/>
  <c r="L75" i="12"/>
  <c r="N75" i="12" s="1"/>
  <c r="H75" i="12"/>
  <c r="D75" i="12"/>
  <c r="B75" i="12"/>
  <c r="T74" i="12"/>
  <c r="P74" i="12"/>
  <c r="X74" i="12" s="1"/>
  <c r="H74" i="12"/>
  <c r="D74" i="12"/>
  <c r="L74" i="12" s="1"/>
  <c r="B74" i="12"/>
  <c r="T73" i="12"/>
  <c r="P73" i="12"/>
  <c r="H73" i="12"/>
  <c r="L73" i="12" s="1"/>
  <c r="N73" i="12" s="1"/>
  <c r="D73" i="12"/>
  <c r="B73" i="12"/>
  <c r="T72" i="12"/>
  <c r="P72" i="12"/>
  <c r="X72" i="12" s="1"/>
  <c r="L72" i="12"/>
  <c r="H72" i="12"/>
  <c r="D72" i="12"/>
  <c r="B72" i="12"/>
  <c r="T71" i="12"/>
  <c r="Z71" i="12" s="1"/>
  <c r="P71" i="12"/>
  <c r="X71" i="12" s="1"/>
  <c r="N71" i="12"/>
  <c r="H71" i="12"/>
  <c r="L71" i="12" s="1"/>
  <c r="D71" i="12"/>
  <c r="B71" i="12"/>
  <c r="T70" i="12"/>
  <c r="P70" i="12"/>
  <c r="X70" i="12" s="1"/>
  <c r="Z70" i="12" s="1"/>
  <c r="H70" i="12"/>
  <c r="D70" i="12"/>
  <c r="L70" i="12" s="1"/>
  <c r="B70" i="12"/>
  <c r="T69" i="12"/>
  <c r="P69" i="12"/>
  <c r="L69" i="12"/>
  <c r="N69" i="12" s="1"/>
  <c r="H69" i="12"/>
  <c r="D69" i="12"/>
  <c r="B69" i="12"/>
  <c r="T68" i="12"/>
  <c r="P68" i="12"/>
  <c r="H68" i="12"/>
  <c r="D68" i="12"/>
  <c r="L68" i="12" s="1"/>
  <c r="B68" i="12"/>
  <c r="T67" i="12"/>
  <c r="P67" i="12"/>
  <c r="N67" i="12"/>
  <c r="L67" i="12"/>
  <c r="H67" i="12"/>
  <c r="D67" i="12"/>
  <c r="B67" i="12"/>
  <c r="T66" i="12"/>
  <c r="Z66" i="12" s="1"/>
  <c r="P66" i="12"/>
  <c r="X66" i="12" s="1"/>
  <c r="L66" i="12"/>
  <c r="H66" i="12"/>
  <c r="D66" i="12"/>
  <c r="B66" i="12"/>
  <c r="T65" i="12"/>
  <c r="P65" i="12"/>
  <c r="X65" i="12" s="1"/>
  <c r="Z65" i="12" s="1"/>
  <c r="N65" i="12"/>
  <c r="H65" i="12"/>
  <c r="L65" i="12" s="1"/>
  <c r="D65" i="12"/>
  <c r="B65" i="12"/>
  <c r="T64" i="12"/>
  <c r="P64" i="12"/>
  <c r="X64" i="12" s="1"/>
  <c r="Z64" i="12" s="1"/>
  <c r="H64" i="12"/>
  <c r="D64" i="12"/>
  <c r="L64" i="12" s="1"/>
  <c r="B64" i="12"/>
  <c r="T63" i="12"/>
  <c r="P63" i="12"/>
  <c r="L63" i="12"/>
  <c r="N63" i="12" s="1"/>
  <c r="H63" i="12"/>
  <c r="D63" i="12"/>
  <c r="B63" i="12"/>
  <c r="T62" i="12"/>
  <c r="P62" i="12"/>
  <c r="X62" i="12" s="1"/>
  <c r="H62" i="12"/>
  <c r="N62" i="12" s="1"/>
  <c r="D62" i="12"/>
  <c r="L62" i="12" s="1"/>
  <c r="B62" i="12"/>
  <c r="T61" i="12"/>
  <c r="P61" i="12"/>
  <c r="N61" i="12"/>
  <c r="L61" i="12"/>
  <c r="H61" i="12"/>
  <c r="D61" i="12"/>
  <c r="B61" i="12"/>
  <c r="T60" i="12"/>
  <c r="P60" i="12"/>
  <c r="X60" i="12" s="1"/>
  <c r="L60" i="12"/>
  <c r="H60" i="12"/>
  <c r="D60" i="12"/>
  <c r="B60" i="12"/>
  <c r="T59" i="12"/>
  <c r="P59" i="12"/>
  <c r="X59" i="12" s="1"/>
  <c r="Z59" i="12" s="1"/>
  <c r="N59" i="12"/>
  <c r="H59" i="12"/>
  <c r="L59" i="12" s="1"/>
  <c r="D59" i="12"/>
  <c r="B59" i="12"/>
  <c r="T58" i="12"/>
  <c r="P58" i="12"/>
  <c r="X58" i="12" s="1"/>
  <c r="Z58" i="12" s="1"/>
  <c r="H58" i="12"/>
  <c r="D58" i="12"/>
  <c r="L58" i="12" s="1"/>
  <c r="B58" i="12"/>
  <c r="T57" i="12"/>
  <c r="P57" i="12"/>
  <c r="L57" i="12"/>
  <c r="N57" i="12" s="1"/>
  <c r="H57" i="12"/>
  <c r="D57" i="12"/>
  <c r="B57" i="12"/>
  <c r="T56" i="12"/>
  <c r="P56" i="12"/>
  <c r="X56" i="12" s="1"/>
  <c r="H56" i="12"/>
  <c r="D56" i="12"/>
  <c r="L56" i="12" s="1"/>
  <c r="B56" i="12"/>
  <c r="T55" i="12"/>
  <c r="P55" i="12"/>
  <c r="N55" i="12"/>
  <c r="H55" i="12"/>
  <c r="L55" i="12" s="1"/>
  <c r="D55" i="12"/>
  <c r="B55" i="12"/>
  <c r="T54" i="12"/>
  <c r="P54" i="12"/>
  <c r="X54" i="12" s="1"/>
  <c r="L54" i="12"/>
  <c r="H54" i="12"/>
  <c r="N54" i="12" s="1"/>
  <c r="D54" i="12"/>
  <c r="B54" i="12"/>
  <c r="T53" i="12"/>
  <c r="P53" i="12"/>
  <c r="X53" i="12" s="1"/>
  <c r="N53" i="12"/>
  <c r="H53" i="12"/>
  <c r="L53" i="12" s="1"/>
  <c r="D53" i="12"/>
  <c r="B53" i="12"/>
  <c r="T52" i="12"/>
  <c r="P52" i="12"/>
  <c r="X52" i="12" s="1"/>
  <c r="Z52" i="12" s="1"/>
  <c r="H52" i="12"/>
  <c r="D52" i="12"/>
  <c r="L52" i="12" s="1"/>
  <c r="B52" i="12"/>
  <c r="T51" i="12"/>
  <c r="P51" i="12"/>
  <c r="L51" i="12"/>
  <c r="N51" i="12" s="1"/>
  <c r="H51" i="12"/>
  <c r="D51" i="12"/>
  <c r="B51" i="12"/>
  <c r="T50" i="12"/>
  <c r="P50" i="12"/>
  <c r="H50" i="12"/>
  <c r="N50" i="12" s="1"/>
  <c r="D50" i="12"/>
  <c r="L50" i="12" s="1"/>
  <c r="B50" i="12"/>
  <c r="T49" i="12"/>
  <c r="P49" i="12"/>
  <c r="H49" i="12"/>
  <c r="L49" i="12" s="1"/>
  <c r="N49" i="12" s="1"/>
  <c r="D49" i="12"/>
  <c r="B49" i="12"/>
  <c r="T48" i="12"/>
  <c r="P48" i="12"/>
  <c r="X48" i="12" s="1"/>
  <c r="L48" i="12"/>
  <c r="H48" i="12"/>
  <c r="D48" i="12"/>
  <c r="B48" i="12"/>
  <c r="T47" i="12"/>
  <c r="P47" i="12"/>
  <c r="X47" i="12" s="1"/>
  <c r="N47" i="12"/>
  <c r="H47" i="12"/>
  <c r="L47" i="12" s="1"/>
  <c r="D47" i="12"/>
  <c r="B47" i="12"/>
  <c r="T46" i="12"/>
  <c r="P46" i="12"/>
  <c r="X46" i="12" s="1"/>
  <c r="Z46" i="12" s="1"/>
  <c r="H46" i="12"/>
  <c r="D46" i="12"/>
  <c r="L46" i="12" s="1"/>
  <c r="B46" i="12"/>
  <c r="T45" i="12"/>
  <c r="P45" i="12"/>
  <c r="L45" i="12"/>
  <c r="N45" i="12" s="1"/>
  <c r="H45" i="12"/>
  <c r="D45" i="12"/>
  <c r="B45" i="12"/>
  <c r="T44" i="12"/>
  <c r="P44" i="12"/>
  <c r="H44" i="12"/>
  <c r="D44" i="12"/>
  <c r="L44" i="12" s="1"/>
  <c r="B44" i="12"/>
  <c r="T43" i="12"/>
  <c r="P43" i="12"/>
  <c r="H43" i="12"/>
  <c r="L43" i="12" s="1"/>
  <c r="N43" i="12" s="1"/>
  <c r="D43" i="12"/>
  <c r="B43" i="12"/>
  <c r="T42" i="12"/>
  <c r="P42" i="12"/>
  <c r="X42" i="12" s="1"/>
  <c r="L42" i="12"/>
  <c r="H42" i="12"/>
  <c r="D42" i="12"/>
  <c r="B42" i="12"/>
  <c r="T41" i="12"/>
  <c r="P41" i="12"/>
  <c r="X41" i="12" s="1"/>
  <c r="Z41" i="12" s="1"/>
  <c r="H41" i="12"/>
  <c r="L41" i="12" s="1"/>
  <c r="N41" i="12" s="1"/>
  <c r="D41" i="12"/>
  <c r="B41" i="12"/>
  <c r="T40" i="12"/>
  <c r="P40" i="12"/>
  <c r="X40" i="12" s="1"/>
  <c r="Z40" i="12" s="1"/>
  <c r="H40" i="12"/>
  <c r="D40" i="12"/>
  <c r="L40" i="12" s="1"/>
  <c r="B40" i="12"/>
  <c r="T39" i="12"/>
  <c r="P39" i="12"/>
  <c r="N39" i="12"/>
  <c r="L39" i="12"/>
  <c r="H39" i="12"/>
  <c r="D39" i="12"/>
  <c r="B39" i="12"/>
  <c r="T38" i="12"/>
  <c r="P38" i="12"/>
  <c r="X38" i="12" s="1"/>
  <c r="H38" i="12"/>
  <c r="D38" i="12"/>
  <c r="L38" i="12" s="1"/>
  <c r="B38" i="12"/>
  <c r="T37" i="12"/>
  <c r="P37" i="12"/>
  <c r="X37" i="12" s="1"/>
  <c r="Z37" i="12" s="1"/>
  <c r="H37" i="12"/>
  <c r="D37" i="12"/>
  <c r="B37" i="12"/>
  <c r="T36" i="12"/>
  <c r="P36" i="12"/>
  <c r="X36" i="12" s="1"/>
  <c r="H36" i="12"/>
  <c r="D36" i="12"/>
  <c r="L36" i="12" s="1"/>
  <c r="B36" i="12"/>
  <c r="T35" i="12"/>
  <c r="P35" i="12"/>
  <c r="H35" i="12"/>
  <c r="D35" i="12"/>
  <c r="L35" i="12" s="1"/>
  <c r="B35" i="12"/>
  <c r="X34" i="12"/>
  <c r="T34" i="12"/>
  <c r="Z34" i="12" s="1"/>
  <c r="P34" i="12"/>
  <c r="H34" i="12"/>
  <c r="L34" i="12" s="1"/>
  <c r="D34" i="12"/>
  <c r="B34" i="12"/>
  <c r="X33" i="12"/>
  <c r="T33" i="12"/>
  <c r="Z33" i="12" s="1"/>
  <c r="P33" i="12"/>
  <c r="L33" i="12"/>
  <c r="H33" i="12"/>
  <c r="N33" i="12" s="1"/>
  <c r="D33" i="12"/>
  <c r="B33" i="12"/>
  <c r="T32" i="12"/>
  <c r="P32" i="12"/>
  <c r="X32" i="12" s="1"/>
  <c r="Z32" i="12" s="1"/>
  <c r="N32" i="12"/>
  <c r="L32" i="12"/>
  <c r="H32" i="12"/>
  <c r="D32" i="12"/>
  <c r="B32" i="12"/>
  <c r="T31" i="12"/>
  <c r="Z31" i="12" s="1"/>
  <c r="P31" i="12"/>
  <c r="X31" i="12" s="1"/>
  <c r="H31" i="12"/>
  <c r="D31" i="12"/>
  <c r="L31" i="12" s="1"/>
  <c r="N31" i="12" s="1"/>
  <c r="B31" i="12"/>
  <c r="T30" i="12"/>
  <c r="P30" i="12"/>
  <c r="X30" i="12" s="1"/>
  <c r="Z30" i="12" s="1"/>
  <c r="H30" i="12"/>
  <c r="D30" i="12"/>
  <c r="L30" i="12" s="1"/>
  <c r="B30" i="12"/>
  <c r="T29" i="12"/>
  <c r="P29" i="12"/>
  <c r="X29" i="12" s="1"/>
  <c r="N29" i="12"/>
  <c r="L29" i="12"/>
  <c r="H29" i="12"/>
  <c r="D29" i="12"/>
  <c r="B29" i="12"/>
  <c r="T28" i="12"/>
  <c r="P28" i="12"/>
  <c r="H28" i="12"/>
  <c r="N28" i="12" s="1"/>
  <c r="D28" i="12"/>
  <c r="L28" i="12" s="1"/>
  <c r="B28" i="12"/>
  <c r="T27" i="12"/>
  <c r="P27" i="12"/>
  <c r="H27" i="12"/>
  <c r="D27" i="12"/>
  <c r="B27" i="12"/>
  <c r="X26" i="12"/>
  <c r="T26" i="12"/>
  <c r="Z26" i="12" s="1"/>
  <c r="P26" i="12"/>
  <c r="H26" i="12"/>
  <c r="D26" i="12"/>
  <c r="L26" i="12" s="1"/>
  <c r="B26" i="12"/>
  <c r="Z25" i="12"/>
  <c r="X25" i="12"/>
  <c r="T25" i="12"/>
  <c r="P25" i="12"/>
  <c r="L25" i="12"/>
  <c r="H25" i="12"/>
  <c r="N25" i="12" s="1"/>
  <c r="D25" i="12"/>
  <c r="B25" i="12"/>
  <c r="T24" i="12"/>
  <c r="P24" i="12"/>
  <c r="X24" i="12" s="1"/>
  <c r="Z24" i="12" s="1"/>
  <c r="N24" i="12"/>
  <c r="H24" i="12"/>
  <c r="D24" i="12"/>
  <c r="L24" i="12" s="1"/>
  <c r="B24" i="12"/>
  <c r="T23" i="12"/>
  <c r="P23" i="12"/>
  <c r="H23" i="12"/>
  <c r="D23" i="12"/>
  <c r="L23" i="12" s="1"/>
  <c r="N23" i="12" s="1"/>
  <c r="B23" i="12"/>
  <c r="T22" i="12"/>
  <c r="Z22" i="12" s="1"/>
  <c r="P22" i="12"/>
  <c r="X22" i="12" s="1"/>
  <c r="L22" i="12"/>
  <c r="H22" i="12"/>
  <c r="D22" i="12"/>
  <c r="B22" i="12"/>
  <c r="T21" i="12"/>
  <c r="P21" i="12"/>
  <c r="X21" i="12" s="1"/>
  <c r="L21" i="12"/>
  <c r="H21" i="12"/>
  <c r="N21" i="12" s="1"/>
  <c r="D21" i="12"/>
  <c r="B21" i="12"/>
  <c r="T20" i="12"/>
  <c r="Z20" i="12" s="1"/>
  <c r="P20" i="12"/>
  <c r="X20" i="12" s="1"/>
  <c r="L20" i="12"/>
  <c r="H20" i="12"/>
  <c r="D20" i="12"/>
  <c r="B20" i="12"/>
  <c r="T19" i="12"/>
  <c r="Z19" i="12" s="1"/>
  <c r="P19" i="12"/>
  <c r="X19" i="12" s="1"/>
  <c r="H19" i="12"/>
  <c r="D19" i="12"/>
  <c r="L19" i="12" s="1"/>
  <c r="B19" i="12"/>
  <c r="X18" i="12"/>
  <c r="Z18" i="12" s="1"/>
  <c r="T18" i="12"/>
  <c r="P18" i="12"/>
  <c r="H18" i="12"/>
  <c r="D18" i="12"/>
  <c r="L18" i="12" s="1"/>
  <c r="B18" i="12"/>
  <c r="X17" i="12"/>
  <c r="T17" i="12"/>
  <c r="Z17" i="12" s="1"/>
  <c r="P17" i="12"/>
  <c r="N17" i="12"/>
  <c r="L17" i="12"/>
  <c r="H17" i="12"/>
  <c r="D17" i="12"/>
  <c r="B17" i="12"/>
  <c r="X16" i="12"/>
  <c r="Z16" i="12" s="1"/>
  <c r="T16" i="12"/>
  <c r="P16" i="12"/>
  <c r="H16" i="12"/>
  <c r="D16" i="12"/>
  <c r="L16" i="12" s="1"/>
  <c r="N16" i="12" s="1"/>
  <c r="B16" i="12"/>
  <c r="T15" i="12"/>
  <c r="Z15" i="12" s="1"/>
  <c r="P15" i="12"/>
  <c r="X15" i="12" s="1"/>
  <c r="L15" i="12"/>
  <c r="N15" i="12" s="1"/>
  <c r="H15" i="12"/>
  <c r="D15" i="12"/>
  <c r="B15" i="12"/>
  <c r="T14" i="12"/>
  <c r="P14" i="12"/>
  <c r="H14" i="12"/>
  <c r="D14" i="12"/>
  <c r="B14" i="12"/>
  <c r="T13" i="12"/>
  <c r="P13" i="12"/>
  <c r="X13" i="12" s="1"/>
  <c r="Z13" i="12" s="1"/>
  <c r="H13" i="12"/>
  <c r="D13" i="12"/>
  <c r="B13" i="12"/>
  <c r="D4" i="12"/>
  <c r="V97" i="9"/>
  <c r="V94" i="9"/>
  <c r="Z92" i="9"/>
  <c r="X92" i="9"/>
  <c r="V92" i="9"/>
  <c r="N92" i="9"/>
  <c r="L92" i="9"/>
  <c r="F92" i="9"/>
  <c r="F90" i="9"/>
  <c r="Z88" i="9"/>
  <c r="T88" i="9"/>
  <c r="P88" i="9"/>
  <c r="X88" i="9" s="1"/>
  <c r="N88" i="9"/>
  <c r="H88" i="9"/>
  <c r="F88" i="9"/>
  <c r="D88" i="9"/>
  <c r="L88" i="9" s="1"/>
  <c r="Z86" i="9"/>
  <c r="X86" i="9"/>
  <c r="L86" i="9"/>
  <c r="N86" i="9" s="1"/>
  <c r="J86" i="9"/>
  <c r="B86" i="9"/>
  <c r="X85" i="9"/>
  <c r="Z85" i="9" s="1"/>
  <c r="L85" i="9"/>
  <c r="N85" i="9" s="1"/>
  <c r="B85" i="9"/>
  <c r="T84" i="9"/>
  <c r="P84" i="9"/>
  <c r="X84" i="9" s="1"/>
  <c r="Z84" i="9" s="1"/>
  <c r="H84" i="9"/>
  <c r="D84" i="9"/>
  <c r="L84" i="9" s="1"/>
  <c r="N84" i="9" s="1"/>
  <c r="B84" i="9"/>
  <c r="X83" i="9"/>
  <c r="Z83" i="9" s="1"/>
  <c r="N83" i="9"/>
  <c r="L83" i="9"/>
  <c r="B83" i="9"/>
  <c r="X82" i="9"/>
  <c r="Z82" i="9" s="1"/>
  <c r="V82" i="9"/>
  <c r="T82" i="9"/>
  <c r="P82" i="9"/>
  <c r="L82" i="9"/>
  <c r="N82" i="9" s="1"/>
  <c r="H82" i="9"/>
  <c r="D82" i="9"/>
  <c r="B82" i="9"/>
  <c r="X81" i="9"/>
  <c r="Z81" i="9" s="1"/>
  <c r="L81" i="9"/>
  <c r="N81" i="9" s="1"/>
  <c r="B81" i="9"/>
  <c r="Z80" i="9"/>
  <c r="X80" i="9"/>
  <c r="R80" i="9"/>
  <c r="N80" i="9"/>
  <c r="L80" i="9"/>
  <c r="B80" i="9"/>
  <c r="T79" i="9"/>
  <c r="X79" i="9" s="1"/>
  <c r="Z79" i="9" s="1"/>
  <c r="P79" i="9"/>
  <c r="L79" i="9"/>
  <c r="N79" i="9" s="1"/>
  <c r="H79" i="9"/>
  <c r="D79" i="9"/>
  <c r="B79" i="9"/>
  <c r="Z78" i="9"/>
  <c r="X78" i="9"/>
  <c r="L78" i="9"/>
  <c r="N78" i="9" s="1"/>
  <c r="J78" i="9"/>
  <c r="B78" i="9"/>
  <c r="X77" i="9"/>
  <c r="Z77" i="9" s="1"/>
  <c r="L77" i="9"/>
  <c r="N77" i="9" s="1"/>
  <c r="B77" i="9"/>
  <c r="Z76" i="9"/>
  <c r="X76" i="9"/>
  <c r="L76" i="9"/>
  <c r="N76" i="9" s="1"/>
  <c r="B76" i="9"/>
  <c r="X75" i="9"/>
  <c r="Z75" i="9" s="1"/>
  <c r="V75" i="9"/>
  <c r="R75" i="9"/>
  <c r="L75" i="9"/>
  <c r="N75" i="9" s="1"/>
  <c r="F75" i="9"/>
  <c r="B75" i="9"/>
  <c r="T74" i="9"/>
  <c r="P74" i="9"/>
  <c r="X74" i="9" s="1"/>
  <c r="Z74" i="9" s="1"/>
  <c r="N74" i="9"/>
  <c r="H74" i="9"/>
  <c r="F74" i="9"/>
  <c r="D74" i="9"/>
  <c r="L74" i="9" s="1"/>
  <c r="B74" i="9"/>
  <c r="X73" i="9"/>
  <c r="Z73" i="9" s="1"/>
  <c r="N73" i="9"/>
  <c r="L73" i="9"/>
  <c r="B73" i="9"/>
  <c r="X72" i="9"/>
  <c r="Z72" i="9" s="1"/>
  <c r="T72" i="9"/>
  <c r="P72" i="9"/>
  <c r="N72" i="9"/>
  <c r="L72" i="9"/>
  <c r="J72" i="9"/>
  <c r="H72" i="9"/>
  <c r="D72" i="9"/>
  <c r="B72" i="9"/>
  <c r="Z71" i="9"/>
  <c r="X71" i="9"/>
  <c r="L71" i="9"/>
  <c r="N71" i="9" s="1"/>
  <c r="J71" i="9"/>
  <c r="F71" i="9"/>
  <c r="B71" i="9"/>
  <c r="X70" i="9"/>
  <c r="Z70" i="9" s="1"/>
  <c r="N70" i="9"/>
  <c r="L70" i="9"/>
  <c r="B70" i="9"/>
  <c r="X69" i="9"/>
  <c r="Z69" i="9" s="1"/>
  <c r="T69" i="9"/>
  <c r="P69" i="9"/>
  <c r="H69" i="9"/>
  <c r="L69" i="9" s="1"/>
  <c r="N69" i="9" s="1"/>
  <c r="D69" i="9"/>
  <c r="B69" i="9"/>
  <c r="Z68" i="9"/>
  <c r="X68" i="9"/>
  <c r="L68" i="9"/>
  <c r="N68" i="9" s="1"/>
  <c r="B68" i="9"/>
  <c r="X67" i="9"/>
  <c r="Z67" i="9" s="1"/>
  <c r="V67" i="9"/>
  <c r="R67" i="9"/>
  <c r="N67" i="9"/>
  <c r="L67" i="9"/>
  <c r="F67" i="9"/>
  <c r="B67" i="9"/>
  <c r="Z66" i="9"/>
  <c r="X66" i="9"/>
  <c r="L66" i="9"/>
  <c r="N66" i="9" s="1"/>
  <c r="J66" i="9"/>
  <c r="B66" i="9"/>
  <c r="X65" i="9"/>
  <c r="T65" i="9"/>
  <c r="Z65" i="9" s="1"/>
  <c r="P65" i="9"/>
  <c r="J65" i="9"/>
  <c r="H65" i="9"/>
  <c r="D65" i="9"/>
  <c r="B65" i="9"/>
  <c r="X64" i="9"/>
  <c r="Z64" i="9" s="1"/>
  <c r="N64" i="9"/>
  <c r="L64" i="9"/>
  <c r="F64" i="9"/>
  <c r="B64" i="9"/>
  <c r="X63" i="9"/>
  <c r="Z63" i="9" s="1"/>
  <c r="N63" i="9"/>
  <c r="L63" i="9"/>
  <c r="B63" i="9"/>
  <c r="X62" i="9"/>
  <c r="Z62" i="9" s="1"/>
  <c r="V62" i="9"/>
  <c r="L62" i="9"/>
  <c r="N62" i="9" s="1"/>
  <c r="J62" i="9"/>
  <c r="F62" i="9"/>
  <c r="B62" i="9"/>
  <c r="X61" i="9"/>
  <c r="Z61" i="9" s="1"/>
  <c r="L61" i="9"/>
  <c r="N61" i="9" s="1"/>
  <c r="B61" i="9"/>
  <c r="X60" i="9"/>
  <c r="Z60" i="9" s="1"/>
  <c r="T60" i="9"/>
  <c r="P60" i="9"/>
  <c r="L60" i="9"/>
  <c r="N60" i="9" s="1"/>
  <c r="J60" i="9"/>
  <c r="H60" i="9"/>
  <c r="D60" i="9"/>
  <c r="B60" i="9"/>
  <c r="Z59" i="9"/>
  <c r="X59" i="9"/>
  <c r="N59" i="9"/>
  <c r="L59" i="9"/>
  <c r="J59" i="9"/>
  <c r="F59" i="9"/>
  <c r="B59" i="9"/>
  <c r="T58" i="9"/>
  <c r="P58" i="9"/>
  <c r="H58" i="9"/>
  <c r="F58" i="9"/>
  <c r="D58" i="9"/>
  <c r="B58" i="9"/>
  <c r="X57" i="9"/>
  <c r="Z57" i="9" s="1"/>
  <c r="L57" i="9"/>
  <c r="N57" i="9" s="1"/>
  <c r="B57" i="9"/>
  <c r="T56" i="9"/>
  <c r="P56" i="9"/>
  <c r="X56" i="9" s="1"/>
  <c r="Z56" i="9" s="1"/>
  <c r="H56" i="9"/>
  <c r="D56" i="9"/>
  <c r="L56" i="9" s="1"/>
  <c r="N56" i="9" s="1"/>
  <c r="B56" i="9"/>
  <c r="X55" i="9"/>
  <c r="Z55" i="9" s="1"/>
  <c r="N55" i="9"/>
  <c r="L55" i="9"/>
  <c r="B55" i="9"/>
  <c r="X54" i="9"/>
  <c r="V54" i="9"/>
  <c r="T54" i="9"/>
  <c r="Z54" i="9" s="1"/>
  <c r="P54" i="9"/>
  <c r="L54" i="9"/>
  <c r="N54" i="9" s="1"/>
  <c r="H54" i="9"/>
  <c r="D54" i="9"/>
  <c r="B54" i="9"/>
  <c r="X53" i="9"/>
  <c r="Z53" i="9" s="1"/>
  <c r="L53" i="9"/>
  <c r="N53" i="9" s="1"/>
  <c r="J53" i="9"/>
  <c r="B53" i="9"/>
  <c r="T52" i="9"/>
  <c r="R52" i="9"/>
  <c r="P52" i="9"/>
  <c r="J52" i="9"/>
  <c r="H52" i="9"/>
  <c r="D52" i="9"/>
  <c r="L52" i="9" s="1"/>
  <c r="B52" i="9"/>
  <c r="Z51" i="9"/>
  <c r="X51" i="9"/>
  <c r="V51" i="9"/>
  <c r="R51" i="9"/>
  <c r="L51" i="9"/>
  <c r="N51" i="9" s="1"/>
  <c r="F51" i="9"/>
  <c r="B51" i="9"/>
  <c r="T50" i="9"/>
  <c r="P50" i="9"/>
  <c r="X50" i="9" s="1"/>
  <c r="H50" i="9"/>
  <c r="F50" i="9"/>
  <c r="D50" i="9"/>
  <c r="L50" i="9" s="1"/>
  <c r="N50" i="9" s="1"/>
  <c r="B50" i="9"/>
  <c r="X49" i="9"/>
  <c r="Z49" i="9" s="1"/>
  <c r="L49" i="9"/>
  <c r="N49" i="9" s="1"/>
  <c r="B49" i="9"/>
  <c r="X48" i="9"/>
  <c r="Z48" i="9" s="1"/>
  <c r="T48" i="9"/>
  <c r="P48" i="9"/>
  <c r="L48" i="9"/>
  <c r="N48" i="9" s="1"/>
  <c r="J48" i="9"/>
  <c r="H48" i="9"/>
  <c r="D48" i="9"/>
  <c r="B48" i="9"/>
  <c r="Z47" i="9"/>
  <c r="X47" i="9"/>
  <c r="N47" i="9"/>
  <c r="L47" i="9"/>
  <c r="J47" i="9"/>
  <c r="F47" i="9"/>
  <c r="B47" i="9"/>
  <c r="X46" i="9"/>
  <c r="Z46" i="9" s="1"/>
  <c r="N46" i="9"/>
  <c r="L46" i="9"/>
  <c r="B46" i="9"/>
  <c r="Z45" i="9"/>
  <c r="X45" i="9"/>
  <c r="T45" i="9"/>
  <c r="P45" i="9"/>
  <c r="H45" i="9"/>
  <c r="L45" i="9" s="1"/>
  <c r="N45" i="9" s="1"/>
  <c r="D45" i="9"/>
  <c r="B45" i="9"/>
  <c r="Z44" i="9"/>
  <c r="X44" i="9"/>
  <c r="L44" i="9"/>
  <c r="N44" i="9" s="1"/>
  <c r="B44" i="9"/>
  <c r="V43" i="9"/>
  <c r="T43" i="9"/>
  <c r="P43" i="9"/>
  <c r="L43" i="9"/>
  <c r="J43" i="9"/>
  <c r="H43" i="9"/>
  <c r="N43" i="9" s="1"/>
  <c r="D43" i="9"/>
  <c r="B43" i="9"/>
  <c r="X42" i="9"/>
  <c r="Z42" i="9" s="1"/>
  <c r="V42" i="9"/>
  <c r="L42" i="9"/>
  <c r="N42" i="9" s="1"/>
  <c r="J42" i="9"/>
  <c r="F42" i="9"/>
  <c r="B42" i="9"/>
  <c r="T41" i="9"/>
  <c r="R41" i="9"/>
  <c r="P41" i="9"/>
  <c r="X41" i="9" s="1"/>
  <c r="H41" i="9"/>
  <c r="F41" i="9"/>
  <c r="D41" i="9"/>
  <c r="L41" i="9" s="1"/>
  <c r="B41" i="9"/>
  <c r="Z40" i="9"/>
  <c r="X40" i="9"/>
  <c r="R40" i="9"/>
  <c r="N40" i="9"/>
  <c r="L40" i="9"/>
  <c r="B40" i="9"/>
  <c r="T39" i="9"/>
  <c r="X39" i="9" s="1"/>
  <c r="Z39" i="9" s="1"/>
  <c r="P39" i="9"/>
  <c r="L39" i="9"/>
  <c r="N39" i="9" s="1"/>
  <c r="H39" i="9"/>
  <c r="D39" i="9"/>
  <c r="B39" i="9"/>
  <c r="Z38" i="9"/>
  <c r="X38" i="9"/>
  <c r="N38" i="9"/>
  <c r="L38" i="9"/>
  <c r="J38" i="9"/>
  <c r="B38" i="9"/>
  <c r="X37" i="9"/>
  <c r="Z37" i="9" s="1"/>
  <c r="V37" i="9"/>
  <c r="L37" i="9"/>
  <c r="N37" i="9" s="1"/>
  <c r="B37" i="9"/>
  <c r="Z36" i="9"/>
  <c r="X36" i="9"/>
  <c r="N36" i="9"/>
  <c r="L36" i="9"/>
  <c r="B36" i="9"/>
  <c r="Z35" i="9"/>
  <c r="X35" i="9"/>
  <c r="V35" i="9"/>
  <c r="R35" i="9"/>
  <c r="L35" i="9"/>
  <c r="N35" i="9" s="1"/>
  <c r="F35" i="9"/>
  <c r="B35" i="9"/>
  <c r="Z34" i="9"/>
  <c r="X34" i="9"/>
  <c r="L34" i="9"/>
  <c r="N34" i="9" s="1"/>
  <c r="J34" i="9"/>
  <c r="B34" i="9"/>
  <c r="X33" i="9"/>
  <c r="Z33" i="9" s="1"/>
  <c r="V33" i="9"/>
  <c r="L33" i="9"/>
  <c r="N33" i="9" s="1"/>
  <c r="B33" i="9"/>
  <c r="Z32" i="9"/>
  <c r="X32" i="9"/>
  <c r="L32" i="9"/>
  <c r="N32" i="9" s="1"/>
  <c r="B32" i="9"/>
  <c r="V31" i="9"/>
  <c r="T31" i="9"/>
  <c r="P31" i="9"/>
  <c r="X31" i="9" s="1"/>
  <c r="L31" i="9"/>
  <c r="J31" i="9"/>
  <c r="H31" i="9"/>
  <c r="N31" i="9" s="1"/>
  <c r="D31" i="9"/>
  <c r="B31" i="9"/>
  <c r="X30" i="9"/>
  <c r="Z30" i="9" s="1"/>
  <c r="V30" i="9"/>
  <c r="N30" i="9"/>
  <c r="L30" i="9"/>
  <c r="J30" i="9"/>
  <c r="F30" i="9"/>
  <c r="B30" i="9"/>
  <c r="X29" i="9"/>
  <c r="Z29" i="9" s="1"/>
  <c r="N29" i="9"/>
  <c r="L29" i="9"/>
  <c r="B29" i="9"/>
  <c r="X28" i="9"/>
  <c r="Z28" i="9" s="1"/>
  <c r="N28" i="9"/>
  <c r="L28" i="9"/>
  <c r="F28" i="9"/>
  <c r="B28" i="9"/>
  <c r="X27" i="9"/>
  <c r="Z27" i="9" s="1"/>
  <c r="N27" i="9"/>
  <c r="L27" i="9"/>
  <c r="F27" i="9"/>
  <c r="B27" i="9"/>
  <c r="X26" i="9"/>
  <c r="Z26" i="9" s="1"/>
  <c r="V26" i="9"/>
  <c r="N26" i="9"/>
  <c r="L26" i="9"/>
  <c r="J26" i="9"/>
  <c r="F26" i="9"/>
  <c r="B26" i="9"/>
  <c r="X25" i="9"/>
  <c r="Z25" i="9" s="1"/>
  <c r="N25" i="9"/>
  <c r="L25" i="9"/>
  <c r="B25" i="9"/>
  <c r="X24" i="9"/>
  <c r="Z24" i="9" s="1"/>
  <c r="N24" i="9"/>
  <c r="L24" i="9"/>
  <c r="F24" i="9"/>
  <c r="B24" i="9"/>
  <c r="X23" i="9"/>
  <c r="Z23" i="9" s="1"/>
  <c r="N23" i="9"/>
  <c r="L23" i="9"/>
  <c r="F23" i="9"/>
  <c r="B23" i="9"/>
  <c r="X22" i="9"/>
  <c r="Z22" i="9" s="1"/>
  <c r="V22" i="9"/>
  <c r="N22" i="9"/>
  <c r="L22" i="9"/>
  <c r="J22" i="9"/>
  <c r="F22" i="9"/>
  <c r="B22" i="9"/>
  <c r="X21" i="9"/>
  <c r="Z21" i="9" s="1"/>
  <c r="L21" i="9"/>
  <c r="N21" i="9" s="1"/>
  <c r="B21" i="9"/>
  <c r="X20" i="9"/>
  <c r="Z20" i="9" s="1"/>
  <c r="N20" i="9"/>
  <c r="L20" i="9"/>
  <c r="F20" i="9"/>
  <c r="B20" i="9"/>
  <c r="T19" i="9"/>
  <c r="P19" i="9"/>
  <c r="X19" i="9" s="1"/>
  <c r="H19" i="9"/>
  <c r="F19" i="9"/>
  <c r="D19" i="9"/>
  <c r="L19" i="9" s="1"/>
  <c r="N19" i="9" s="1"/>
  <c r="B19" i="9"/>
  <c r="T18" i="9"/>
  <c r="P18" i="9"/>
  <c r="X18" i="9" s="1"/>
  <c r="H18" i="9"/>
  <c r="F18" i="9"/>
  <c r="D18" i="9"/>
  <c r="F16" i="9"/>
  <c r="T14" i="9"/>
  <c r="Z14" i="9" s="1"/>
  <c r="P14" i="9"/>
  <c r="X14" i="9" s="1"/>
  <c r="H14" i="9"/>
  <c r="N14" i="9" s="1"/>
  <c r="F14" i="9"/>
  <c r="D14" i="9"/>
  <c r="L14" i="9" s="1"/>
  <c r="T12" i="9"/>
  <c r="V84" i="9" s="1"/>
  <c r="P12" i="9"/>
  <c r="R97" i="9" s="1"/>
  <c r="H12" i="9"/>
  <c r="J90" i="9" s="1"/>
  <c r="D12" i="9"/>
  <c r="F73" i="9" s="1"/>
  <c r="D4" i="9"/>
  <c r="F31" i="6"/>
  <c r="T29" i="6"/>
  <c r="P29" i="6"/>
  <c r="X29" i="6" s="1"/>
  <c r="H29" i="6"/>
  <c r="F29" i="6"/>
  <c r="D29" i="6"/>
  <c r="L29" i="6" s="1"/>
  <c r="N29" i="6" s="1"/>
  <c r="T28" i="6"/>
  <c r="Z28" i="6" s="1"/>
  <c r="P28" i="6"/>
  <c r="X28" i="6" s="1"/>
  <c r="H28" i="6"/>
  <c r="F28" i="6"/>
  <c r="D28" i="6"/>
  <c r="L28" i="6" s="1"/>
  <c r="N28" i="6" s="1"/>
  <c r="F26" i="6"/>
  <c r="Z24" i="6"/>
  <c r="X24" i="6"/>
  <c r="N24" i="6"/>
  <c r="L24" i="6"/>
  <c r="J24" i="6"/>
  <c r="V22" i="6"/>
  <c r="J22" i="6"/>
  <c r="T20" i="6"/>
  <c r="Z20" i="6" s="1"/>
  <c r="P20" i="6"/>
  <c r="X20" i="6" s="1"/>
  <c r="L20" i="6"/>
  <c r="J20" i="6"/>
  <c r="H20" i="6"/>
  <c r="N20" i="6" s="1"/>
  <c r="D20" i="6"/>
  <c r="T18" i="6"/>
  <c r="Z18" i="6" s="1"/>
  <c r="P18" i="6"/>
  <c r="X18" i="6" s="1"/>
  <c r="L18" i="6"/>
  <c r="J18" i="6"/>
  <c r="H18" i="6"/>
  <c r="N18" i="6" s="1"/>
  <c r="D18" i="6"/>
  <c r="V16" i="6"/>
  <c r="J16" i="6"/>
  <c r="V14" i="6"/>
  <c r="T14" i="6"/>
  <c r="Z14" i="6" s="1"/>
  <c r="P14" i="6"/>
  <c r="X14" i="6" s="1"/>
  <c r="L14" i="6"/>
  <c r="J14" i="6"/>
  <c r="H14" i="6"/>
  <c r="N14" i="6" s="1"/>
  <c r="D14" i="6"/>
  <c r="T12" i="6"/>
  <c r="T16" i="6" s="1"/>
  <c r="P12" i="6"/>
  <c r="N12" i="6"/>
  <c r="H12" i="6"/>
  <c r="J31" i="6" s="1"/>
  <c r="D12" i="6"/>
  <c r="L12" i="6" s="1"/>
  <c r="D4" i="6"/>
  <c r="T312" i="3"/>
  <c r="P312" i="3"/>
  <c r="X312" i="3" s="1"/>
  <c r="H312" i="3"/>
  <c r="D312" i="3"/>
  <c r="L312" i="3" s="1"/>
  <c r="T311" i="3"/>
  <c r="P311" i="3"/>
  <c r="H311" i="3"/>
  <c r="D311" i="3"/>
  <c r="L311" i="3" s="1"/>
  <c r="Z307" i="3"/>
  <c r="X307" i="3"/>
  <c r="N307" i="3"/>
  <c r="L307" i="3"/>
  <c r="X303" i="3"/>
  <c r="Z303" i="3" s="1"/>
  <c r="T303" i="3"/>
  <c r="P303" i="3"/>
  <c r="L303" i="3"/>
  <c r="H303" i="3"/>
  <c r="N303" i="3" s="1"/>
  <c r="D303" i="3"/>
  <c r="B303" i="3"/>
  <c r="Z302" i="3"/>
  <c r="T302" i="3"/>
  <c r="P302" i="3"/>
  <c r="X302" i="3" s="1"/>
  <c r="N302" i="3"/>
  <c r="L302" i="3"/>
  <c r="H302" i="3"/>
  <c r="D302" i="3"/>
  <c r="B302" i="3"/>
  <c r="T301" i="3"/>
  <c r="P301" i="3"/>
  <c r="X301" i="3" s="1"/>
  <c r="N301" i="3"/>
  <c r="H301" i="3"/>
  <c r="D301" i="3"/>
  <c r="L301" i="3" s="1"/>
  <c r="B301" i="3"/>
  <c r="T300" i="3"/>
  <c r="P300" i="3"/>
  <c r="X300" i="3" s="1"/>
  <c r="Z300" i="3" s="1"/>
  <c r="H300" i="3"/>
  <c r="D300" i="3"/>
  <c r="L300" i="3" s="1"/>
  <c r="B300" i="3"/>
  <c r="T299" i="3"/>
  <c r="P299" i="3"/>
  <c r="X299" i="3" s="1"/>
  <c r="H299" i="3"/>
  <c r="N299" i="3" s="1"/>
  <c r="D299" i="3"/>
  <c r="L299" i="3" s="1"/>
  <c r="B299" i="3"/>
  <c r="T298" i="3"/>
  <c r="P298" i="3"/>
  <c r="X298" i="3" s="1"/>
  <c r="L298" i="3"/>
  <c r="H298" i="3"/>
  <c r="N298" i="3" s="1"/>
  <c r="D298" i="3"/>
  <c r="B298" i="3"/>
  <c r="X297" i="3"/>
  <c r="T297" i="3"/>
  <c r="Z297" i="3" s="1"/>
  <c r="P297" i="3"/>
  <c r="N297" i="3"/>
  <c r="L297" i="3"/>
  <c r="H297" i="3"/>
  <c r="D297" i="3"/>
  <c r="B297" i="3"/>
  <c r="Z296" i="3"/>
  <c r="X296" i="3"/>
  <c r="T296" i="3"/>
  <c r="P296" i="3"/>
  <c r="N296" i="3"/>
  <c r="H296" i="3"/>
  <c r="L296" i="3" s="1"/>
  <c r="D296" i="3"/>
  <c r="B296" i="3"/>
  <c r="T295" i="3"/>
  <c r="P295" i="3"/>
  <c r="H295" i="3"/>
  <c r="D295" i="3"/>
  <c r="L295" i="3" s="1"/>
  <c r="N295" i="3" s="1"/>
  <c r="B295" i="3"/>
  <c r="T294" i="3"/>
  <c r="P294" i="3"/>
  <c r="X294" i="3" s="1"/>
  <c r="H294" i="3"/>
  <c r="D294" i="3"/>
  <c r="B294" i="3"/>
  <c r="T293" i="3"/>
  <c r="Z293" i="3" s="1"/>
  <c r="P293" i="3"/>
  <c r="X293" i="3" s="1"/>
  <c r="H293" i="3"/>
  <c r="N293" i="3" s="1"/>
  <c r="D293" i="3"/>
  <c r="L293" i="3" s="1"/>
  <c r="B293" i="3"/>
  <c r="H292" i="3"/>
  <c r="X290" i="3"/>
  <c r="Z290" i="3" s="1"/>
  <c r="L290" i="3"/>
  <c r="N290" i="3" s="1"/>
  <c r="B290" i="3"/>
  <c r="Z289" i="3"/>
  <c r="T289" i="3"/>
  <c r="P289" i="3"/>
  <c r="X289" i="3" s="1"/>
  <c r="H289" i="3"/>
  <c r="D289" i="3"/>
  <c r="L289" i="3" s="1"/>
  <c r="N289" i="3" s="1"/>
  <c r="B289" i="3"/>
  <c r="X288" i="3"/>
  <c r="Z288" i="3" s="1"/>
  <c r="N288" i="3"/>
  <c r="L288" i="3"/>
  <c r="B288" i="3"/>
  <c r="X287" i="3"/>
  <c r="Z287" i="3" s="1"/>
  <c r="N287" i="3"/>
  <c r="L287" i="3"/>
  <c r="B287" i="3"/>
  <c r="X286" i="3"/>
  <c r="Z286" i="3" s="1"/>
  <c r="L286" i="3"/>
  <c r="N286" i="3" s="1"/>
  <c r="B286" i="3"/>
  <c r="X285" i="3"/>
  <c r="Z285" i="3" s="1"/>
  <c r="T285" i="3"/>
  <c r="P285" i="3"/>
  <c r="L285" i="3"/>
  <c r="H285" i="3"/>
  <c r="N285" i="3" s="1"/>
  <c r="D285" i="3"/>
  <c r="B285" i="3"/>
  <c r="Z284" i="3"/>
  <c r="X284" i="3"/>
  <c r="N284" i="3"/>
  <c r="L284" i="3"/>
  <c r="B284" i="3"/>
  <c r="T283" i="3"/>
  <c r="Z283" i="3" s="1"/>
  <c r="P283" i="3"/>
  <c r="X283" i="3" s="1"/>
  <c r="H283" i="3"/>
  <c r="D283" i="3"/>
  <c r="B283" i="3"/>
  <c r="X282" i="3"/>
  <c r="Z282" i="3" s="1"/>
  <c r="N282" i="3"/>
  <c r="L282" i="3"/>
  <c r="B282" i="3"/>
  <c r="Z281" i="3"/>
  <c r="X281" i="3"/>
  <c r="N281" i="3"/>
  <c r="L281" i="3"/>
  <c r="B281" i="3"/>
  <c r="T280" i="3"/>
  <c r="P280" i="3"/>
  <c r="X280" i="3" s="1"/>
  <c r="L280" i="3"/>
  <c r="H280" i="3"/>
  <c r="N280" i="3" s="1"/>
  <c r="D280" i="3"/>
  <c r="B280" i="3"/>
  <c r="X279" i="3"/>
  <c r="Z279" i="3" s="1"/>
  <c r="L279" i="3"/>
  <c r="N279" i="3" s="1"/>
  <c r="B279" i="3"/>
  <c r="X278" i="3"/>
  <c r="Z278" i="3" s="1"/>
  <c r="N278" i="3"/>
  <c r="L278" i="3"/>
  <c r="B278" i="3"/>
  <c r="X277" i="3"/>
  <c r="Z277" i="3" s="1"/>
  <c r="L277" i="3"/>
  <c r="N277" i="3" s="1"/>
  <c r="B277" i="3"/>
  <c r="X276" i="3"/>
  <c r="Z276" i="3" s="1"/>
  <c r="N276" i="3"/>
  <c r="L276" i="3"/>
  <c r="B276" i="3"/>
  <c r="X275" i="3"/>
  <c r="Z275" i="3" s="1"/>
  <c r="L275" i="3"/>
  <c r="N275" i="3" s="1"/>
  <c r="B275" i="3"/>
  <c r="X274" i="3"/>
  <c r="Z274" i="3" s="1"/>
  <c r="N274" i="3"/>
  <c r="L274" i="3"/>
  <c r="B274" i="3"/>
  <c r="X273" i="3"/>
  <c r="Z273" i="3" s="1"/>
  <c r="L273" i="3"/>
  <c r="N273" i="3" s="1"/>
  <c r="B273" i="3"/>
  <c r="X272" i="3"/>
  <c r="Z272" i="3" s="1"/>
  <c r="N272" i="3"/>
  <c r="L272" i="3"/>
  <c r="B272" i="3"/>
  <c r="X271" i="3"/>
  <c r="T271" i="3"/>
  <c r="P271" i="3"/>
  <c r="L271" i="3"/>
  <c r="N271" i="3" s="1"/>
  <c r="H271" i="3"/>
  <c r="D271" i="3"/>
  <c r="B271" i="3"/>
  <c r="X270" i="3"/>
  <c r="Z270" i="3" s="1"/>
  <c r="L270" i="3"/>
  <c r="N270" i="3" s="1"/>
  <c r="B270" i="3"/>
  <c r="X269" i="3"/>
  <c r="Z269" i="3" s="1"/>
  <c r="N269" i="3"/>
  <c r="L269" i="3"/>
  <c r="B269" i="3"/>
  <c r="T268" i="3"/>
  <c r="X268" i="3" s="1"/>
  <c r="Z268" i="3" s="1"/>
  <c r="P268" i="3"/>
  <c r="L268" i="3"/>
  <c r="N268" i="3" s="1"/>
  <c r="H268" i="3"/>
  <c r="D268" i="3"/>
  <c r="B268" i="3"/>
  <c r="Z267" i="3"/>
  <c r="X267" i="3"/>
  <c r="L267" i="3"/>
  <c r="N267" i="3" s="1"/>
  <c r="B267" i="3"/>
  <c r="X266" i="3"/>
  <c r="Z266" i="3" s="1"/>
  <c r="L266" i="3"/>
  <c r="N266" i="3" s="1"/>
  <c r="B266" i="3"/>
  <c r="Z265" i="3"/>
  <c r="X265" i="3"/>
  <c r="L265" i="3"/>
  <c r="N265" i="3" s="1"/>
  <c r="B265" i="3"/>
  <c r="Z264" i="3"/>
  <c r="X264" i="3"/>
  <c r="L264" i="3"/>
  <c r="N264" i="3" s="1"/>
  <c r="B264" i="3"/>
  <c r="Z263" i="3"/>
  <c r="X263" i="3"/>
  <c r="L263" i="3"/>
  <c r="N263" i="3" s="1"/>
  <c r="B263" i="3"/>
  <c r="X262" i="3"/>
  <c r="Z262" i="3" s="1"/>
  <c r="T262" i="3"/>
  <c r="P262" i="3"/>
  <c r="H262" i="3"/>
  <c r="D262" i="3"/>
  <c r="L262" i="3" s="1"/>
  <c r="B262" i="3"/>
  <c r="X261" i="3"/>
  <c r="Z261" i="3" s="1"/>
  <c r="L261" i="3"/>
  <c r="N261" i="3" s="1"/>
  <c r="B261" i="3"/>
  <c r="X260" i="3"/>
  <c r="Z260" i="3" s="1"/>
  <c r="N260" i="3"/>
  <c r="L260" i="3"/>
  <c r="B260" i="3"/>
  <c r="X259" i="3"/>
  <c r="Z259" i="3" s="1"/>
  <c r="L259" i="3"/>
  <c r="N259" i="3" s="1"/>
  <c r="B259" i="3"/>
  <c r="T258" i="3"/>
  <c r="P258" i="3"/>
  <c r="X258" i="3" s="1"/>
  <c r="H258" i="3"/>
  <c r="N258" i="3" s="1"/>
  <c r="D258" i="3"/>
  <c r="L258" i="3" s="1"/>
  <c r="B258" i="3"/>
  <c r="X257" i="3"/>
  <c r="Z257" i="3" s="1"/>
  <c r="N257" i="3"/>
  <c r="L257" i="3"/>
  <c r="B257" i="3"/>
  <c r="Z256" i="3"/>
  <c r="X256" i="3"/>
  <c r="N256" i="3"/>
  <c r="L256" i="3"/>
  <c r="B256" i="3"/>
  <c r="X255" i="3"/>
  <c r="Z255" i="3" s="1"/>
  <c r="L255" i="3"/>
  <c r="N255" i="3" s="1"/>
  <c r="B255" i="3"/>
  <c r="X254" i="3"/>
  <c r="Z254" i="3" s="1"/>
  <c r="T254" i="3"/>
  <c r="P254" i="3"/>
  <c r="N254" i="3"/>
  <c r="L254" i="3"/>
  <c r="H254" i="3"/>
  <c r="D254" i="3"/>
  <c r="B254" i="3"/>
  <c r="Z253" i="3"/>
  <c r="X253" i="3"/>
  <c r="L253" i="3"/>
  <c r="N253" i="3" s="1"/>
  <c r="B253" i="3"/>
  <c r="T252" i="3"/>
  <c r="P252" i="3"/>
  <c r="X252" i="3" s="1"/>
  <c r="L252" i="3"/>
  <c r="H252" i="3"/>
  <c r="N252" i="3" s="1"/>
  <c r="D252" i="3"/>
  <c r="B252" i="3"/>
  <c r="X251" i="3"/>
  <c r="Z251" i="3" s="1"/>
  <c r="L251" i="3"/>
  <c r="N251" i="3" s="1"/>
  <c r="B251" i="3"/>
  <c r="T250" i="3"/>
  <c r="P250" i="3"/>
  <c r="X250" i="3" s="1"/>
  <c r="Z250" i="3" s="1"/>
  <c r="H250" i="3"/>
  <c r="N250" i="3" s="1"/>
  <c r="D250" i="3"/>
  <c r="L250" i="3" s="1"/>
  <c r="B250" i="3"/>
  <c r="X249" i="3"/>
  <c r="Z249" i="3" s="1"/>
  <c r="N249" i="3"/>
  <c r="L249" i="3"/>
  <c r="B249" i="3"/>
  <c r="Z248" i="3"/>
  <c r="X248" i="3"/>
  <c r="T248" i="3"/>
  <c r="P248" i="3"/>
  <c r="N248" i="3"/>
  <c r="L248" i="3"/>
  <c r="H248" i="3"/>
  <c r="D248" i="3"/>
  <c r="B248" i="3"/>
  <c r="X247" i="3"/>
  <c r="Z247" i="3" s="1"/>
  <c r="L247" i="3"/>
  <c r="N247" i="3" s="1"/>
  <c r="B247" i="3"/>
  <c r="X246" i="3"/>
  <c r="T246" i="3"/>
  <c r="Z246" i="3" s="1"/>
  <c r="P246" i="3"/>
  <c r="H246" i="3"/>
  <c r="D246" i="3"/>
  <c r="L246" i="3" s="1"/>
  <c r="B246" i="3"/>
  <c r="X245" i="3"/>
  <c r="Z245" i="3" s="1"/>
  <c r="N245" i="3"/>
  <c r="L245" i="3"/>
  <c r="B245" i="3"/>
  <c r="T244" i="3"/>
  <c r="P244" i="3"/>
  <c r="X244" i="3" s="1"/>
  <c r="H244" i="3"/>
  <c r="D244" i="3"/>
  <c r="L244" i="3" s="1"/>
  <c r="N244" i="3" s="1"/>
  <c r="B244" i="3"/>
  <c r="X243" i="3"/>
  <c r="Z243" i="3" s="1"/>
  <c r="L243" i="3"/>
  <c r="N243" i="3" s="1"/>
  <c r="B243" i="3"/>
  <c r="X242" i="3"/>
  <c r="Z242" i="3" s="1"/>
  <c r="T242" i="3"/>
  <c r="P242" i="3"/>
  <c r="N242" i="3"/>
  <c r="L242" i="3"/>
  <c r="H242" i="3"/>
  <c r="D242" i="3"/>
  <c r="B242" i="3"/>
  <c r="Z241" i="3"/>
  <c r="X241" i="3"/>
  <c r="L241" i="3"/>
  <c r="N241" i="3" s="1"/>
  <c r="B241" i="3"/>
  <c r="X240" i="3"/>
  <c r="Z240" i="3" s="1"/>
  <c r="L240" i="3"/>
  <c r="N240" i="3" s="1"/>
  <c r="B240" i="3"/>
  <c r="T239" i="3"/>
  <c r="P239" i="3"/>
  <c r="X239" i="3" s="1"/>
  <c r="Z239" i="3" s="1"/>
  <c r="N239" i="3"/>
  <c r="H239" i="3"/>
  <c r="D239" i="3"/>
  <c r="L239" i="3" s="1"/>
  <c r="B239" i="3"/>
  <c r="Z238" i="3"/>
  <c r="X238" i="3"/>
  <c r="L238" i="3"/>
  <c r="N238" i="3" s="1"/>
  <c r="B238" i="3"/>
  <c r="X237" i="3"/>
  <c r="Z237" i="3" s="1"/>
  <c r="N237" i="3"/>
  <c r="L237" i="3"/>
  <c r="B237" i="3"/>
  <c r="T236" i="3"/>
  <c r="P236" i="3"/>
  <c r="X236" i="3" s="1"/>
  <c r="H236" i="3"/>
  <c r="D236" i="3"/>
  <c r="L236" i="3" s="1"/>
  <c r="N236" i="3" s="1"/>
  <c r="B236" i="3"/>
  <c r="X235" i="3"/>
  <c r="Z235" i="3" s="1"/>
  <c r="L235" i="3"/>
  <c r="N235" i="3" s="1"/>
  <c r="B235" i="3"/>
  <c r="X234" i="3"/>
  <c r="Z234" i="3" s="1"/>
  <c r="T234" i="3"/>
  <c r="P234" i="3"/>
  <c r="H234" i="3"/>
  <c r="L234" i="3" s="1"/>
  <c r="N234" i="3" s="1"/>
  <c r="D234" i="3"/>
  <c r="B234" i="3"/>
  <c r="Z233" i="3"/>
  <c r="X233" i="3"/>
  <c r="L233" i="3"/>
  <c r="N233" i="3" s="1"/>
  <c r="B233" i="3"/>
  <c r="T232" i="3"/>
  <c r="P232" i="3"/>
  <c r="N232" i="3"/>
  <c r="L232" i="3"/>
  <c r="H232" i="3"/>
  <c r="D232" i="3"/>
  <c r="B232" i="3"/>
  <c r="X231" i="3"/>
  <c r="Z231" i="3" s="1"/>
  <c r="L231" i="3"/>
  <c r="N231" i="3" s="1"/>
  <c r="B231" i="3"/>
  <c r="T230" i="3"/>
  <c r="P230" i="3"/>
  <c r="X230" i="3" s="1"/>
  <c r="Z230" i="3" s="1"/>
  <c r="H230" i="3"/>
  <c r="N230" i="3" s="1"/>
  <c r="D230" i="3"/>
  <c r="L230" i="3" s="1"/>
  <c r="B230" i="3"/>
  <c r="Z229" i="3"/>
  <c r="X229" i="3"/>
  <c r="N229" i="3"/>
  <c r="L229" i="3"/>
  <c r="B229" i="3"/>
  <c r="Z228" i="3"/>
  <c r="X228" i="3"/>
  <c r="L228" i="3"/>
  <c r="N228" i="3" s="1"/>
  <c r="B228" i="3"/>
  <c r="T227" i="3"/>
  <c r="P227" i="3"/>
  <c r="H227" i="3"/>
  <c r="D227" i="3"/>
  <c r="L227" i="3" s="1"/>
  <c r="B227" i="3"/>
  <c r="Z226" i="3"/>
  <c r="X226" i="3"/>
  <c r="N226" i="3"/>
  <c r="L226" i="3"/>
  <c r="B226" i="3"/>
  <c r="Z225" i="3"/>
  <c r="X225" i="3"/>
  <c r="L225" i="3"/>
  <c r="N225" i="3" s="1"/>
  <c r="B225" i="3"/>
  <c r="X224" i="3"/>
  <c r="Z224" i="3" s="1"/>
  <c r="N224" i="3"/>
  <c r="L224" i="3"/>
  <c r="B224" i="3"/>
  <c r="T223" i="3"/>
  <c r="P223" i="3"/>
  <c r="X223" i="3" s="1"/>
  <c r="Z223" i="3" s="1"/>
  <c r="H223" i="3"/>
  <c r="D223" i="3"/>
  <c r="L223" i="3" s="1"/>
  <c r="N223" i="3" s="1"/>
  <c r="B223" i="3"/>
  <c r="Z222" i="3"/>
  <c r="X222" i="3"/>
  <c r="L222" i="3"/>
  <c r="N222" i="3" s="1"/>
  <c r="B222" i="3"/>
  <c r="X221" i="3"/>
  <c r="Z221" i="3" s="1"/>
  <c r="T221" i="3"/>
  <c r="P221" i="3"/>
  <c r="L221" i="3"/>
  <c r="N221" i="3" s="1"/>
  <c r="H221" i="3"/>
  <c r="D221" i="3"/>
  <c r="B221" i="3"/>
  <c r="Z220" i="3"/>
  <c r="X220" i="3"/>
  <c r="N220" i="3"/>
  <c r="L220" i="3"/>
  <c r="B220" i="3"/>
  <c r="X219" i="3"/>
  <c r="Z219" i="3" s="1"/>
  <c r="L219" i="3"/>
  <c r="N219" i="3" s="1"/>
  <c r="B219" i="3"/>
  <c r="Z218" i="3"/>
  <c r="X218" i="3"/>
  <c r="T218" i="3"/>
  <c r="P218" i="3"/>
  <c r="H218" i="3"/>
  <c r="L218" i="3" s="1"/>
  <c r="N218" i="3" s="1"/>
  <c r="D218" i="3"/>
  <c r="B218" i="3"/>
  <c r="Z217" i="3"/>
  <c r="X217" i="3"/>
  <c r="L217" i="3"/>
  <c r="N217" i="3" s="1"/>
  <c r="B217" i="3"/>
  <c r="T216" i="3"/>
  <c r="P216" i="3"/>
  <c r="N216" i="3"/>
  <c r="L216" i="3"/>
  <c r="H216" i="3"/>
  <c r="D216" i="3"/>
  <c r="B216" i="3"/>
  <c r="X215" i="3"/>
  <c r="Z215" i="3" s="1"/>
  <c r="L215" i="3"/>
  <c r="N215" i="3" s="1"/>
  <c r="B215" i="3"/>
  <c r="Z214" i="3"/>
  <c r="X214" i="3"/>
  <c r="L214" i="3"/>
  <c r="N214" i="3" s="1"/>
  <c r="B214" i="3"/>
  <c r="X213" i="3"/>
  <c r="Z213" i="3" s="1"/>
  <c r="N213" i="3"/>
  <c r="L213" i="3"/>
  <c r="B213" i="3"/>
  <c r="Z212" i="3"/>
  <c r="X212" i="3"/>
  <c r="N212" i="3"/>
  <c r="L212" i="3"/>
  <c r="B212" i="3"/>
  <c r="X211" i="3"/>
  <c r="Z211" i="3" s="1"/>
  <c r="L211" i="3"/>
  <c r="N211" i="3" s="1"/>
  <c r="B211" i="3"/>
  <c r="Z210" i="3"/>
  <c r="X210" i="3"/>
  <c r="N210" i="3"/>
  <c r="L210" i="3"/>
  <c r="B210" i="3"/>
  <c r="X209" i="3"/>
  <c r="Z209" i="3" s="1"/>
  <c r="N209" i="3"/>
  <c r="L209" i="3"/>
  <c r="B209" i="3"/>
  <c r="T208" i="3"/>
  <c r="Z208" i="3" s="1"/>
  <c r="P208" i="3"/>
  <c r="X208" i="3" s="1"/>
  <c r="H208" i="3"/>
  <c r="D208" i="3"/>
  <c r="L208" i="3" s="1"/>
  <c r="N208" i="3" s="1"/>
  <c r="B208" i="3"/>
  <c r="X207" i="3"/>
  <c r="Z207" i="3" s="1"/>
  <c r="N207" i="3"/>
  <c r="L207" i="3"/>
  <c r="B207" i="3"/>
  <c r="X206" i="3"/>
  <c r="Z206" i="3" s="1"/>
  <c r="N206" i="3"/>
  <c r="L206" i="3"/>
  <c r="B206" i="3"/>
  <c r="Z205" i="3"/>
  <c r="X205" i="3"/>
  <c r="N205" i="3"/>
  <c r="L205" i="3"/>
  <c r="B205" i="3"/>
  <c r="Z204" i="3"/>
  <c r="X204" i="3"/>
  <c r="L204" i="3"/>
  <c r="N204" i="3" s="1"/>
  <c r="B204" i="3"/>
  <c r="X203" i="3"/>
  <c r="Z203" i="3" s="1"/>
  <c r="L203" i="3"/>
  <c r="N203" i="3" s="1"/>
  <c r="B203" i="3"/>
  <c r="X202" i="3"/>
  <c r="Z202" i="3" s="1"/>
  <c r="N202" i="3"/>
  <c r="L202" i="3"/>
  <c r="B202" i="3"/>
  <c r="Z201" i="3"/>
  <c r="X201" i="3"/>
  <c r="N201" i="3"/>
  <c r="L201" i="3"/>
  <c r="B201" i="3"/>
  <c r="Z200" i="3"/>
  <c r="X200" i="3"/>
  <c r="L200" i="3"/>
  <c r="N200" i="3" s="1"/>
  <c r="B200" i="3"/>
  <c r="X199" i="3"/>
  <c r="Z199" i="3" s="1"/>
  <c r="L199" i="3"/>
  <c r="N199" i="3" s="1"/>
  <c r="B199" i="3"/>
  <c r="X198" i="3"/>
  <c r="Z198" i="3" s="1"/>
  <c r="T198" i="3"/>
  <c r="P198" i="3"/>
  <c r="N198" i="3"/>
  <c r="L198" i="3"/>
  <c r="H198" i="3"/>
  <c r="D198" i="3"/>
  <c r="B198" i="3"/>
  <c r="T197" i="3"/>
  <c r="P197" i="3"/>
  <c r="X197" i="3" s="1"/>
  <c r="Z197" i="3" s="1"/>
  <c r="H197" i="3"/>
  <c r="D197" i="3"/>
  <c r="L197" i="3" s="1"/>
  <c r="Z193" i="3"/>
  <c r="X193" i="3"/>
  <c r="N193" i="3"/>
  <c r="L193" i="3"/>
  <c r="B193" i="3"/>
  <c r="Z192" i="3"/>
  <c r="X192" i="3"/>
  <c r="N192" i="3"/>
  <c r="L192" i="3"/>
  <c r="B192" i="3"/>
  <c r="X191" i="3"/>
  <c r="Z191" i="3" s="1"/>
  <c r="L191" i="3"/>
  <c r="N191" i="3" s="1"/>
  <c r="B191" i="3"/>
  <c r="Z190" i="3"/>
  <c r="X190" i="3"/>
  <c r="N190" i="3"/>
  <c r="L190" i="3"/>
  <c r="B190" i="3"/>
  <c r="Z189" i="3"/>
  <c r="X189" i="3"/>
  <c r="N189" i="3"/>
  <c r="L189" i="3"/>
  <c r="B189" i="3"/>
  <c r="Z188" i="3"/>
  <c r="X188" i="3"/>
  <c r="N188" i="3"/>
  <c r="L188" i="3"/>
  <c r="B188" i="3"/>
  <c r="X187" i="3"/>
  <c r="Z187" i="3" s="1"/>
  <c r="L187" i="3"/>
  <c r="N187" i="3" s="1"/>
  <c r="B187" i="3"/>
  <c r="Z186" i="3"/>
  <c r="X186" i="3"/>
  <c r="N186" i="3"/>
  <c r="L186" i="3"/>
  <c r="B186" i="3"/>
  <c r="Z185" i="3"/>
  <c r="X185" i="3"/>
  <c r="L185" i="3"/>
  <c r="N185" i="3" s="1"/>
  <c r="B185" i="3"/>
  <c r="Z184" i="3"/>
  <c r="X184" i="3"/>
  <c r="N184" i="3"/>
  <c r="L184" i="3"/>
  <c r="B184" i="3"/>
  <c r="X183" i="3"/>
  <c r="Z183" i="3" s="1"/>
  <c r="L183" i="3"/>
  <c r="N183" i="3" s="1"/>
  <c r="B183" i="3"/>
  <c r="Z182" i="3"/>
  <c r="X182" i="3"/>
  <c r="L182" i="3"/>
  <c r="N182" i="3" s="1"/>
  <c r="B182" i="3"/>
  <c r="Z181" i="3"/>
  <c r="X181" i="3"/>
  <c r="L181" i="3"/>
  <c r="N181" i="3" s="1"/>
  <c r="B181" i="3"/>
  <c r="Z180" i="3"/>
  <c r="X180" i="3"/>
  <c r="L180" i="3"/>
  <c r="N180" i="3" s="1"/>
  <c r="B180" i="3"/>
  <c r="X179" i="3"/>
  <c r="Z179" i="3" s="1"/>
  <c r="L179" i="3"/>
  <c r="N179" i="3" s="1"/>
  <c r="B179" i="3"/>
  <c r="Z178" i="3"/>
  <c r="X178" i="3"/>
  <c r="N178" i="3"/>
  <c r="L178" i="3"/>
  <c r="B178" i="3"/>
  <c r="Z177" i="3"/>
  <c r="X177" i="3"/>
  <c r="N177" i="3"/>
  <c r="L177" i="3"/>
  <c r="B177" i="3"/>
  <c r="Z176" i="3"/>
  <c r="X176" i="3"/>
  <c r="L176" i="3"/>
  <c r="N176" i="3" s="1"/>
  <c r="B176" i="3"/>
  <c r="X175" i="3"/>
  <c r="Z175" i="3" s="1"/>
  <c r="L175" i="3"/>
  <c r="N175" i="3" s="1"/>
  <c r="B175" i="3"/>
  <c r="Z174" i="3"/>
  <c r="X174" i="3"/>
  <c r="L174" i="3"/>
  <c r="N174" i="3" s="1"/>
  <c r="B174" i="3"/>
  <c r="Z173" i="3"/>
  <c r="X173" i="3"/>
  <c r="L173" i="3"/>
  <c r="N173" i="3" s="1"/>
  <c r="B173" i="3"/>
  <c r="Z172" i="3"/>
  <c r="X172" i="3"/>
  <c r="L172" i="3"/>
  <c r="N172" i="3" s="1"/>
  <c r="B172" i="3"/>
  <c r="Z171" i="3"/>
  <c r="X171" i="3"/>
  <c r="N171" i="3"/>
  <c r="L171" i="3"/>
  <c r="B171" i="3"/>
  <c r="Z170" i="3"/>
  <c r="X170" i="3"/>
  <c r="L170" i="3"/>
  <c r="N170" i="3" s="1"/>
  <c r="B170" i="3"/>
  <c r="Z169" i="3"/>
  <c r="X169" i="3"/>
  <c r="N169" i="3"/>
  <c r="L169" i="3"/>
  <c r="B169" i="3"/>
  <c r="Z168" i="3"/>
  <c r="X168" i="3"/>
  <c r="L168" i="3"/>
  <c r="N168" i="3" s="1"/>
  <c r="B168" i="3"/>
  <c r="X167" i="3"/>
  <c r="Z167" i="3" s="1"/>
  <c r="L167" i="3"/>
  <c r="N167" i="3" s="1"/>
  <c r="B167" i="3"/>
  <c r="Z166" i="3"/>
  <c r="X166" i="3"/>
  <c r="L166" i="3"/>
  <c r="N166" i="3" s="1"/>
  <c r="B166" i="3"/>
  <c r="Z165" i="3"/>
  <c r="X165" i="3"/>
  <c r="L165" i="3"/>
  <c r="N165" i="3" s="1"/>
  <c r="B165" i="3"/>
  <c r="Z164" i="3"/>
  <c r="X164" i="3"/>
  <c r="L164" i="3"/>
  <c r="N164" i="3" s="1"/>
  <c r="B164" i="3"/>
  <c r="X163" i="3"/>
  <c r="Z163" i="3" s="1"/>
  <c r="L163" i="3"/>
  <c r="N163" i="3" s="1"/>
  <c r="B163" i="3"/>
  <c r="Z162" i="3"/>
  <c r="X162" i="3"/>
  <c r="L162" i="3"/>
  <c r="N162" i="3" s="1"/>
  <c r="B162" i="3"/>
  <c r="Z161" i="3"/>
  <c r="X161" i="3"/>
  <c r="L161" i="3"/>
  <c r="N161" i="3" s="1"/>
  <c r="B161" i="3"/>
  <c r="Z160" i="3"/>
  <c r="X160" i="3"/>
  <c r="L160" i="3"/>
  <c r="N160" i="3" s="1"/>
  <c r="B160" i="3"/>
  <c r="X159" i="3"/>
  <c r="Z159" i="3" s="1"/>
  <c r="L159" i="3"/>
  <c r="N159" i="3" s="1"/>
  <c r="B159" i="3"/>
  <c r="Z158" i="3"/>
  <c r="X158" i="3"/>
  <c r="L158" i="3"/>
  <c r="N158" i="3" s="1"/>
  <c r="B158" i="3"/>
  <c r="Z157" i="3"/>
  <c r="X157" i="3"/>
  <c r="L157" i="3"/>
  <c r="N157" i="3" s="1"/>
  <c r="B157" i="3"/>
  <c r="X156" i="3"/>
  <c r="Z156" i="3" s="1"/>
  <c r="L156" i="3"/>
  <c r="N156" i="3" s="1"/>
  <c r="B156" i="3"/>
  <c r="X155" i="3"/>
  <c r="Z155" i="3" s="1"/>
  <c r="L155" i="3"/>
  <c r="N155" i="3" s="1"/>
  <c r="B155" i="3"/>
  <c r="Z154" i="3"/>
  <c r="X154" i="3"/>
  <c r="L154" i="3"/>
  <c r="N154" i="3" s="1"/>
  <c r="B154" i="3"/>
  <c r="Z153" i="3"/>
  <c r="X153" i="3"/>
  <c r="L153" i="3"/>
  <c r="N153" i="3" s="1"/>
  <c r="B153" i="3"/>
  <c r="X152" i="3"/>
  <c r="Z152" i="3" s="1"/>
  <c r="L152" i="3"/>
  <c r="N152" i="3" s="1"/>
  <c r="B152" i="3"/>
  <c r="X151" i="3"/>
  <c r="Z151" i="3" s="1"/>
  <c r="L151" i="3"/>
  <c r="N151" i="3" s="1"/>
  <c r="B151" i="3"/>
  <c r="Z150" i="3"/>
  <c r="X150" i="3"/>
  <c r="L150" i="3"/>
  <c r="N150" i="3" s="1"/>
  <c r="B150" i="3"/>
  <c r="Z149" i="3"/>
  <c r="X149" i="3"/>
  <c r="L149" i="3"/>
  <c r="N149" i="3" s="1"/>
  <c r="B149" i="3"/>
  <c r="X148" i="3"/>
  <c r="Z148" i="3" s="1"/>
  <c r="L148" i="3"/>
  <c r="N148" i="3" s="1"/>
  <c r="B148" i="3"/>
  <c r="X147" i="3"/>
  <c r="Z147" i="3" s="1"/>
  <c r="L147" i="3"/>
  <c r="N147" i="3" s="1"/>
  <c r="B147" i="3"/>
  <c r="Z146" i="3"/>
  <c r="X146" i="3"/>
  <c r="L146" i="3"/>
  <c r="N146" i="3" s="1"/>
  <c r="B146" i="3"/>
  <c r="Z145" i="3"/>
  <c r="X145" i="3"/>
  <c r="N145" i="3"/>
  <c r="L145" i="3"/>
  <c r="B145" i="3"/>
  <c r="X144" i="3"/>
  <c r="Z144" i="3" s="1"/>
  <c r="L144" i="3"/>
  <c r="N144" i="3" s="1"/>
  <c r="B144" i="3"/>
  <c r="X143" i="3"/>
  <c r="Z143" i="3" s="1"/>
  <c r="L143" i="3"/>
  <c r="N143" i="3" s="1"/>
  <c r="B143" i="3"/>
  <c r="Z142" i="3"/>
  <c r="X142" i="3"/>
  <c r="L142" i="3"/>
  <c r="N142" i="3" s="1"/>
  <c r="B142" i="3"/>
  <c r="Z141" i="3"/>
  <c r="X141" i="3"/>
  <c r="L141" i="3"/>
  <c r="N141" i="3" s="1"/>
  <c r="B141" i="3"/>
  <c r="X140" i="3"/>
  <c r="Z140" i="3" s="1"/>
  <c r="L140" i="3"/>
  <c r="N140" i="3" s="1"/>
  <c r="B140" i="3"/>
  <c r="X139" i="3"/>
  <c r="Z139" i="3" s="1"/>
  <c r="L139" i="3"/>
  <c r="N139" i="3" s="1"/>
  <c r="B139" i="3"/>
  <c r="Z138" i="3"/>
  <c r="X138" i="3"/>
  <c r="L138" i="3"/>
  <c r="N138" i="3" s="1"/>
  <c r="B138" i="3"/>
  <c r="Z137" i="3"/>
  <c r="X137" i="3"/>
  <c r="L137" i="3"/>
  <c r="N137" i="3" s="1"/>
  <c r="B137" i="3"/>
  <c r="X136" i="3"/>
  <c r="Z136" i="3" s="1"/>
  <c r="L136" i="3"/>
  <c r="N136" i="3" s="1"/>
  <c r="B136" i="3"/>
  <c r="T135" i="3"/>
  <c r="P135" i="3"/>
  <c r="X135" i="3" s="1"/>
  <c r="Z135" i="3" s="1"/>
  <c r="H135" i="3"/>
  <c r="N135" i="3" s="1"/>
  <c r="D135" i="3"/>
  <c r="L135" i="3" s="1"/>
  <c r="T133" i="3"/>
  <c r="P133" i="3"/>
  <c r="H133" i="3"/>
  <c r="N133" i="3" s="1"/>
  <c r="D133" i="3"/>
  <c r="B133" i="3"/>
  <c r="Z132" i="3"/>
  <c r="T132" i="3"/>
  <c r="X132" i="3" s="1"/>
  <c r="P132" i="3"/>
  <c r="L132" i="3"/>
  <c r="N132" i="3" s="1"/>
  <c r="H132" i="3"/>
  <c r="D132" i="3"/>
  <c r="B132" i="3"/>
  <c r="Z131" i="3"/>
  <c r="T131" i="3"/>
  <c r="P131" i="3"/>
  <c r="X131" i="3" s="1"/>
  <c r="N131" i="3"/>
  <c r="L131" i="3"/>
  <c r="H131" i="3"/>
  <c r="D131" i="3"/>
  <c r="B131" i="3"/>
  <c r="T130" i="3"/>
  <c r="Z130" i="3" s="1"/>
  <c r="P130" i="3"/>
  <c r="X130" i="3" s="1"/>
  <c r="H130" i="3"/>
  <c r="N130" i="3" s="1"/>
  <c r="D130" i="3"/>
  <c r="B130" i="3"/>
  <c r="T129" i="3"/>
  <c r="P129" i="3"/>
  <c r="L129" i="3"/>
  <c r="H129" i="3"/>
  <c r="N129" i="3" s="1"/>
  <c r="D129" i="3"/>
  <c r="B129" i="3"/>
  <c r="T128" i="3"/>
  <c r="X128" i="3" s="1"/>
  <c r="P128" i="3"/>
  <c r="L128" i="3"/>
  <c r="N128" i="3" s="1"/>
  <c r="H128" i="3"/>
  <c r="D128" i="3"/>
  <c r="B128" i="3"/>
  <c r="Z127" i="3"/>
  <c r="T127" i="3"/>
  <c r="P127" i="3"/>
  <c r="X127" i="3" s="1"/>
  <c r="L127" i="3"/>
  <c r="N127" i="3" s="1"/>
  <c r="H127" i="3"/>
  <c r="D127" i="3"/>
  <c r="B127" i="3"/>
  <c r="T126" i="3"/>
  <c r="Z126" i="3" s="1"/>
  <c r="P126" i="3"/>
  <c r="X126" i="3" s="1"/>
  <c r="H126" i="3"/>
  <c r="N126" i="3" s="1"/>
  <c r="D126" i="3"/>
  <c r="L126" i="3" s="1"/>
  <c r="B126" i="3"/>
  <c r="T125" i="3"/>
  <c r="P125" i="3"/>
  <c r="H125" i="3"/>
  <c r="D125" i="3"/>
  <c r="B125" i="3"/>
  <c r="T124" i="3"/>
  <c r="X124" i="3" s="1"/>
  <c r="P124" i="3"/>
  <c r="L124" i="3"/>
  <c r="N124" i="3" s="1"/>
  <c r="H124" i="3"/>
  <c r="D124" i="3"/>
  <c r="B124" i="3"/>
  <c r="T123" i="3"/>
  <c r="P123" i="3"/>
  <c r="X123" i="3" s="1"/>
  <c r="Z123" i="3" s="1"/>
  <c r="N123" i="3"/>
  <c r="L123" i="3"/>
  <c r="H123" i="3"/>
  <c r="D123" i="3"/>
  <c r="B123" i="3"/>
  <c r="T122" i="3"/>
  <c r="P122" i="3"/>
  <c r="X122" i="3" s="1"/>
  <c r="H122" i="3"/>
  <c r="N122" i="3" s="1"/>
  <c r="D122" i="3"/>
  <c r="L122" i="3" s="1"/>
  <c r="B122" i="3"/>
  <c r="T121" i="3"/>
  <c r="P121" i="3"/>
  <c r="H121" i="3"/>
  <c r="D121" i="3"/>
  <c r="B121" i="3"/>
  <c r="Z120" i="3"/>
  <c r="T120" i="3"/>
  <c r="X120" i="3" s="1"/>
  <c r="P120" i="3"/>
  <c r="L120" i="3"/>
  <c r="N120" i="3" s="1"/>
  <c r="H120" i="3"/>
  <c r="D120" i="3"/>
  <c r="B120" i="3"/>
  <c r="T119" i="3"/>
  <c r="P119" i="3"/>
  <c r="X119" i="3" s="1"/>
  <c r="Z119" i="3" s="1"/>
  <c r="N119" i="3"/>
  <c r="L119" i="3"/>
  <c r="H119" i="3"/>
  <c r="D119" i="3"/>
  <c r="B119" i="3"/>
  <c r="T118" i="3"/>
  <c r="P118" i="3"/>
  <c r="X118" i="3" s="1"/>
  <c r="H118" i="3"/>
  <c r="N118" i="3" s="1"/>
  <c r="D118" i="3"/>
  <c r="L118" i="3" s="1"/>
  <c r="B118" i="3"/>
  <c r="T117" i="3"/>
  <c r="P117" i="3"/>
  <c r="H117" i="3"/>
  <c r="N117" i="3" s="1"/>
  <c r="D117" i="3"/>
  <c r="B117" i="3"/>
  <c r="Z116" i="3"/>
  <c r="T116" i="3"/>
  <c r="X116" i="3" s="1"/>
  <c r="P116" i="3"/>
  <c r="L116" i="3"/>
  <c r="N116" i="3" s="1"/>
  <c r="H116" i="3"/>
  <c r="D116" i="3"/>
  <c r="B116" i="3"/>
  <c r="Z115" i="3"/>
  <c r="T115" i="3"/>
  <c r="P115" i="3"/>
  <c r="X115" i="3" s="1"/>
  <c r="N115" i="3"/>
  <c r="L115" i="3"/>
  <c r="H115" i="3"/>
  <c r="D115" i="3"/>
  <c r="B115" i="3"/>
  <c r="T114" i="3"/>
  <c r="Z114" i="3" s="1"/>
  <c r="P114" i="3"/>
  <c r="H114" i="3"/>
  <c r="N114" i="3" s="1"/>
  <c r="D114" i="3"/>
  <c r="B114" i="3"/>
  <c r="T113" i="3"/>
  <c r="P113" i="3"/>
  <c r="L113" i="3"/>
  <c r="H113" i="3"/>
  <c r="D113" i="3"/>
  <c r="B113" i="3"/>
  <c r="Z112" i="3"/>
  <c r="T112" i="3"/>
  <c r="X112" i="3" s="1"/>
  <c r="P112" i="3"/>
  <c r="L112" i="3"/>
  <c r="N112" i="3" s="1"/>
  <c r="H112" i="3"/>
  <c r="D112" i="3"/>
  <c r="B112" i="3"/>
  <c r="Z111" i="3"/>
  <c r="T111" i="3"/>
  <c r="P111" i="3"/>
  <c r="X111" i="3" s="1"/>
  <c r="L111" i="3"/>
  <c r="N111" i="3" s="1"/>
  <c r="H111" i="3"/>
  <c r="D111" i="3"/>
  <c r="B111" i="3"/>
  <c r="T110" i="3"/>
  <c r="P110" i="3"/>
  <c r="X110" i="3" s="1"/>
  <c r="H110" i="3"/>
  <c r="N110" i="3" s="1"/>
  <c r="D110" i="3"/>
  <c r="L110" i="3" s="1"/>
  <c r="B110" i="3"/>
  <c r="T109" i="3"/>
  <c r="P109" i="3"/>
  <c r="H109" i="3"/>
  <c r="L109" i="3" s="1"/>
  <c r="D109" i="3"/>
  <c r="B109" i="3"/>
  <c r="Z108" i="3"/>
  <c r="T108" i="3"/>
  <c r="X108" i="3" s="1"/>
  <c r="P108" i="3"/>
  <c r="N108" i="3"/>
  <c r="L108" i="3"/>
  <c r="H108" i="3"/>
  <c r="D108" i="3"/>
  <c r="B108" i="3"/>
  <c r="Z107" i="3"/>
  <c r="T107" i="3"/>
  <c r="P107" i="3"/>
  <c r="X107" i="3" s="1"/>
  <c r="L107" i="3"/>
  <c r="N107" i="3" s="1"/>
  <c r="H107" i="3"/>
  <c r="D107" i="3"/>
  <c r="B107" i="3"/>
  <c r="T106" i="3"/>
  <c r="P106" i="3"/>
  <c r="X106" i="3" s="1"/>
  <c r="H106" i="3"/>
  <c r="D106" i="3"/>
  <c r="L106" i="3" s="1"/>
  <c r="B106" i="3"/>
  <c r="T105" i="3"/>
  <c r="P105" i="3"/>
  <c r="H105" i="3"/>
  <c r="D105" i="3"/>
  <c r="B105" i="3"/>
  <c r="Z104" i="3"/>
  <c r="T104" i="3"/>
  <c r="X104" i="3" s="1"/>
  <c r="P104" i="3"/>
  <c r="L104" i="3"/>
  <c r="N104" i="3" s="1"/>
  <c r="H104" i="3"/>
  <c r="D104" i="3"/>
  <c r="B104" i="3"/>
  <c r="T103" i="3"/>
  <c r="P103" i="3"/>
  <c r="X103" i="3" s="1"/>
  <c r="Z103" i="3" s="1"/>
  <c r="L103" i="3"/>
  <c r="N103" i="3" s="1"/>
  <c r="H103" i="3"/>
  <c r="D103" i="3"/>
  <c r="B103" i="3"/>
  <c r="T102" i="3"/>
  <c r="P102" i="3"/>
  <c r="X102" i="3" s="1"/>
  <c r="H102" i="3"/>
  <c r="D102" i="3"/>
  <c r="L102" i="3" s="1"/>
  <c r="B102" i="3"/>
  <c r="T101" i="3"/>
  <c r="P101" i="3"/>
  <c r="L101" i="3"/>
  <c r="H101" i="3"/>
  <c r="D101" i="3"/>
  <c r="B101" i="3"/>
  <c r="T100" i="3"/>
  <c r="X100" i="3" s="1"/>
  <c r="P100" i="3"/>
  <c r="L100" i="3"/>
  <c r="N100" i="3" s="1"/>
  <c r="H100" i="3"/>
  <c r="D100" i="3"/>
  <c r="B100" i="3"/>
  <c r="T99" i="3"/>
  <c r="P99" i="3"/>
  <c r="X99" i="3" s="1"/>
  <c r="Z99" i="3" s="1"/>
  <c r="N99" i="3"/>
  <c r="L99" i="3"/>
  <c r="H99" i="3"/>
  <c r="D99" i="3"/>
  <c r="B99" i="3"/>
  <c r="T98" i="3"/>
  <c r="P98" i="3"/>
  <c r="X98" i="3" s="1"/>
  <c r="H98" i="3"/>
  <c r="N98" i="3" s="1"/>
  <c r="D98" i="3"/>
  <c r="L98" i="3" s="1"/>
  <c r="B98" i="3"/>
  <c r="T97" i="3"/>
  <c r="P97" i="3"/>
  <c r="H97" i="3"/>
  <c r="N97" i="3" s="1"/>
  <c r="D97" i="3"/>
  <c r="B97" i="3"/>
  <c r="T96" i="3"/>
  <c r="X96" i="3" s="1"/>
  <c r="P96" i="3"/>
  <c r="L96" i="3"/>
  <c r="N96" i="3" s="1"/>
  <c r="H96" i="3"/>
  <c r="D96" i="3"/>
  <c r="B96" i="3"/>
  <c r="T95" i="3"/>
  <c r="P95" i="3"/>
  <c r="X95" i="3" s="1"/>
  <c r="Z95" i="3" s="1"/>
  <c r="N95" i="3"/>
  <c r="L95" i="3"/>
  <c r="H95" i="3"/>
  <c r="D95" i="3"/>
  <c r="B95" i="3"/>
  <c r="T94" i="3"/>
  <c r="P94" i="3"/>
  <c r="X94" i="3" s="1"/>
  <c r="H94" i="3"/>
  <c r="D94" i="3"/>
  <c r="L94" i="3" s="1"/>
  <c r="B94" i="3"/>
  <c r="T93" i="3"/>
  <c r="P93" i="3"/>
  <c r="H93" i="3"/>
  <c r="D93" i="3"/>
  <c r="B93" i="3"/>
  <c r="Z92" i="3"/>
  <c r="T92" i="3"/>
  <c r="X92" i="3" s="1"/>
  <c r="P92" i="3"/>
  <c r="N92" i="3"/>
  <c r="L92" i="3"/>
  <c r="H92" i="3"/>
  <c r="D92" i="3"/>
  <c r="B92" i="3"/>
  <c r="T91" i="3"/>
  <c r="P91" i="3"/>
  <c r="X91" i="3" s="1"/>
  <c r="Z91" i="3" s="1"/>
  <c r="L91" i="3"/>
  <c r="N91" i="3" s="1"/>
  <c r="H91" i="3"/>
  <c r="D91" i="3"/>
  <c r="B91" i="3"/>
  <c r="T90" i="3"/>
  <c r="P90" i="3"/>
  <c r="X90" i="3" s="1"/>
  <c r="H90" i="3"/>
  <c r="D90" i="3"/>
  <c r="B90" i="3"/>
  <c r="T89" i="3"/>
  <c r="P89" i="3"/>
  <c r="X89" i="3" s="1"/>
  <c r="H89" i="3"/>
  <c r="N89" i="3" s="1"/>
  <c r="D89" i="3"/>
  <c r="B89" i="3"/>
  <c r="Z88" i="3"/>
  <c r="T88" i="3"/>
  <c r="X88" i="3" s="1"/>
  <c r="P88" i="3"/>
  <c r="L88" i="3"/>
  <c r="H88" i="3"/>
  <c r="D88" i="3"/>
  <c r="B88" i="3"/>
  <c r="T87" i="3"/>
  <c r="P87" i="3"/>
  <c r="X87" i="3" s="1"/>
  <c r="Z87" i="3" s="1"/>
  <c r="L87" i="3"/>
  <c r="N87" i="3" s="1"/>
  <c r="H87" i="3"/>
  <c r="D87" i="3"/>
  <c r="B87" i="3"/>
  <c r="T86" i="3"/>
  <c r="P86" i="3"/>
  <c r="H86" i="3"/>
  <c r="D86" i="3"/>
  <c r="L86" i="3" s="1"/>
  <c r="B86" i="3"/>
  <c r="T85" i="3"/>
  <c r="P85" i="3"/>
  <c r="X85" i="3" s="1"/>
  <c r="H85" i="3"/>
  <c r="N85" i="3" s="1"/>
  <c r="D85" i="3"/>
  <c r="B85" i="3"/>
  <c r="T84" i="3"/>
  <c r="X84" i="3" s="1"/>
  <c r="P84" i="3"/>
  <c r="L84" i="3"/>
  <c r="H84" i="3"/>
  <c r="N84" i="3" s="1"/>
  <c r="D84" i="3"/>
  <c r="B84" i="3"/>
  <c r="T83" i="3"/>
  <c r="P83" i="3"/>
  <c r="X83" i="3" s="1"/>
  <c r="Z83" i="3" s="1"/>
  <c r="L83" i="3"/>
  <c r="N83" i="3" s="1"/>
  <c r="H83" i="3"/>
  <c r="D83" i="3"/>
  <c r="B83" i="3"/>
  <c r="T82" i="3"/>
  <c r="P82" i="3"/>
  <c r="H82" i="3"/>
  <c r="D82" i="3"/>
  <c r="B82" i="3"/>
  <c r="T81" i="3"/>
  <c r="P81" i="3"/>
  <c r="X81" i="3" s="1"/>
  <c r="L81" i="3"/>
  <c r="H81" i="3"/>
  <c r="D81" i="3"/>
  <c r="B81" i="3"/>
  <c r="Z80" i="3"/>
  <c r="X80" i="3"/>
  <c r="T80" i="3"/>
  <c r="P80" i="3"/>
  <c r="L80" i="3"/>
  <c r="H80" i="3"/>
  <c r="N80" i="3" s="1"/>
  <c r="D80" i="3"/>
  <c r="B80" i="3"/>
  <c r="Z79" i="3"/>
  <c r="T79" i="3"/>
  <c r="P79" i="3"/>
  <c r="X79" i="3" s="1"/>
  <c r="L79" i="3"/>
  <c r="N79" i="3" s="1"/>
  <c r="H79" i="3"/>
  <c r="D79" i="3"/>
  <c r="B79" i="3"/>
  <c r="T78" i="3"/>
  <c r="P78" i="3"/>
  <c r="X78" i="3" s="1"/>
  <c r="H78" i="3"/>
  <c r="D78" i="3"/>
  <c r="L78" i="3" s="1"/>
  <c r="B78" i="3"/>
  <c r="T77" i="3"/>
  <c r="P77" i="3"/>
  <c r="L77" i="3"/>
  <c r="H77" i="3"/>
  <c r="D77" i="3"/>
  <c r="B77" i="3"/>
  <c r="T76" i="3"/>
  <c r="P76" i="3"/>
  <c r="L76" i="3"/>
  <c r="H76" i="3"/>
  <c r="D76" i="3"/>
  <c r="B76" i="3"/>
  <c r="T75" i="3"/>
  <c r="P75" i="3"/>
  <c r="N75" i="3"/>
  <c r="L75" i="3"/>
  <c r="H75" i="3"/>
  <c r="D75" i="3"/>
  <c r="B75" i="3"/>
  <c r="T74" i="3"/>
  <c r="P74" i="3"/>
  <c r="H74" i="3"/>
  <c r="D74" i="3"/>
  <c r="L74" i="3" s="1"/>
  <c r="B74" i="3"/>
  <c r="T73" i="3"/>
  <c r="P73" i="3"/>
  <c r="X73" i="3" s="1"/>
  <c r="H73" i="3"/>
  <c r="D73" i="3"/>
  <c r="B73" i="3"/>
  <c r="Z72" i="3"/>
  <c r="X72" i="3"/>
  <c r="T72" i="3"/>
  <c r="P72" i="3"/>
  <c r="L72" i="3"/>
  <c r="H72" i="3"/>
  <c r="D72" i="3"/>
  <c r="B72" i="3"/>
  <c r="T71" i="3"/>
  <c r="Z71" i="3" s="1"/>
  <c r="P71" i="3"/>
  <c r="X71" i="3" s="1"/>
  <c r="L71" i="3"/>
  <c r="N71" i="3" s="1"/>
  <c r="H71" i="3"/>
  <c r="D71" i="3"/>
  <c r="B71" i="3"/>
  <c r="T70" i="3"/>
  <c r="P70" i="3"/>
  <c r="H70" i="3"/>
  <c r="N70" i="3" s="1"/>
  <c r="D70" i="3"/>
  <c r="L70" i="3" s="1"/>
  <c r="B70" i="3"/>
  <c r="T69" i="3"/>
  <c r="P69" i="3"/>
  <c r="X69" i="3" s="1"/>
  <c r="L69" i="3"/>
  <c r="H69" i="3"/>
  <c r="D69" i="3"/>
  <c r="B69" i="3"/>
  <c r="Z68" i="3"/>
  <c r="X68" i="3"/>
  <c r="T68" i="3"/>
  <c r="P68" i="3"/>
  <c r="L68" i="3"/>
  <c r="H68" i="3"/>
  <c r="N68" i="3" s="1"/>
  <c r="D68" i="3"/>
  <c r="B68" i="3"/>
  <c r="T67" i="3"/>
  <c r="P67" i="3"/>
  <c r="L67" i="3"/>
  <c r="N67" i="3" s="1"/>
  <c r="H67" i="3"/>
  <c r="D67" i="3"/>
  <c r="B67" i="3"/>
  <c r="T66" i="3"/>
  <c r="P66" i="3"/>
  <c r="X66" i="3" s="1"/>
  <c r="H66" i="3"/>
  <c r="D66" i="3"/>
  <c r="L66" i="3" s="1"/>
  <c r="B66" i="3"/>
  <c r="T65" i="3"/>
  <c r="P65" i="3"/>
  <c r="L65" i="3"/>
  <c r="H65" i="3"/>
  <c r="D65" i="3"/>
  <c r="B65" i="3"/>
  <c r="T64" i="3"/>
  <c r="X64" i="3" s="1"/>
  <c r="P64" i="3"/>
  <c r="L64" i="3"/>
  <c r="H64" i="3"/>
  <c r="D64" i="3"/>
  <c r="B64" i="3"/>
  <c r="T63" i="3"/>
  <c r="P63" i="3"/>
  <c r="N63" i="3"/>
  <c r="L63" i="3"/>
  <c r="H63" i="3"/>
  <c r="D63" i="3"/>
  <c r="B63" i="3"/>
  <c r="T62" i="3"/>
  <c r="P62" i="3"/>
  <c r="H62" i="3"/>
  <c r="N62" i="3" s="1"/>
  <c r="D62" i="3"/>
  <c r="L62" i="3" s="1"/>
  <c r="B62" i="3"/>
  <c r="T61" i="3"/>
  <c r="P61" i="3"/>
  <c r="X61" i="3" s="1"/>
  <c r="H61" i="3"/>
  <c r="N61" i="3" s="1"/>
  <c r="D61" i="3"/>
  <c r="B61" i="3"/>
  <c r="Z60" i="3"/>
  <c r="X60" i="3"/>
  <c r="T60" i="3"/>
  <c r="P60" i="3"/>
  <c r="L60" i="3"/>
  <c r="H60" i="3"/>
  <c r="D60" i="3"/>
  <c r="B60" i="3"/>
  <c r="T59" i="3"/>
  <c r="Z59" i="3" s="1"/>
  <c r="P59" i="3"/>
  <c r="X59" i="3" s="1"/>
  <c r="L59" i="3"/>
  <c r="N59" i="3" s="1"/>
  <c r="H59" i="3"/>
  <c r="D59" i="3"/>
  <c r="B59" i="3"/>
  <c r="T58" i="3"/>
  <c r="P58" i="3"/>
  <c r="H58" i="3"/>
  <c r="N58" i="3" s="1"/>
  <c r="D58" i="3"/>
  <c r="L58" i="3" s="1"/>
  <c r="B58" i="3"/>
  <c r="T57" i="3"/>
  <c r="P57" i="3"/>
  <c r="X57" i="3" s="1"/>
  <c r="L57" i="3"/>
  <c r="H57" i="3"/>
  <c r="D57" i="3"/>
  <c r="B57" i="3"/>
  <c r="Z56" i="3"/>
  <c r="X56" i="3"/>
  <c r="T56" i="3"/>
  <c r="P56" i="3"/>
  <c r="H56" i="3"/>
  <c r="D56" i="3"/>
  <c r="B56" i="3"/>
  <c r="T55" i="3"/>
  <c r="P55" i="3"/>
  <c r="L55" i="3"/>
  <c r="N55" i="3" s="1"/>
  <c r="H55" i="3"/>
  <c r="D55" i="3"/>
  <c r="B55" i="3"/>
  <c r="T54" i="3"/>
  <c r="Z54" i="3" s="1"/>
  <c r="P54" i="3"/>
  <c r="X54" i="3" s="1"/>
  <c r="H54" i="3"/>
  <c r="D54" i="3"/>
  <c r="B54" i="3"/>
  <c r="T53" i="3"/>
  <c r="P53" i="3"/>
  <c r="X53" i="3" s="1"/>
  <c r="L53" i="3"/>
  <c r="H53" i="3"/>
  <c r="D53" i="3"/>
  <c r="B53" i="3"/>
  <c r="T52" i="3"/>
  <c r="P52" i="3"/>
  <c r="L52" i="3"/>
  <c r="H52" i="3"/>
  <c r="N52" i="3" s="1"/>
  <c r="D52" i="3"/>
  <c r="B52" i="3"/>
  <c r="T51" i="3"/>
  <c r="P51" i="3"/>
  <c r="H51" i="3"/>
  <c r="D51" i="3"/>
  <c r="L51" i="3" s="1"/>
  <c r="N51" i="3" s="1"/>
  <c r="B51" i="3"/>
  <c r="T50" i="3"/>
  <c r="P50" i="3"/>
  <c r="X50" i="3" s="1"/>
  <c r="Z50" i="3" s="1"/>
  <c r="H50" i="3"/>
  <c r="D50" i="3"/>
  <c r="L50" i="3" s="1"/>
  <c r="B50" i="3"/>
  <c r="T49" i="3"/>
  <c r="P49" i="3"/>
  <c r="X49" i="3" s="1"/>
  <c r="N49" i="3"/>
  <c r="H49" i="3"/>
  <c r="L49" i="3" s="1"/>
  <c r="D49" i="3"/>
  <c r="B49" i="3"/>
  <c r="T48" i="3"/>
  <c r="P48" i="3"/>
  <c r="X48" i="3" s="1"/>
  <c r="H48" i="3"/>
  <c r="D48" i="3"/>
  <c r="L48" i="3" s="1"/>
  <c r="B48" i="3"/>
  <c r="T47" i="3"/>
  <c r="P47" i="3"/>
  <c r="H47" i="3"/>
  <c r="D47" i="3"/>
  <c r="L47" i="3" s="1"/>
  <c r="B47" i="3"/>
  <c r="X46" i="3"/>
  <c r="Z46" i="3" s="1"/>
  <c r="T46" i="3"/>
  <c r="P46" i="3"/>
  <c r="L46" i="3"/>
  <c r="N46" i="3" s="1"/>
  <c r="H46" i="3"/>
  <c r="D46" i="3"/>
  <c r="B46" i="3"/>
  <c r="T45" i="3"/>
  <c r="P45" i="3"/>
  <c r="X45" i="3" s="1"/>
  <c r="H45" i="3"/>
  <c r="D45" i="3"/>
  <c r="L45" i="3" s="1"/>
  <c r="N45" i="3" s="1"/>
  <c r="B45" i="3"/>
  <c r="T44" i="3"/>
  <c r="P44" i="3"/>
  <c r="X44" i="3" s="1"/>
  <c r="H44" i="3"/>
  <c r="N44" i="3" s="1"/>
  <c r="D44" i="3"/>
  <c r="L44" i="3" s="1"/>
  <c r="B44" i="3"/>
  <c r="T43" i="3"/>
  <c r="P43" i="3"/>
  <c r="H43" i="3"/>
  <c r="D43" i="3"/>
  <c r="L43" i="3" s="1"/>
  <c r="B43" i="3"/>
  <c r="X42" i="3"/>
  <c r="Z42" i="3" s="1"/>
  <c r="T42" i="3"/>
  <c r="P42" i="3"/>
  <c r="L42" i="3"/>
  <c r="N42" i="3" s="1"/>
  <c r="H42" i="3"/>
  <c r="D42" i="3"/>
  <c r="B42" i="3"/>
  <c r="T41" i="3"/>
  <c r="Z41" i="3" s="1"/>
  <c r="P41" i="3"/>
  <c r="X41" i="3" s="1"/>
  <c r="H41" i="3"/>
  <c r="D41" i="3"/>
  <c r="L41" i="3" s="1"/>
  <c r="N41" i="3" s="1"/>
  <c r="B41" i="3"/>
  <c r="T40" i="3"/>
  <c r="P40" i="3"/>
  <c r="X40" i="3" s="1"/>
  <c r="H40" i="3"/>
  <c r="D40" i="3"/>
  <c r="L40" i="3" s="1"/>
  <c r="B40" i="3"/>
  <c r="T39" i="3"/>
  <c r="P39" i="3"/>
  <c r="H39" i="3"/>
  <c r="N39" i="3" s="1"/>
  <c r="D39" i="3"/>
  <c r="L39" i="3" s="1"/>
  <c r="B39" i="3"/>
  <c r="X38" i="3"/>
  <c r="Z38" i="3" s="1"/>
  <c r="T38" i="3"/>
  <c r="P38" i="3"/>
  <c r="L38" i="3"/>
  <c r="N38" i="3" s="1"/>
  <c r="H38" i="3"/>
  <c r="D38" i="3"/>
  <c r="B38" i="3"/>
  <c r="T37" i="3"/>
  <c r="Z37" i="3" s="1"/>
  <c r="P37" i="3"/>
  <c r="X37" i="3" s="1"/>
  <c r="H37" i="3"/>
  <c r="D37" i="3"/>
  <c r="L37" i="3" s="1"/>
  <c r="N37" i="3" s="1"/>
  <c r="B37" i="3"/>
  <c r="T36" i="3"/>
  <c r="Z36" i="3" s="1"/>
  <c r="P36" i="3"/>
  <c r="X36" i="3" s="1"/>
  <c r="H36" i="3"/>
  <c r="D36" i="3"/>
  <c r="L36" i="3" s="1"/>
  <c r="B36" i="3"/>
  <c r="T35" i="3"/>
  <c r="P35" i="3"/>
  <c r="H35" i="3"/>
  <c r="N35" i="3" s="1"/>
  <c r="D35" i="3"/>
  <c r="L35" i="3" s="1"/>
  <c r="B35" i="3"/>
  <c r="X34" i="3"/>
  <c r="Z34" i="3" s="1"/>
  <c r="T34" i="3"/>
  <c r="P34" i="3"/>
  <c r="L34" i="3"/>
  <c r="N34" i="3" s="1"/>
  <c r="H34" i="3"/>
  <c r="D34" i="3"/>
  <c r="B34" i="3"/>
  <c r="T33" i="3"/>
  <c r="Z33" i="3" s="1"/>
  <c r="P33" i="3"/>
  <c r="X33" i="3" s="1"/>
  <c r="H33" i="3"/>
  <c r="D33" i="3"/>
  <c r="L33" i="3" s="1"/>
  <c r="N33" i="3" s="1"/>
  <c r="B33" i="3"/>
  <c r="T32" i="3"/>
  <c r="Z32" i="3" s="1"/>
  <c r="P32" i="3"/>
  <c r="X32" i="3" s="1"/>
  <c r="H32" i="3"/>
  <c r="N32" i="3" s="1"/>
  <c r="D32" i="3"/>
  <c r="L32" i="3" s="1"/>
  <c r="B32" i="3"/>
  <c r="T31" i="3"/>
  <c r="P31" i="3"/>
  <c r="H31" i="3"/>
  <c r="N31" i="3" s="1"/>
  <c r="D31" i="3"/>
  <c r="L31" i="3" s="1"/>
  <c r="B31" i="3"/>
  <c r="X30" i="3"/>
  <c r="Z30" i="3" s="1"/>
  <c r="T30" i="3"/>
  <c r="P30" i="3"/>
  <c r="L30" i="3"/>
  <c r="N30" i="3" s="1"/>
  <c r="H30" i="3"/>
  <c r="D30" i="3"/>
  <c r="B30" i="3"/>
  <c r="T29" i="3"/>
  <c r="Z29" i="3" s="1"/>
  <c r="P29" i="3"/>
  <c r="X29" i="3" s="1"/>
  <c r="N29" i="3"/>
  <c r="L29" i="3"/>
  <c r="H29" i="3"/>
  <c r="D29" i="3"/>
  <c r="B29" i="3"/>
  <c r="T28" i="3"/>
  <c r="Z28" i="3" s="1"/>
  <c r="P28" i="3"/>
  <c r="X28" i="3" s="1"/>
  <c r="H28" i="3"/>
  <c r="N28" i="3" s="1"/>
  <c r="D28" i="3"/>
  <c r="L28" i="3" s="1"/>
  <c r="B28" i="3"/>
  <c r="T27" i="3"/>
  <c r="P27" i="3"/>
  <c r="H27" i="3"/>
  <c r="N27" i="3" s="1"/>
  <c r="D27" i="3"/>
  <c r="L27" i="3" s="1"/>
  <c r="B27" i="3"/>
  <c r="X26" i="3"/>
  <c r="Z26" i="3" s="1"/>
  <c r="T26" i="3"/>
  <c r="P26" i="3"/>
  <c r="L26" i="3"/>
  <c r="N26" i="3" s="1"/>
  <c r="H26" i="3"/>
  <c r="D26" i="3"/>
  <c r="B26" i="3"/>
  <c r="T25" i="3"/>
  <c r="Z25" i="3" s="1"/>
  <c r="P25" i="3"/>
  <c r="X25" i="3" s="1"/>
  <c r="N25" i="3"/>
  <c r="L25" i="3"/>
  <c r="H25" i="3"/>
  <c r="D25" i="3"/>
  <c r="B25" i="3"/>
  <c r="T24" i="3"/>
  <c r="P24" i="3"/>
  <c r="X24" i="3" s="1"/>
  <c r="H24" i="3"/>
  <c r="N24" i="3" s="1"/>
  <c r="D24" i="3"/>
  <c r="L24" i="3" s="1"/>
  <c r="B24" i="3"/>
  <c r="T23" i="3"/>
  <c r="P23" i="3"/>
  <c r="H23" i="3"/>
  <c r="N23" i="3" s="1"/>
  <c r="D23" i="3"/>
  <c r="L23" i="3" s="1"/>
  <c r="B23" i="3"/>
  <c r="X22" i="3"/>
  <c r="Z22" i="3" s="1"/>
  <c r="T22" i="3"/>
  <c r="P22" i="3"/>
  <c r="L22" i="3"/>
  <c r="N22" i="3" s="1"/>
  <c r="H22" i="3"/>
  <c r="D22" i="3"/>
  <c r="B22" i="3"/>
  <c r="T21" i="3"/>
  <c r="Z21" i="3" s="1"/>
  <c r="P21" i="3"/>
  <c r="X21" i="3" s="1"/>
  <c r="N21" i="3"/>
  <c r="L21" i="3"/>
  <c r="H21" i="3"/>
  <c r="D21" i="3"/>
  <c r="B21" i="3"/>
  <c r="T20" i="3"/>
  <c r="P20" i="3"/>
  <c r="X20" i="3" s="1"/>
  <c r="H20" i="3"/>
  <c r="N20" i="3" s="1"/>
  <c r="D20" i="3"/>
  <c r="L20" i="3" s="1"/>
  <c r="B20" i="3"/>
  <c r="T19" i="3"/>
  <c r="P19" i="3"/>
  <c r="H19" i="3"/>
  <c r="N19" i="3" s="1"/>
  <c r="D19" i="3"/>
  <c r="L19" i="3" s="1"/>
  <c r="B19" i="3"/>
  <c r="X18" i="3"/>
  <c r="Z18" i="3" s="1"/>
  <c r="T18" i="3"/>
  <c r="P18" i="3"/>
  <c r="L18" i="3"/>
  <c r="N18" i="3" s="1"/>
  <c r="H18" i="3"/>
  <c r="D18" i="3"/>
  <c r="B18" i="3"/>
  <c r="T17" i="3"/>
  <c r="Z17" i="3" s="1"/>
  <c r="P17" i="3"/>
  <c r="X17" i="3" s="1"/>
  <c r="N17" i="3"/>
  <c r="L17" i="3"/>
  <c r="H17" i="3"/>
  <c r="D17" i="3"/>
  <c r="B17" i="3"/>
  <c r="T16" i="3"/>
  <c r="P16" i="3"/>
  <c r="X16" i="3" s="1"/>
  <c r="H16" i="3"/>
  <c r="N16" i="3" s="1"/>
  <c r="D16" i="3"/>
  <c r="L16" i="3" s="1"/>
  <c r="B16" i="3"/>
  <c r="T15" i="3"/>
  <c r="P15" i="3"/>
  <c r="H15" i="3"/>
  <c r="N15" i="3" s="1"/>
  <c r="D15" i="3"/>
  <c r="L15" i="3" s="1"/>
  <c r="B15" i="3"/>
  <c r="X14" i="3"/>
  <c r="Z14" i="3" s="1"/>
  <c r="T14" i="3"/>
  <c r="P14" i="3"/>
  <c r="L14" i="3"/>
  <c r="N14" i="3" s="1"/>
  <c r="H14" i="3"/>
  <c r="D14" i="3"/>
  <c r="B14" i="3"/>
  <c r="T13" i="3"/>
  <c r="T12" i="3" s="1"/>
  <c r="P13" i="3"/>
  <c r="X13" i="3" s="1"/>
  <c r="N13" i="3"/>
  <c r="L13" i="3"/>
  <c r="H13" i="3"/>
  <c r="D13" i="3"/>
  <c r="B13" i="3"/>
  <c r="D12" i="3"/>
  <c r="F293" i="3" s="1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24" i="113"/>
  <c r="T22" i="113"/>
  <c r="P12" i="113"/>
  <c r="B21" i="112"/>
  <c r="D20" i="112"/>
  <c r="D16" i="112"/>
  <c r="B25" i="111"/>
  <c r="D24" i="111"/>
  <c r="D22" i="111"/>
  <c r="H20" i="111"/>
  <c r="H16" i="111"/>
  <c r="B13" i="111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4" i="113"/>
  <c r="P22" i="113"/>
  <c r="T20" i="113"/>
  <c r="T16" i="113"/>
  <c r="T13" i="113"/>
  <c r="T24" i="112"/>
  <c r="T22" i="112"/>
  <c r="P12" i="112"/>
  <c r="B21" i="111"/>
  <c r="D20" i="111"/>
  <c r="D16" i="111"/>
  <c r="P21" i="113"/>
  <c r="T15" i="113"/>
  <c r="P13" i="113"/>
  <c r="H12" i="113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P20" i="113"/>
  <c r="P16" i="113"/>
  <c r="D12" i="113"/>
  <c r="P24" i="112"/>
  <c r="P22" i="112"/>
  <c r="T20" i="112"/>
  <c r="T16" i="112"/>
  <c r="T13" i="112"/>
  <c r="T24" i="111"/>
  <c r="T22" i="111"/>
  <c r="P12" i="111"/>
  <c r="H34" i="113"/>
  <c r="H33" i="113"/>
  <c r="H29" i="113"/>
  <c r="H25" i="113"/>
  <c r="P15" i="113"/>
  <c r="D6" i="113"/>
  <c r="P21" i="112"/>
  <c r="T15" i="112"/>
  <c r="P13" i="112"/>
  <c r="H12" i="112"/>
  <c r="P34" i="111"/>
  <c r="P33" i="111"/>
  <c r="P29" i="111"/>
  <c r="P25" i="111"/>
  <c r="T21" i="111"/>
  <c r="T33" i="113"/>
  <c r="D15" i="113"/>
  <c r="D21" i="112"/>
  <c r="T12" i="113"/>
  <c r="D25" i="111"/>
  <c r="T29" i="113"/>
  <c r="T25" i="113"/>
  <c r="H15" i="112"/>
  <c r="H21" i="111"/>
  <c r="B38" i="111"/>
  <c r="D34" i="111"/>
  <c r="D33" i="111"/>
  <c r="D13" i="111"/>
  <c r="D4" i="111"/>
  <c r="B16" i="113"/>
  <c r="B22" i="112"/>
  <c r="D29" i="111"/>
  <c r="P24" i="53"/>
  <c r="P22" i="53"/>
  <c r="T20" i="53"/>
  <c r="T16" i="53"/>
  <c r="T13" i="53"/>
  <c r="P34" i="52"/>
  <c r="P33" i="52"/>
  <c r="P29" i="52"/>
  <c r="P25" i="52"/>
  <c r="T21" i="52"/>
  <c r="P21" i="53"/>
  <c r="T15" i="53"/>
  <c r="P13" i="53"/>
  <c r="H12" i="53"/>
  <c r="P20" i="53"/>
  <c r="P16" i="53"/>
  <c r="D12" i="53"/>
  <c r="P21" i="52"/>
  <c r="T15" i="52"/>
  <c r="P13" i="52"/>
  <c r="H12" i="52"/>
  <c r="H34" i="53"/>
  <c r="H33" i="53"/>
  <c r="H29" i="53"/>
  <c r="H25" i="53"/>
  <c r="P15" i="53"/>
  <c r="D5" i="53"/>
  <c r="P20" i="52"/>
  <c r="P16" i="52"/>
  <c r="D12" i="52"/>
  <c r="B39" i="53"/>
  <c r="H24" i="53"/>
  <c r="H22" i="53"/>
  <c r="H13" i="53"/>
  <c r="D4" i="53"/>
  <c r="H34" i="52"/>
  <c r="H33" i="52"/>
  <c r="H29" i="52"/>
  <c r="H25" i="52"/>
  <c r="P15" i="52"/>
  <c r="D5" i="52"/>
  <c r="B38" i="53"/>
  <c r="D34" i="53"/>
  <c r="D33" i="53"/>
  <c r="D29" i="53"/>
  <c r="D25" i="53"/>
  <c r="H21" i="53"/>
  <c r="D13" i="53"/>
  <c r="B39" i="52"/>
  <c r="H24" i="52"/>
  <c r="H22" i="52"/>
  <c r="H13" i="52"/>
  <c r="D4" i="52"/>
  <c r="P24" i="50"/>
  <c r="P22" i="50"/>
  <c r="T20" i="50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B22" i="53"/>
  <c r="D21" i="53"/>
  <c r="H15" i="53"/>
  <c r="B25" i="52"/>
  <c r="D24" i="52"/>
  <c r="D22" i="52"/>
  <c r="H20" i="52"/>
  <c r="H16" i="52"/>
  <c r="B13" i="52"/>
  <c r="B21" i="53"/>
  <c r="D20" i="53"/>
  <c r="D16" i="53"/>
  <c r="B22" i="52"/>
  <c r="D21" i="52"/>
  <c r="H15" i="52"/>
  <c r="H34" i="50"/>
  <c r="H33" i="50"/>
  <c r="H29" i="50"/>
  <c r="H25" i="50"/>
  <c r="P12" i="52"/>
  <c r="B38" i="50"/>
  <c r="T33" i="50"/>
  <c r="T21" i="50"/>
  <c r="P20" i="50"/>
  <c r="P15" i="50"/>
  <c r="D5" i="50"/>
  <c r="P20" i="49"/>
  <c r="P16" i="49"/>
  <c r="D12" i="49"/>
  <c r="P34" i="47"/>
  <c r="P33" i="47"/>
  <c r="P29" i="47"/>
  <c r="P25" i="47"/>
  <c r="T21" i="47"/>
  <c r="T24" i="46"/>
  <c r="T22" i="46"/>
  <c r="P12" i="46"/>
  <c r="T29" i="53"/>
  <c r="T16" i="52"/>
  <c r="T22" i="50"/>
  <c r="P21" i="50"/>
  <c r="H13" i="50"/>
  <c r="D4" i="50"/>
  <c r="H34" i="49"/>
  <c r="H33" i="49"/>
  <c r="H29" i="49"/>
  <c r="H25" i="49"/>
  <c r="P15" i="49"/>
  <c r="D5" i="49"/>
  <c r="P24" i="47"/>
  <c r="P22" i="47"/>
  <c r="T20" i="47"/>
  <c r="T16" i="47"/>
  <c r="T13" i="47"/>
  <c r="P34" i="46"/>
  <c r="P33" i="46"/>
  <c r="P29" i="46"/>
  <c r="P25" i="46"/>
  <c r="T21" i="46"/>
  <c r="T22" i="53"/>
  <c r="B21" i="52"/>
  <c r="D16" i="52"/>
  <c r="T34" i="50"/>
  <c r="P33" i="50"/>
  <c r="D29" i="50"/>
  <c r="D13" i="50"/>
  <c r="B39" i="49"/>
  <c r="H24" i="49"/>
  <c r="H22" i="49"/>
  <c r="H13" i="49"/>
  <c r="D4" i="49"/>
  <c r="P21" i="47"/>
  <c r="T15" i="47"/>
  <c r="P13" i="47"/>
  <c r="H12" i="47"/>
  <c r="P24" i="46"/>
  <c r="P22" i="46"/>
  <c r="T20" i="46"/>
  <c r="T16" i="46"/>
  <c r="T13" i="46"/>
  <c r="P29" i="53"/>
  <c r="T29" i="52"/>
  <c r="B16" i="52"/>
  <c r="T24" i="50"/>
  <c r="H16" i="50"/>
  <c r="B13" i="50"/>
  <c r="B38" i="49"/>
  <c r="D34" i="49"/>
  <c r="D33" i="49"/>
  <c r="D29" i="49"/>
  <c r="D25" i="49"/>
  <c r="H21" i="49"/>
  <c r="D13" i="49"/>
  <c r="P20" i="47"/>
  <c r="P16" i="47"/>
  <c r="D12" i="47"/>
  <c r="P21" i="46"/>
  <c r="T15" i="46"/>
  <c r="P13" i="46"/>
  <c r="H12" i="46"/>
  <c r="T34" i="53"/>
  <c r="B16" i="53"/>
  <c r="T24" i="52"/>
  <c r="P34" i="50"/>
  <c r="T25" i="50"/>
  <c r="H21" i="50"/>
  <c r="H20" i="50"/>
  <c r="H15" i="50"/>
  <c r="B25" i="49"/>
  <c r="D24" i="49"/>
  <c r="D22" i="49"/>
  <c r="H20" i="49"/>
  <c r="H16" i="49"/>
  <c r="B13" i="49"/>
  <c r="T34" i="52"/>
  <c r="P24" i="52"/>
  <c r="T20" i="52"/>
  <c r="H22" i="50"/>
  <c r="D16" i="50"/>
  <c r="B22" i="49"/>
  <c r="D21" i="49"/>
  <c r="H15" i="49"/>
  <c r="B39" i="47"/>
  <c r="H24" i="47"/>
  <c r="H22" i="47"/>
  <c r="H13" i="47"/>
  <c r="D4" i="47"/>
  <c r="H34" i="46"/>
  <c r="H33" i="46"/>
  <c r="H29" i="46"/>
  <c r="H25" i="46"/>
  <c r="P15" i="46"/>
  <c r="D5" i="46"/>
  <c r="P34" i="53"/>
  <c r="T21" i="53"/>
  <c r="D20" i="52"/>
  <c r="D33" i="50"/>
  <c r="P25" i="50"/>
  <c r="D21" i="50"/>
  <c r="D20" i="50"/>
  <c r="B16" i="50"/>
  <c r="D15" i="50"/>
  <c r="T12" i="50"/>
  <c r="B21" i="49"/>
  <c r="D20" i="49"/>
  <c r="D16" i="49"/>
  <c r="B38" i="47"/>
  <c r="D34" i="47"/>
  <c r="D33" i="47"/>
  <c r="D29" i="47"/>
  <c r="D25" i="47"/>
  <c r="H21" i="47"/>
  <c r="D13" i="47"/>
  <c r="B39" i="46"/>
  <c r="T33" i="53"/>
  <c r="T25" i="53"/>
  <c r="D15" i="53"/>
  <c r="D15" i="52"/>
  <c r="H24" i="50"/>
  <c r="D22" i="50"/>
  <c r="B21" i="50"/>
  <c r="P12" i="50"/>
  <c r="T34" i="49"/>
  <c r="T33" i="49"/>
  <c r="T29" i="49"/>
  <c r="T25" i="49"/>
  <c r="B16" i="49"/>
  <c r="D15" i="49"/>
  <c r="T12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T33" i="52"/>
  <c r="T22" i="52"/>
  <c r="D34" i="50"/>
  <c r="T29" i="50"/>
  <c r="B22" i="50"/>
  <c r="T24" i="49"/>
  <c r="T22" i="49"/>
  <c r="P12" i="49"/>
  <c r="P33" i="53"/>
  <c r="P25" i="53"/>
  <c r="P22" i="52"/>
  <c r="T13" i="52"/>
  <c r="D24" i="50"/>
  <c r="T16" i="50"/>
  <c r="T13" i="50"/>
  <c r="P34" i="49"/>
  <c r="P33" i="49"/>
  <c r="P29" i="49"/>
  <c r="P25" i="49"/>
  <c r="T21" i="49"/>
  <c r="B21" i="47"/>
  <c r="D20" i="47"/>
  <c r="D16" i="47"/>
  <c r="B22" i="46"/>
  <c r="D21" i="46"/>
  <c r="H15" i="46"/>
  <c r="T12" i="53"/>
  <c r="P29" i="50"/>
  <c r="D25" i="50"/>
  <c r="T15" i="50"/>
  <c r="P13" i="50"/>
  <c r="H12" i="50"/>
  <c r="P24" i="49"/>
  <c r="P22" i="49"/>
  <c r="T20" i="49"/>
  <c r="T16" i="49"/>
  <c r="T13" i="49"/>
  <c r="T34" i="47"/>
  <c r="T33" i="47"/>
  <c r="T29" i="47"/>
  <c r="T25" i="47"/>
  <c r="B16" i="47"/>
  <c r="D15" i="47"/>
  <c r="T12" i="47"/>
  <c r="B21" i="46"/>
  <c r="D20" i="46"/>
  <c r="D16" i="46"/>
  <c r="B22" i="47"/>
  <c r="D15" i="46"/>
  <c r="B22" i="44"/>
  <c r="D21" i="44"/>
  <c r="H15" i="44"/>
  <c r="B25" i="43"/>
  <c r="D24" i="43"/>
  <c r="D22" i="43"/>
  <c r="H20" i="43"/>
  <c r="H16" i="43"/>
  <c r="B13" i="43"/>
  <c r="T15" i="49"/>
  <c r="T34" i="46"/>
  <c r="B21" i="44"/>
  <c r="D20" i="44"/>
  <c r="D16" i="44"/>
  <c r="B22" i="43"/>
  <c r="D21" i="43"/>
  <c r="H15" i="43"/>
  <c r="T12" i="52"/>
  <c r="P13" i="49"/>
  <c r="H34" i="47"/>
  <c r="P15" i="47"/>
  <c r="H22" i="46"/>
  <c r="H13" i="46"/>
  <c r="T34" i="44"/>
  <c r="T33" i="44"/>
  <c r="T29" i="44"/>
  <c r="T25" i="44"/>
  <c r="B16" i="44"/>
  <c r="D15" i="44"/>
  <c r="T12" i="44"/>
  <c r="B21" i="43"/>
  <c r="D20" i="43"/>
  <c r="D16" i="43"/>
  <c r="B25" i="50"/>
  <c r="H12" i="49"/>
  <c r="D21" i="47"/>
  <c r="H15" i="47"/>
  <c r="D22" i="46"/>
  <c r="B13" i="46"/>
  <c r="T24" i="44"/>
  <c r="T22" i="44"/>
  <c r="P12" i="44"/>
  <c r="T34" i="43"/>
  <c r="T33" i="43"/>
  <c r="T29" i="43"/>
  <c r="T25" i="43"/>
  <c r="B16" i="43"/>
  <c r="D15" i="43"/>
  <c r="T12" i="43"/>
  <c r="T33" i="46"/>
  <c r="T25" i="46"/>
  <c r="T12" i="46"/>
  <c r="P34" i="44"/>
  <c r="P33" i="44"/>
  <c r="P29" i="44"/>
  <c r="P25" i="44"/>
  <c r="T21" i="44"/>
  <c r="T24" i="43"/>
  <c r="T22" i="43"/>
  <c r="P12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H33" i="47"/>
  <c r="H25" i="47"/>
  <c r="P16" i="46"/>
  <c r="D12" i="46"/>
  <c r="P24" i="44"/>
  <c r="P22" i="44"/>
  <c r="T20" i="44"/>
  <c r="T16" i="44"/>
  <c r="T13" i="44"/>
  <c r="P34" i="43"/>
  <c r="P33" i="43"/>
  <c r="P29" i="43"/>
  <c r="P25" i="43"/>
  <c r="T21" i="43"/>
  <c r="D4" i="46"/>
  <c r="P21" i="44"/>
  <c r="T15" i="44"/>
  <c r="P13" i="44"/>
  <c r="H12" i="44"/>
  <c r="P24" i="43"/>
  <c r="P22" i="43"/>
  <c r="T20" i="43"/>
  <c r="T16" i="43"/>
  <c r="T13" i="43"/>
  <c r="T24" i="53"/>
  <c r="T24" i="47"/>
  <c r="P12" i="47"/>
  <c r="B25" i="46"/>
  <c r="H16" i="46"/>
  <c r="P20" i="44"/>
  <c r="P16" i="44"/>
  <c r="D12" i="44"/>
  <c r="P21" i="43"/>
  <c r="T15" i="43"/>
  <c r="P13" i="43"/>
  <c r="H12" i="43"/>
  <c r="P16" i="50"/>
  <c r="D5" i="47"/>
  <c r="B16" i="46"/>
  <c r="H34" i="44"/>
  <c r="H33" i="44"/>
  <c r="H29" i="44"/>
  <c r="H25" i="44"/>
  <c r="P15" i="44"/>
  <c r="D5" i="44"/>
  <c r="P20" i="43"/>
  <c r="P16" i="43"/>
  <c r="D12" i="43"/>
  <c r="P12" i="53"/>
  <c r="B39" i="50"/>
  <c r="P21" i="49"/>
  <c r="P20" i="46"/>
  <c r="B39" i="44"/>
  <c r="H24" i="44"/>
  <c r="H22" i="44"/>
  <c r="H13" i="44"/>
  <c r="D4" i="44"/>
  <c r="H34" i="43"/>
  <c r="H33" i="43"/>
  <c r="H29" i="43"/>
  <c r="H25" i="43"/>
  <c r="P15" i="43"/>
  <c r="D5" i="43"/>
  <c r="T25" i="52"/>
  <c r="D12" i="50"/>
  <c r="H29" i="47"/>
  <c r="D24" i="46"/>
  <c r="H20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P24" i="41"/>
  <c r="P22" i="41"/>
  <c r="T20" i="41"/>
  <c r="T16" i="41"/>
  <c r="T13" i="41"/>
  <c r="P34" i="40"/>
  <c r="P33" i="40"/>
  <c r="P29" i="40"/>
  <c r="P25" i="40"/>
  <c r="T21" i="40"/>
  <c r="B39" i="43"/>
  <c r="P25" i="41"/>
  <c r="H22" i="41"/>
  <c r="D21" i="41"/>
  <c r="H13" i="41"/>
  <c r="H29" i="40"/>
  <c r="T22" i="40"/>
  <c r="P21" i="40"/>
  <c r="D16" i="40"/>
  <c r="H12" i="40"/>
  <c r="D29" i="44"/>
  <c r="H34" i="41"/>
  <c r="D22" i="41"/>
  <c r="B21" i="41"/>
  <c r="P15" i="41"/>
  <c r="B13" i="41"/>
  <c r="T34" i="40"/>
  <c r="D29" i="40"/>
  <c r="P22" i="40"/>
  <c r="B16" i="40"/>
  <c r="T13" i="40"/>
  <c r="D12" i="40"/>
  <c r="T29" i="41"/>
  <c r="H24" i="41"/>
  <c r="B22" i="41"/>
  <c r="P16" i="41"/>
  <c r="T24" i="40"/>
  <c r="H20" i="40"/>
  <c r="P13" i="40"/>
  <c r="D5" i="40"/>
  <c r="T22" i="47"/>
  <c r="D25" i="44"/>
  <c r="H13" i="43"/>
  <c r="H25" i="41"/>
  <c r="D24" i="41"/>
  <c r="T25" i="40"/>
  <c r="P24" i="40"/>
  <c r="H21" i="40"/>
  <c r="D4" i="43"/>
  <c r="P29" i="41"/>
  <c r="H15" i="41"/>
  <c r="T12" i="41"/>
  <c r="H33" i="40"/>
  <c r="D20" i="40"/>
  <c r="T15" i="40"/>
  <c r="B21" i="38"/>
  <c r="D20" i="38"/>
  <c r="D16" i="38"/>
  <c r="B22" i="37"/>
  <c r="D21" i="37"/>
  <c r="H15" i="37"/>
  <c r="B25" i="41"/>
  <c r="H16" i="41"/>
  <c r="P12" i="41"/>
  <c r="D33" i="40"/>
  <c r="D21" i="40"/>
  <c r="T16" i="40"/>
  <c r="D13" i="40"/>
  <c r="T29" i="46"/>
  <c r="H21" i="44"/>
  <c r="B39" i="41"/>
  <c r="T33" i="41"/>
  <c r="T21" i="41"/>
  <c r="P20" i="41"/>
  <c r="D15" i="41"/>
  <c r="H34" i="40"/>
  <c r="D22" i="40"/>
  <c r="B21" i="40"/>
  <c r="P15" i="40"/>
  <c r="B13" i="40"/>
  <c r="H24" i="46"/>
  <c r="H29" i="41"/>
  <c r="T22" i="41"/>
  <c r="P21" i="41"/>
  <c r="D16" i="41"/>
  <c r="H12" i="41"/>
  <c r="D34" i="40"/>
  <c r="T29" i="40"/>
  <c r="B22" i="40"/>
  <c r="P16" i="40"/>
  <c r="P34" i="38"/>
  <c r="P33" i="38"/>
  <c r="B38" i="44"/>
  <c r="H24" i="43"/>
  <c r="T34" i="41"/>
  <c r="P33" i="41"/>
  <c r="B16" i="41"/>
  <c r="D12" i="41"/>
  <c r="H25" i="40"/>
  <c r="D24" i="40"/>
  <c r="H22" i="43"/>
  <c r="T24" i="41"/>
  <c r="H20" i="41"/>
  <c r="P13" i="41"/>
  <c r="D5" i="41"/>
  <c r="D25" i="40"/>
  <c r="T20" i="40"/>
  <c r="H15" i="40"/>
  <c r="T12" i="40"/>
  <c r="D33" i="44"/>
  <c r="D13" i="44"/>
  <c r="H33" i="41"/>
  <c r="D20" i="41"/>
  <c r="T15" i="41"/>
  <c r="B38" i="40"/>
  <c r="T33" i="40"/>
  <c r="P20" i="40"/>
  <c r="D15" i="40"/>
  <c r="H34" i="38"/>
  <c r="H33" i="38"/>
  <c r="H29" i="38"/>
  <c r="H25" i="38"/>
  <c r="P15" i="38"/>
  <c r="D5" i="38"/>
  <c r="P20" i="37"/>
  <c r="P16" i="37"/>
  <c r="D12" i="37"/>
  <c r="B22" i="38"/>
  <c r="P16" i="38"/>
  <c r="P34" i="37"/>
  <c r="T25" i="37"/>
  <c r="H20" i="37"/>
  <c r="P13" i="37"/>
  <c r="D4" i="37"/>
  <c r="B21" i="35"/>
  <c r="D20" i="35"/>
  <c r="D16" i="35"/>
  <c r="B22" i="34"/>
  <c r="D21" i="34"/>
  <c r="H15" i="34"/>
  <c r="B25" i="40"/>
  <c r="P29" i="38"/>
  <c r="D24" i="38"/>
  <c r="T12" i="38"/>
  <c r="H33" i="37"/>
  <c r="P24" i="37"/>
  <c r="H21" i="37"/>
  <c r="D20" i="37"/>
  <c r="T34" i="35"/>
  <c r="T33" i="35"/>
  <c r="T29" i="35"/>
  <c r="T25" i="35"/>
  <c r="B16" i="35"/>
  <c r="D15" i="35"/>
  <c r="T12" i="35"/>
  <c r="B21" i="34"/>
  <c r="D20" i="34"/>
  <c r="D16" i="34"/>
  <c r="D34" i="38"/>
  <c r="D25" i="38"/>
  <c r="T20" i="38"/>
  <c r="H15" i="38"/>
  <c r="P12" i="38"/>
  <c r="P25" i="37"/>
  <c r="H22" i="37"/>
  <c r="T15" i="37"/>
  <c r="H13" i="37"/>
  <c r="T24" i="35"/>
  <c r="T22" i="35"/>
  <c r="P12" i="35"/>
  <c r="T34" i="34"/>
  <c r="T33" i="34"/>
  <c r="T29" i="34"/>
  <c r="T25" i="34"/>
  <c r="B16" i="34"/>
  <c r="D15" i="34"/>
  <c r="T12" i="34"/>
  <c r="B25" i="38"/>
  <c r="T21" i="38"/>
  <c r="H16" i="38"/>
  <c r="D15" i="38"/>
  <c r="H34" i="37"/>
  <c r="D33" i="37"/>
  <c r="B21" i="37"/>
  <c r="T16" i="37"/>
  <c r="P15" i="37"/>
  <c r="D13" i="37"/>
  <c r="P34" i="35"/>
  <c r="P33" i="35"/>
  <c r="P29" i="35"/>
  <c r="P25" i="35"/>
  <c r="T21" i="35"/>
  <c r="T24" i="34"/>
  <c r="T22" i="34"/>
  <c r="P12" i="34"/>
  <c r="T22" i="38"/>
  <c r="P20" i="38"/>
  <c r="T29" i="37"/>
  <c r="H24" i="37"/>
  <c r="D22" i="37"/>
  <c r="B13" i="37"/>
  <c r="P24" i="35"/>
  <c r="P22" i="35"/>
  <c r="T20" i="35"/>
  <c r="T16" i="35"/>
  <c r="T13" i="35"/>
  <c r="P34" i="34"/>
  <c r="P33" i="34"/>
  <c r="P29" i="34"/>
  <c r="P25" i="34"/>
  <c r="T21" i="34"/>
  <c r="B39" i="32"/>
  <c r="H24" i="32"/>
  <c r="H22" i="32"/>
  <c r="T33" i="38"/>
  <c r="P21" i="38"/>
  <c r="B16" i="38"/>
  <c r="H12" i="38"/>
  <c r="D34" i="37"/>
  <c r="H25" i="37"/>
  <c r="P21" i="35"/>
  <c r="T15" i="35"/>
  <c r="P13" i="35"/>
  <c r="H12" i="35"/>
  <c r="P24" i="34"/>
  <c r="P22" i="34"/>
  <c r="T20" i="34"/>
  <c r="T16" i="34"/>
  <c r="T13" i="34"/>
  <c r="H16" i="40"/>
  <c r="D29" i="38"/>
  <c r="T24" i="38"/>
  <c r="P22" i="38"/>
  <c r="T13" i="38"/>
  <c r="D12" i="38"/>
  <c r="P29" i="37"/>
  <c r="D24" i="37"/>
  <c r="T12" i="37"/>
  <c r="P20" i="35"/>
  <c r="P16" i="35"/>
  <c r="D12" i="35"/>
  <c r="P21" i="34"/>
  <c r="T15" i="34"/>
  <c r="P13" i="34"/>
  <c r="H12" i="34"/>
  <c r="D34" i="44"/>
  <c r="P34" i="41"/>
  <c r="D4" i="41"/>
  <c r="B39" i="38"/>
  <c r="T25" i="38"/>
  <c r="H20" i="38"/>
  <c r="P13" i="38"/>
  <c r="D4" i="38"/>
  <c r="D25" i="37"/>
  <c r="T20" i="37"/>
  <c r="P12" i="37"/>
  <c r="H34" i="35"/>
  <c r="H33" i="35"/>
  <c r="H29" i="35"/>
  <c r="H25" i="35"/>
  <c r="P15" i="35"/>
  <c r="D5" i="35"/>
  <c r="P20" i="34"/>
  <c r="P16" i="34"/>
  <c r="D12" i="34"/>
  <c r="P12" i="40"/>
  <c r="B38" i="38"/>
  <c r="T34" i="38"/>
  <c r="P24" i="38"/>
  <c r="H21" i="38"/>
  <c r="B39" i="37"/>
  <c r="T33" i="37"/>
  <c r="B25" i="37"/>
  <c r="T21" i="37"/>
  <c r="H16" i="37"/>
  <c r="D15" i="37"/>
  <c r="B39" i="35"/>
  <c r="H24" i="35"/>
  <c r="H22" i="35"/>
  <c r="H13" i="35"/>
  <c r="D4" i="35"/>
  <c r="H34" i="34"/>
  <c r="H33" i="34"/>
  <c r="H29" i="34"/>
  <c r="H25" i="34"/>
  <c r="P15" i="34"/>
  <c r="D5" i="34"/>
  <c r="P25" i="38"/>
  <c r="H22" i="38"/>
  <c r="T15" i="38"/>
  <c r="H13" i="38"/>
  <c r="B38" i="37"/>
  <c r="H29" i="37"/>
  <c r="T22" i="37"/>
  <c r="D16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T25" i="41"/>
  <c r="D33" i="38"/>
  <c r="T29" i="38"/>
  <c r="H24" i="38"/>
  <c r="D22" i="38"/>
  <c r="B13" i="38"/>
  <c r="D29" i="37"/>
  <c r="T24" i="37"/>
  <c r="P22" i="37"/>
  <c r="T13" i="37"/>
  <c r="D5" i="37"/>
  <c r="B22" i="35"/>
  <c r="D21" i="35"/>
  <c r="H15" i="35"/>
  <c r="B25" i="34"/>
  <c r="D24" i="34"/>
  <c r="D22" i="34"/>
  <c r="H20" i="34"/>
  <c r="H16" i="34"/>
  <c r="B13" i="34"/>
  <c r="P34" i="32"/>
  <c r="P33" i="32"/>
  <c r="P29" i="32"/>
  <c r="P25" i="32"/>
  <c r="T21" i="32"/>
  <c r="P21" i="37"/>
  <c r="H16" i="35"/>
  <c r="D34" i="32"/>
  <c r="T29" i="32"/>
  <c r="B22" i="32"/>
  <c r="P16" i="32"/>
  <c r="D12" i="32"/>
  <c r="P21" i="31"/>
  <c r="T15" i="31"/>
  <c r="P13" i="31"/>
  <c r="H12" i="31"/>
  <c r="B39" i="29"/>
  <c r="H24" i="29"/>
  <c r="H22" i="29"/>
  <c r="H13" i="29"/>
  <c r="D4" i="29"/>
  <c r="H34" i="28"/>
  <c r="H33" i="28"/>
  <c r="H29" i="28"/>
  <c r="H25" i="28"/>
  <c r="P15" i="28"/>
  <c r="D5" i="28"/>
  <c r="H34" i="26"/>
  <c r="H33" i="26"/>
  <c r="H29" i="26"/>
  <c r="H25" i="26"/>
  <c r="P15" i="26"/>
  <c r="D5" i="26"/>
  <c r="P20" i="25"/>
  <c r="P16" i="25"/>
  <c r="D12" i="25"/>
  <c r="T16" i="38"/>
  <c r="H21" i="34"/>
  <c r="H25" i="32"/>
  <c r="D24" i="32"/>
  <c r="P15" i="32"/>
  <c r="D5" i="32"/>
  <c r="P20" i="31"/>
  <c r="P16" i="31"/>
  <c r="D12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B39" i="26"/>
  <c r="H24" i="26"/>
  <c r="H22" i="26"/>
  <c r="H13" i="26"/>
  <c r="D4" i="26"/>
  <c r="H34" i="25"/>
  <c r="H33" i="25"/>
  <c r="H29" i="25"/>
  <c r="H25" i="25"/>
  <c r="P15" i="25"/>
  <c r="D5" i="25"/>
  <c r="B13" i="35"/>
  <c r="D25" i="32"/>
  <c r="T20" i="32"/>
  <c r="H13" i="32"/>
  <c r="D4" i="32"/>
  <c r="H34" i="31"/>
  <c r="H33" i="31"/>
  <c r="H29" i="31"/>
  <c r="H25" i="31"/>
  <c r="P15" i="31"/>
  <c r="D5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B38" i="26"/>
  <c r="D34" i="26"/>
  <c r="D33" i="26"/>
  <c r="D29" i="26"/>
  <c r="D25" i="26"/>
  <c r="H21" i="26"/>
  <c r="D13" i="26"/>
  <c r="B39" i="25"/>
  <c r="D13" i="38"/>
  <c r="B16" i="37"/>
  <c r="B38" i="34"/>
  <c r="B25" i="32"/>
  <c r="D13" i="32"/>
  <c r="B39" i="31"/>
  <c r="H24" i="31"/>
  <c r="H22" i="31"/>
  <c r="H13" i="31"/>
  <c r="D4" i="31"/>
  <c r="B22" i="29"/>
  <c r="D21" i="29"/>
  <c r="H15" i="29"/>
  <c r="B25" i="28"/>
  <c r="D24" i="28"/>
  <c r="D22" i="28"/>
  <c r="H20" i="28"/>
  <c r="H16" i="28"/>
  <c r="B13" i="28"/>
  <c r="B25" i="26"/>
  <c r="D24" i="26"/>
  <c r="D22" i="26"/>
  <c r="H20" i="26"/>
  <c r="H16" i="26"/>
  <c r="B38" i="32"/>
  <c r="T33" i="32"/>
  <c r="P20" i="32"/>
  <c r="H16" i="32"/>
  <c r="B13" i="32"/>
  <c r="B38" i="31"/>
  <c r="D34" i="31"/>
  <c r="D33" i="31"/>
  <c r="D29" i="31"/>
  <c r="D25" i="31"/>
  <c r="H21" i="31"/>
  <c r="D13" i="31"/>
  <c r="B21" i="29"/>
  <c r="D20" i="29"/>
  <c r="D16" i="29"/>
  <c r="B22" i="28"/>
  <c r="D21" i="28"/>
  <c r="H15" i="28"/>
  <c r="B22" i="26"/>
  <c r="D21" i="26"/>
  <c r="H15" i="26"/>
  <c r="B25" i="25"/>
  <c r="D24" i="25"/>
  <c r="D22" i="25"/>
  <c r="H20" i="25"/>
  <c r="H16" i="25"/>
  <c r="B13" i="25"/>
  <c r="T34" i="37"/>
  <c r="H12" i="37"/>
  <c r="D34" i="34"/>
  <c r="H29" i="32"/>
  <c r="T22" i="32"/>
  <c r="P21" i="32"/>
  <c r="H15" i="32"/>
  <c r="B25" i="31"/>
  <c r="D24" i="31"/>
  <c r="D22" i="31"/>
  <c r="H20" i="31"/>
  <c r="H16" i="31"/>
  <c r="B13" i="31"/>
  <c r="T34" i="29"/>
  <c r="T33" i="29"/>
  <c r="T29" i="29"/>
  <c r="T25" i="29"/>
  <c r="B16" i="29"/>
  <c r="D15" i="29"/>
  <c r="T12" i="29"/>
  <c r="B21" i="28"/>
  <c r="D20" i="28"/>
  <c r="D16" i="28"/>
  <c r="B21" i="26"/>
  <c r="D20" i="26"/>
  <c r="D16" i="26"/>
  <c r="B22" i="25"/>
  <c r="D21" i="25"/>
  <c r="H15" i="25"/>
  <c r="P33" i="37"/>
  <c r="B25" i="35"/>
  <c r="D33" i="34"/>
  <c r="D13" i="34"/>
  <c r="T34" i="32"/>
  <c r="D29" i="32"/>
  <c r="P22" i="32"/>
  <c r="D16" i="32"/>
  <c r="B22" i="31"/>
  <c r="D21" i="31"/>
  <c r="H15" i="31"/>
  <c r="T24" i="29"/>
  <c r="T22" i="29"/>
  <c r="P12" i="29"/>
  <c r="T34" i="28"/>
  <c r="T33" i="28"/>
  <c r="T29" i="28"/>
  <c r="T25" i="28"/>
  <c r="B16" i="28"/>
  <c r="D15" i="28"/>
  <c r="T12" i="28"/>
  <c r="T34" i="26"/>
  <c r="T33" i="26"/>
  <c r="T29" i="26"/>
  <c r="T25" i="26"/>
  <c r="B16" i="26"/>
  <c r="D15" i="26"/>
  <c r="T12" i="26"/>
  <c r="B21" i="25"/>
  <c r="D20" i="25"/>
  <c r="D16" i="25"/>
  <c r="D24" i="35"/>
  <c r="T24" i="32"/>
  <c r="H20" i="32"/>
  <c r="B16" i="32"/>
  <c r="D15" i="32"/>
  <c r="T12" i="32"/>
  <c r="B21" i="31"/>
  <c r="D20" i="31"/>
  <c r="D16" i="31"/>
  <c r="P34" i="29"/>
  <c r="P33" i="29"/>
  <c r="P29" i="29"/>
  <c r="P25" i="29"/>
  <c r="T21" i="29"/>
  <c r="T24" i="28"/>
  <c r="T22" i="28"/>
  <c r="P12" i="28"/>
  <c r="T24" i="26"/>
  <c r="T22" i="26"/>
  <c r="P12" i="26"/>
  <c r="T34" i="25"/>
  <c r="T33" i="25"/>
  <c r="T29" i="25"/>
  <c r="T25" i="25"/>
  <c r="B16" i="25"/>
  <c r="D15" i="25"/>
  <c r="T12" i="25"/>
  <c r="D22" i="35"/>
  <c r="D29" i="34"/>
  <c r="T25" i="32"/>
  <c r="P24" i="32"/>
  <c r="H21" i="32"/>
  <c r="P12" i="32"/>
  <c r="T34" i="31"/>
  <c r="T33" i="31"/>
  <c r="T29" i="31"/>
  <c r="T25" i="31"/>
  <c r="B16" i="31"/>
  <c r="D15" i="31"/>
  <c r="T12" i="31"/>
  <c r="P24" i="29"/>
  <c r="P22" i="29"/>
  <c r="T20" i="29"/>
  <c r="T16" i="29"/>
  <c r="T13" i="29"/>
  <c r="P34" i="28"/>
  <c r="P33" i="28"/>
  <c r="P29" i="28"/>
  <c r="P25" i="28"/>
  <c r="T21" i="28"/>
  <c r="P34" i="26"/>
  <c r="P33" i="26"/>
  <c r="P29" i="26"/>
  <c r="P25" i="26"/>
  <c r="T21" i="26"/>
  <c r="T24" i="25"/>
  <c r="T22" i="25"/>
  <c r="P12" i="25"/>
  <c r="H33" i="32"/>
  <c r="D20" i="32"/>
  <c r="T24" i="31"/>
  <c r="T22" i="31"/>
  <c r="P12" i="31"/>
  <c r="P21" i="29"/>
  <c r="T15" i="29"/>
  <c r="P13" i="29"/>
  <c r="H12" i="29"/>
  <c r="P24" i="28"/>
  <c r="P22" i="28"/>
  <c r="T20" i="28"/>
  <c r="T16" i="28"/>
  <c r="T13" i="28"/>
  <c r="P24" i="26"/>
  <c r="P22" i="26"/>
  <c r="T20" i="26"/>
  <c r="T16" i="26"/>
  <c r="T13" i="26"/>
  <c r="P34" i="25"/>
  <c r="P33" i="25"/>
  <c r="P29" i="25"/>
  <c r="P25" i="25"/>
  <c r="T21" i="25"/>
  <c r="D21" i="38"/>
  <c r="H34" i="32"/>
  <c r="D22" i="32"/>
  <c r="B21" i="32"/>
  <c r="T15" i="32"/>
  <c r="P13" i="32"/>
  <c r="H12" i="32"/>
  <c r="P24" i="31"/>
  <c r="P22" i="31"/>
  <c r="T20" i="31"/>
  <c r="T16" i="31"/>
  <c r="T13" i="31"/>
  <c r="H34" i="29"/>
  <c r="H33" i="29"/>
  <c r="H29" i="29"/>
  <c r="H25" i="29"/>
  <c r="P15" i="29"/>
  <c r="D5" i="29"/>
  <c r="P20" i="28"/>
  <c r="P16" i="28"/>
  <c r="D12" i="28"/>
  <c r="P20" i="26"/>
  <c r="P16" i="26"/>
  <c r="D12" i="26"/>
  <c r="P21" i="25"/>
  <c r="T15" i="25"/>
  <c r="P13" i="25"/>
  <c r="H12" i="25"/>
  <c r="T21" i="31"/>
  <c r="P20" i="29"/>
  <c r="P20" i="23"/>
  <c r="P16" i="23"/>
  <c r="D12" i="23"/>
  <c r="P21" i="22"/>
  <c r="T15" i="22"/>
  <c r="P13" i="22"/>
  <c r="H12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T13" i="32"/>
  <c r="H21" i="25"/>
  <c r="H34" i="23"/>
  <c r="H33" i="23"/>
  <c r="H29" i="23"/>
  <c r="H25" i="23"/>
  <c r="P15" i="23"/>
  <c r="D5" i="23"/>
  <c r="P20" i="22"/>
  <c r="P16" i="22"/>
  <c r="D12" i="22"/>
  <c r="B22" i="20"/>
  <c r="D21" i="20"/>
  <c r="H15" i="20"/>
  <c r="B25" i="19"/>
  <c r="D24" i="19"/>
  <c r="D22" i="19"/>
  <c r="H20" i="19"/>
  <c r="H16" i="19"/>
  <c r="B13" i="19"/>
  <c r="P16" i="29"/>
  <c r="P21" i="26"/>
  <c r="D34" i="25"/>
  <c r="T20" i="25"/>
  <c r="T13" i="25"/>
  <c r="B39" i="23"/>
  <c r="H24" i="23"/>
  <c r="H22" i="23"/>
  <c r="H13" i="23"/>
  <c r="D4" i="23"/>
  <c r="H34" i="22"/>
  <c r="H33" i="22"/>
  <c r="H29" i="22"/>
  <c r="H25" i="22"/>
  <c r="P15" i="22"/>
  <c r="D5" i="22"/>
  <c r="B21" i="20"/>
  <c r="D20" i="20"/>
  <c r="D16" i="20"/>
  <c r="B22" i="19"/>
  <c r="D21" i="19"/>
  <c r="H15" i="19"/>
  <c r="D33" i="32"/>
  <c r="P21" i="28"/>
  <c r="H13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T34" i="20"/>
  <c r="T33" i="20"/>
  <c r="T29" i="20"/>
  <c r="T25" i="20"/>
  <c r="B16" i="20"/>
  <c r="D15" i="20"/>
  <c r="T12" i="20"/>
  <c r="B21" i="19"/>
  <c r="D20" i="19"/>
  <c r="D16" i="19"/>
  <c r="P34" i="31"/>
  <c r="D33" i="25"/>
  <c r="D25" i="25"/>
  <c r="D13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T24" i="20"/>
  <c r="T22" i="20"/>
  <c r="P12" i="20"/>
  <c r="T34" i="19"/>
  <c r="T33" i="19"/>
  <c r="T29" i="19"/>
  <c r="T25" i="19"/>
  <c r="B16" i="19"/>
  <c r="D15" i="19"/>
  <c r="T12" i="19"/>
  <c r="B39" i="17"/>
  <c r="H24" i="17"/>
  <c r="H22" i="17"/>
  <c r="H13" i="17"/>
  <c r="D4" i="17"/>
  <c r="H34" i="16"/>
  <c r="H33" i="16"/>
  <c r="H29" i="16"/>
  <c r="H25" i="16"/>
  <c r="P33" i="31"/>
  <c r="D12" i="29"/>
  <c r="P24" i="25"/>
  <c r="B22" i="23"/>
  <c r="D21" i="23"/>
  <c r="H15" i="23"/>
  <c r="B25" i="22"/>
  <c r="D24" i="22"/>
  <c r="D22" i="22"/>
  <c r="H20" i="22"/>
  <c r="H16" i="22"/>
  <c r="B13" i="22"/>
  <c r="P34" i="20"/>
  <c r="P33" i="20"/>
  <c r="P29" i="20"/>
  <c r="P25" i="20"/>
  <c r="T21" i="20"/>
  <c r="T24" i="19"/>
  <c r="T22" i="19"/>
  <c r="P12" i="19"/>
  <c r="T15" i="26"/>
  <c r="H24" i="25"/>
  <c r="D4" i="25"/>
  <c r="B21" i="23"/>
  <c r="D20" i="23"/>
  <c r="D16" i="23"/>
  <c r="B22" i="22"/>
  <c r="D21" i="22"/>
  <c r="H15" i="22"/>
  <c r="P24" i="20"/>
  <c r="P22" i="20"/>
  <c r="T20" i="20"/>
  <c r="T16" i="20"/>
  <c r="T13" i="20"/>
  <c r="P34" i="19"/>
  <c r="P33" i="19"/>
  <c r="P29" i="19"/>
  <c r="P25" i="19"/>
  <c r="T21" i="19"/>
  <c r="P29" i="31"/>
  <c r="T15" i="28"/>
  <c r="P13" i="26"/>
  <c r="T34" i="23"/>
  <c r="T33" i="23"/>
  <c r="T29" i="23"/>
  <c r="T25" i="23"/>
  <c r="B16" i="23"/>
  <c r="D15" i="23"/>
  <c r="T12" i="23"/>
  <c r="B21" i="22"/>
  <c r="D20" i="22"/>
  <c r="D16" i="22"/>
  <c r="P21" i="20"/>
  <c r="T15" i="20"/>
  <c r="P13" i="20"/>
  <c r="H12" i="20"/>
  <c r="P24" i="19"/>
  <c r="P22" i="19"/>
  <c r="T20" i="19"/>
  <c r="T16" i="19"/>
  <c r="T13" i="19"/>
  <c r="H20" i="35"/>
  <c r="P13" i="28"/>
  <c r="B13" i="26"/>
  <c r="P22" i="25"/>
  <c r="T16" i="25"/>
  <c r="T24" i="23"/>
  <c r="T22" i="23"/>
  <c r="P12" i="23"/>
  <c r="T34" i="22"/>
  <c r="T33" i="22"/>
  <c r="T29" i="22"/>
  <c r="T25" i="22"/>
  <c r="B16" i="22"/>
  <c r="D15" i="22"/>
  <c r="T12" i="22"/>
  <c r="P20" i="20"/>
  <c r="P16" i="20"/>
  <c r="D12" i="20"/>
  <c r="P21" i="19"/>
  <c r="T15" i="19"/>
  <c r="P13" i="19"/>
  <c r="H12" i="19"/>
  <c r="B21" i="17"/>
  <c r="D25" i="34"/>
  <c r="D21" i="32"/>
  <c r="P25" i="31"/>
  <c r="H12" i="28"/>
  <c r="H12" i="26"/>
  <c r="H22" i="25"/>
  <c r="P34" i="23"/>
  <c r="P33" i="23"/>
  <c r="P29" i="23"/>
  <c r="P25" i="23"/>
  <c r="T21" i="23"/>
  <c r="T24" i="22"/>
  <c r="T22" i="22"/>
  <c r="P12" i="22"/>
  <c r="H34" i="20"/>
  <c r="H33" i="20"/>
  <c r="H29" i="20"/>
  <c r="H25" i="20"/>
  <c r="P15" i="20"/>
  <c r="D5" i="20"/>
  <c r="P20" i="19"/>
  <c r="P16" i="19"/>
  <c r="D12" i="19"/>
  <c r="T16" i="32"/>
  <c r="P21" i="23"/>
  <c r="T15" i="23"/>
  <c r="P13" i="23"/>
  <c r="H12" i="23"/>
  <c r="P24" i="22"/>
  <c r="P22" i="22"/>
  <c r="T20" i="22"/>
  <c r="T16" i="22"/>
  <c r="T13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P34" i="17"/>
  <c r="P33" i="17"/>
  <c r="P29" i="17"/>
  <c r="P25" i="17"/>
  <c r="T21" i="17"/>
  <c r="T24" i="16"/>
  <c r="T22" i="16"/>
  <c r="H34" i="19"/>
  <c r="P15" i="19"/>
  <c r="D33" i="17"/>
  <c r="T29" i="17"/>
  <c r="D25" i="17"/>
  <c r="P21" i="17"/>
  <c r="B16" i="17"/>
  <c r="T13" i="17"/>
  <c r="D12" i="17"/>
  <c r="P29" i="16"/>
  <c r="D24" i="16"/>
  <c r="B22" i="16"/>
  <c r="B21" i="16"/>
  <c r="D20" i="16"/>
  <c r="D16" i="16"/>
  <c r="P20" i="14"/>
  <c r="P16" i="14"/>
  <c r="D12" i="14"/>
  <c r="P21" i="13"/>
  <c r="T15" i="13"/>
  <c r="P13" i="13"/>
  <c r="H12" i="13"/>
  <c r="T16" i="23"/>
  <c r="H33" i="19"/>
  <c r="B25" i="17"/>
  <c r="T22" i="17"/>
  <c r="H20" i="17"/>
  <c r="P13" i="17"/>
  <c r="D5" i="17"/>
  <c r="D25" i="16"/>
  <c r="B16" i="16"/>
  <c r="D15" i="16"/>
  <c r="T12" i="16"/>
  <c r="H34" i="14"/>
  <c r="H33" i="14"/>
  <c r="H29" i="14"/>
  <c r="H25" i="14"/>
  <c r="P15" i="14"/>
  <c r="D5" i="14"/>
  <c r="P20" i="13"/>
  <c r="P16" i="13"/>
  <c r="D12" i="13"/>
  <c r="T21" i="22"/>
  <c r="H24" i="20"/>
  <c r="D5" i="19"/>
  <c r="H34" i="17"/>
  <c r="P22" i="17"/>
  <c r="B39" i="16"/>
  <c r="B25" i="16"/>
  <c r="P12" i="16"/>
  <c r="B39" i="14"/>
  <c r="H24" i="14"/>
  <c r="H22" i="14"/>
  <c r="H13" i="14"/>
  <c r="D4" i="14"/>
  <c r="H34" i="13"/>
  <c r="H33" i="13"/>
  <c r="H29" i="13"/>
  <c r="H25" i="13"/>
  <c r="P15" i="13"/>
  <c r="D5" i="13"/>
  <c r="T13" i="23"/>
  <c r="H22" i="20"/>
  <c r="H29" i="19"/>
  <c r="D34" i="17"/>
  <c r="H21" i="17"/>
  <c r="D20" i="17"/>
  <c r="T15" i="17"/>
  <c r="B38" i="16"/>
  <c r="T33" i="16"/>
  <c r="T21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T24" i="17"/>
  <c r="T16" i="17"/>
  <c r="D13" i="17"/>
  <c r="P33" i="16"/>
  <c r="T20" i="16"/>
  <c r="T16" i="16"/>
  <c r="T13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H25" i="19"/>
  <c r="H29" i="17"/>
  <c r="P24" i="17"/>
  <c r="D21" i="17"/>
  <c r="P15" i="17"/>
  <c r="B13" i="17"/>
  <c r="T34" i="16"/>
  <c r="D29" i="16"/>
  <c r="P22" i="16"/>
  <c r="P21" i="16"/>
  <c r="T15" i="16"/>
  <c r="P13" i="16"/>
  <c r="H12" i="16"/>
  <c r="B22" i="14"/>
  <c r="D21" i="14"/>
  <c r="H15" i="14"/>
  <c r="B25" i="13"/>
  <c r="D24" i="13"/>
  <c r="D22" i="13"/>
  <c r="H20" i="13"/>
  <c r="H16" i="13"/>
  <c r="B13" i="13"/>
  <c r="B38" i="25"/>
  <c r="P34" i="22"/>
  <c r="B39" i="20"/>
  <c r="T33" i="17"/>
  <c r="D29" i="17"/>
  <c r="T25" i="17"/>
  <c r="P16" i="17"/>
  <c r="P34" i="16"/>
  <c r="P20" i="16"/>
  <c r="P16" i="16"/>
  <c r="D12" i="16"/>
  <c r="B21" i="14"/>
  <c r="D20" i="14"/>
  <c r="D16" i="14"/>
  <c r="B22" i="13"/>
  <c r="D21" i="13"/>
  <c r="H15" i="13"/>
  <c r="D29" i="25"/>
  <c r="P33" i="22"/>
  <c r="D22" i="17"/>
  <c r="T25" i="16"/>
  <c r="P24" i="16"/>
  <c r="P15" i="16"/>
  <c r="D5" i="16"/>
  <c r="T34" i="14"/>
  <c r="T33" i="14"/>
  <c r="T29" i="14"/>
  <c r="T25" i="14"/>
  <c r="B16" i="14"/>
  <c r="D15" i="14"/>
  <c r="T12" i="14"/>
  <c r="B21" i="13"/>
  <c r="D20" i="13"/>
  <c r="D16" i="13"/>
  <c r="P24" i="23"/>
  <c r="B22" i="17"/>
  <c r="T20" i="17"/>
  <c r="H15" i="17"/>
  <c r="T12" i="17"/>
  <c r="P25" i="16"/>
  <c r="H13" i="16"/>
  <c r="D4" i="16"/>
  <c r="T24" i="14"/>
  <c r="T22" i="14"/>
  <c r="P12" i="14"/>
  <c r="T34" i="13"/>
  <c r="T33" i="13"/>
  <c r="T29" i="13"/>
  <c r="T25" i="13"/>
  <c r="B16" i="13"/>
  <c r="D15" i="13"/>
  <c r="T12" i="13"/>
  <c r="P22" i="23"/>
  <c r="P29" i="22"/>
  <c r="H13" i="20"/>
  <c r="B38" i="17"/>
  <c r="T34" i="17"/>
  <c r="H16" i="17"/>
  <c r="P12" i="17"/>
  <c r="D33" i="16"/>
  <c r="H22" i="16"/>
  <c r="H21" i="16"/>
  <c r="D13" i="16"/>
  <c r="P34" i="14"/>
  <c r="P33" i="14"/>
  <c r="P29" i="14"/>
  <c r="P25" i="14"/>
  <c r="T21" i="14"/>
  <c r="T24" i="13"/>
  <c r="T22" i="13"/>
  <c r="P12" i="13"/>
  <c r="D4" i="20"/>
  <c r="D24" i="17"/>
  <c r="P20" i="17"/>
  <c r="D15" i="17"/>
  <c r="H24" i="16"/>
  <c r="H20" i="16"/>
  <c r="H16" i="16"/>
  <c r="B13" i="16"/>
  <c r="T20" i="23"/>
  <c r="P25" i="22"/>
  <c r="H33" i="17"/>
  <c r="H25" i="17"/>
  <c r="D16" i="17"/>
  <c r="H12" i="17"/>
  <c r="D34" i="16"/>
  <c r="T29" i="16"/>
  <c r="D22" i="16"/>
  <c r="D21" i="16"/>
  <c r="H15" i="16"/>
  <c r="P21" i="14"/>
  <c r="T15" i="14"/>
  <c r="P13" i="14"/>
  <c r="H12" i="14"/>
  <c r="P24" i="13"/>
  <c r="P22" i="13"/>
  <c r="T20" i="13"/>
  <c r="T16" i="13"/>
  <c r="T13" i="13"/>
  <c r="B38" i="11"/>
  <c r="D34" i="11"/>
  <c r="D33" i="11"/>
  <c r="D29" i="11"/>
  <c r="D25" i="11"/>
  <c r="H21" i="11"/>
  <c r="T34" i="11"/>
  <c r="H22" i="11"/>
  <c r="B16" i="11"/>
  <c r="P12" i="11"/>
  <c r="T34" i="10"/>
  <c r="T33" i="10"/>
  <c r="T29" i="10"/>
  <c r="T25" i="10"/>
  <c r="B16" i="10"/>
  <c r="D15" i="10"/>
  <c r="T12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P33" i="11"/>
  <c r="H25" i="11"/>
  <c r="H24" i="11"/>
  <c r="D22" i="11"/>
  <c r="D21" i="11"/>
  <c r="D20" i="11"/>
  <c r="T24" i="10"/>
  <c r="T22" i="10"/>
  <c r="P12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P34" i="13"/>
  <c r="P34" i="11"/>
  <c r="D24" i="11"/>
  <c r="B22" i="11"/>
  <c r="B21" i="11"/>
  <c r="T13" i="11"/>
  <c r="P34" i="10"/>
  <c r="P33" i="10"/>
  <c r="P29" i="10"/>
  <c r="P25" i="10"/>
  <c r="T21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P33" i="13"/>
  <c r="H29" i="11"/>
  <c r="B25" i="11"/>
  <c r="P13" i="11"/>
  <c r="H12" i="11"/>
  <c r="P24" i="10"/>
  <c r="P22" i="10"/>
  <c r="T20" i="10"/>
  <c r="T16" i="10"/>
  <c r="T13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P24" i="14"/>
  <c r="T16" i="11"/>
  <c r="T15" i="11"/>
  <c r="D12" i="11"/>
  <c r="P21" i="10"/>
  <c r="T15" i="10"/>
  <c r="P13" i="10"/>
  <c r="H12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P22" i="14"/>
  <c r="P29" i="13"/>
  <c r="H33" i="11"/>
  <c r="D5" i="11"/>
  <c r="P20" i="10"/>
  <c r="P16" i="10"/>
  <c r="D12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H34" i="11"/>
  <c r="T22" i="11"/>
  <c r="T21" i="11"/>
  <c r="T20" i="11"/>
  <c r="P16" i="11"/>
  <c r="P15" i="11"/>
  <c r="H13" i="11"/>
  <c r="D4" i="11"/>
  <c r="H34" i="10"/>
  <c r="H33" i="10"/>
  <c r="H29" i="10"/>
  <c r="H25" i="10"/>
  <c r="P15" i="10"/>
  <c r="D5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T20" i="14"/>
  <c r="P25" i="13"/>
  <c r="T25" i="11"/>
  <c r="T24" i="11"/>
  <c r="D13" i="11"/>
  <c r="B39" i="10"/>
  <c r="H24" i="10"/>
  <c r="H22" i="10"/>
  <c r="H13" i="10"/>
  <c r="D4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P22" i="11"/>
  <c r="P21" i="11"/>
  <c r="P20" i="11"/>
  <c r="B13" i="11"/>
  <c r="B38" i="10"/>
  <c r="D34" i="10"/>
  <c r="D33" i="10"/>
  <c r="D29" i="10"/>
  <c r="D25" i="10"/>
  <c r="H21" i="10"/>
  <c r="D13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T13" i="14"/>
  <c r="T33" i="11"/>
  <c r="P29" i="11"/>
  <c r="H20" i="11"/>
  <c r="D16" i="11"/>
  <c r="D15" i="11"/>
  <c r="T12" i="11"/>
  <c r="B21" i="10"/>
  <c r="D20" i="10"/>
  <c r="D16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T16" i="14"/>
  <c r="B22" i="10"/>
  <c r="D29" i="8"/>
  <c r="T33" i="4"/>
  <c r="D15" i="4"/>
  <c r="B39" i="7"/>
  <c r="B16" i="4"/>
  <c r="P24" i="11"/>
  <c r="H15" i="11"/>
  <c r="B39" i="8"/>
  <c r="H34" i="7"/>
  <c r="P15" i="7"/>
  <c r="T34" i="5"/>
  <c r="B16" i="5"/>
  <c r="D21" i="10"/>
  <c r="B38" i="8"/>
  <c r="H24" i="7"/>
  <c r="T24" i="5"/>
  <c r="T12" i="4"/>
  <c r="H15" i="10"/>
  <c r="H21" i="8"/>
  <c r="T21" i="13"/>
  <c r="H20" i="10"/>
  <c r="H33" i="7"/>
  <c r="T33" i="5"/>
  <c r="D15" i="5"/>
  <c r="B21" i="4"/>
  <c r="D25" i="8"/>
  <c r="H22" i="7"/>
  <c r="H13" i="7"/>
  <c r="T22" i="5"/>
  <c r="T29" i="4"/>
  <c r="H24" i="8"/>
  <c r="D5" i="7"/>
  <c r="T12" i="5"/>
  <c r="D20" i="4"/>
  <c r="D34" i="8"/>
  <c r="D4" i="7"/>
  <c r="P12" i="5"/>
  <c r="T29" i="11"/>
  <c r="B25" i="10"/>
  <c r="H16" i="10"/>
  <c r="H22" i="8"/>
  <c r="H13" i="8"/>
  <c r="H29" i="7"/>
  <c r="T29" i="5"/>
  <c r="D4" i="8"/>
  <c r="D33" i="8"/>
  <c r="D13" i="8"/>
  <c r="T25" i="4"/>
  <c r="D24" i="10"/>
  <c r="B39" i="11"/>
  <c r="P25" i="11"/>
  <c r="H16" i="11"/>
  <c r="D22" i="10"/>
  <c r="B13" i="10"/>
  <c r="H25" i="7"/>
  <c r="T25" i="5"/>
  <c r="D16" i="4"/>
  <c r="T34" i="4"/>
  <c r="Z34" i="4" l="1"/>
  <c r="L16" i="4"/>
  <c r="Z25" i="5"/>
  <c r="N25" i="7"/>
  <c r="L22" i="10"/>
  <c r="N16" i="11"/>
  <c r="X25" i="11"/>
  <c r="L24" i="10"/>
  <c r="Z25" i="4"/>
  <c r="L13" i="8"/>
  <c r="L33" i="8"/>
  <c r="Z29" i="5"/>
  <c r="N29" i="7"/>
  <c r="N13" i="8"/>
  <c r="N22" i="8"/>
  <c r="N16" i="10"/>
  <c r="Z29" i="11"/>
  <c r="R21" i="5"/>
  <c r="R20" i="5"/>
  <c r="R18" i="5"/>
  <c r="R16" i="5"/>
  <c r="P18" i="5"/>
  <c r="R15" i="5"/>
  <c r="X12" i="5"/>
  <c r="R24" i="5"/>
  <c r="R22" i="5"/>
  <c r="R36" i="5"/>
  <c r="R25" i="5"/>
  <c r="R34" i="5"/>
  <c r="R33" i="5"/>
  <c r="R31" i="5"/>
  <c r="R29" i="5"/>
  <c r="R27" i="5"/>
  <c r="L34" i="8"/>
  <c r="L20" i="4"/>
  <c r="T18" i="5"/>
  <c r="V15" i="5"/>
  <c r="Z12" i="5"/>
  <c r="V36" i="5"/>
  <c r="V34" i="5"/>
  <c r="V33" i="5"/>
  <c r="V31" i="5"/>
  <c r="V29" i="5"/>
  <c r="V27" i="5"/>
  <c r="V25" i="5"/>
  <c r="V20" i="5"/>
  <c r="V18" i="5"/>
  <c r="V16" i="5"/>
  <c r="V24" i="5"/>
  <c r="V22" i="5"/>
  <c r="V21" i="5"/>
  <c r="N24" i="8"/>
  <c r="Z29" i="4"/>
  <c r="Z22" i="5"/>
  <c r="N13" i="7"/>
  <c r="N22" i="7"/>
  <c r="L25" i="8"/>
  <c r="L15" i="5"/>
  <c r="Z33" i="5"/>
  <c r="N33" i="7"/>
  <c r="N20" i="10"/>
  <c r="Z21" i="13"/>
  <c r="N21" i="8"/>
  <c r="N15" i="10"/>
  <c r="V20" i="4"/>
  <c r="V18" i="4"/>
  <c r="V16" i="4"/>
  <c r="T18" i="4"/>
  <c r="V15" i="4"/>
  <c r="Z12" i="4"/>
  <c r="V21" i="4"/>
  <c r="V22" i="4"/>
  <c r="V31" i="4"/>
  <c r="V34" i="4"/>
  <c r="V29" i="4"/>
  <c r="V27" i="4"/>
  <c r="V24" i="4"/>
  <c r="V36" i="4"/>
  <c r="V25" i="4"/>
  <c r="V33" i="4"/>
  <c r="Z24" i="5"/>
  <c r="N24" i="7"/>
  <c r="L21" i="10"/>
  <c r="Z34" i="5"/>
  <c r="X15" i="7"/>
  <c r="N34" i="7"/>
  <c r="N15" i="11"/>
  <c r="X24" i="11"/>
  <c r="L15" i="4"/>
  <c r="Z33" i="4"/>
  <c r="L29" i="8"/>
  <c r="Z16" i="14"/>
  <c r="R24" i="4"/>
  <c r="R22" i="4"/>
  <c r="R21" i="4"/>
  <c r="R20" i="4"/>
  <c r="R18" i="4"/>
  <c r="R16" i="4"/>
  <c r="P18" i="4"/>
  <c r="R15" i="4"/>
  <c r="R36" i="4"/>
  <c r="R34" i="4"/>
  <c r="R33" i="4"/>
  <c r="R31" i="4"/>
  <c r="R29" i="4"/>
  <c r="R27" i="4"/>
  <c r="R25" i="4"/>
  <c r="X12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L16" i="10"/>
  <c r="L20" i="10"/>
  <c r="V36" i="11"/>
  <c r="V16" i="11"/>
  <c r="V15" i="11"/>
  <c r="V18" i="11"/>
  <c r="V22" i="11"/>
  <c r="V21" i="11"/>
  <c r="V20" i="11"/>
  <c r="T18" i="11"/>
  <c r="V25" i="11"/>
  <c r="V24" i="11"/>
  <c r="V27" i="11"/>
  <c r="V29" i="11"/>
  <c r="V34" i="11"/>
  <c r="Z12" i="11"/>
  <c r="V33" i="11"/>
  <c r="V31" i="11"/>
  <c r="L15" i="11"/>
  <c r="L16" i="11"/>
  <c r="N20" i="11"/>
  <c r="X29" i="11"/>
  <c r="Z33" i="11"/>
  <c r="Z13" i="14"/>
  <c r="N15" i="4"/>
  <c r="L21" i="4"/>
  <c r="L16" i="5"/>
  <c r="L20" i="5"/>
  <c r="F21" i="7"/>
  <c r="F20" i="7"/>
  <c r="F18" i="7"/>
  <c r="F16" i="7"/>
  <c r="D18" i="7"/>
  <c r="F15" i="7"/>
  <c r="L12" i="7"/>
  <c r="F24" i="7"/>
  <c r="F22" i="7"/>
  <c r="F36" i="7"/>
  <c r="F25" i="7"/>
  <c r="F34" i="7"/>
  <c r="F33" i="7"/>
  <c r="F31" i="7"/>
  <c r="F29" i="7"/>
  <c r="F27" i="7"/>
  <c r="X16" i="7"/>
  <c r="X20" i="7"/>
  <c r="X15" i="8"/>
  <c r="N25" i="8"/>
  <c r="N29" i="8"/>
  <c r="N33" i="8"/>
  <c r="N34" i="8"/>
  <c r="L13" i="10"/>
  <c r="N21" i="10"/>
  <c r="L25" i="10"/>
  <c r="L29" i="10"/>
  <c r="L33" i="10"/>
  <c r="L34" i="10"/>
  <c r="X20" i="11"/>
  <c r="X21" i="11"/>
  <c r="X22" i="11"/>
  <c r="N16" i="4"/>
  <c r="N20" i="4"/>
  <c r="L22" i="4"/>
  <c r="L24" i="4"/>
  <c r="N15" i="5"/>
  <c r="L21" i="5"/>
  <c r="H18" i="7"/>
  <c r="J15" i="7"/>
  <c r="N12" i="7"/>
  <c r="J36" i="7"/>
  <c r="J34" i="7"/>
  <c r="J33" i="7"/>
  <c r="J31" i="7"/>
  <c r="J29" i="7"/>
  <c r="J27" i="7"/>
  <c r="J25" i="7"/>
  <c r="J20" i="7"/>
  <c r="J18" i="7"/>
  <c r="J16" i="7"/>
  <c r="J24" i="7"/>
  <c r="J22" i="7"/>
  <c r="J21" i="7"/>
  <c r="X13" i="7"/>
  <c r="Z15" i="7"/>
  <c r="X21" i="7"/>
  <c r="F20" i="8"/>
  <c r="F18" i="8"/>
  <c r="F16" i="8"/>
  <c r="D18" i="8"/>
  <c r="F15" i="8"/>
  <c r="L12" i="8"/>
  <c r="F21" i="8"/>
  <c r="F27" i="8"/>
  <c r="F36" i="8"/>
  <c r="F25" i="8"/>
  <c r="F31" i="8"/>
  <c r="F34" i="8"/>
  <c r="F24" i="8"/>
  <c r="F33" i="8"/>
  <c r="F22" i="8"/>
  <c r="F29" i="8"/>
  <c r="X16" i="8"/>
  <c r="X20" i="8"/>
  <c r="N13" i="10"/>
  <c r="N22" i="10"/>
  <c r="N24" i="10"/>
  <c r="L13" i="11"/>
  <c r="Z24" i="11"/>
  <c r="Z25" i="11"/>
  <c r="X25" i="13"/>
  <c r="Z20" i="14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36" i="8"/>
  <c r="J34" i="8"/>
  <c r="J33" i="8"/>
  <c r="J31" i="8"/>
  <c r="J29" i="8"/>
  <c r="J27" i="8"/>
  <c r="J25" i="8"/>
  <c r="J24" i="8"/>
  <c r="J22" i="8"/>
  <c r="H18" i="8"/>
  <c r="J15" i="8"/>
  <c r="J20" i="8"/>
  <c r="J18" i="8"/>
  <c r="J16" i="8"/>
  <c r="J21" i="8"/>
  <c r="X13" i="8"/>
  <c r="Z15" i="8"/>
  <c r="X21" i="8"/>
  <c r="X15" i="10"/>
  <c r="N25" i="10"/>
  <c r="N29" i="10"/>
  <c r="N33" i="10"/>
  <c r="N34" i="10"/>
  <c r="N13" i="11"/>
  <c r="X15" i="11"/>
  <c r="X16" i="11"/>
  <c r="Z20" i="11"/>
  <c r="Z21" i="11"/>
  <c r="Z22" i="11"/>
  <c r="N34" i="11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L12" i="10"/>
  <c r="F36" i="10"/>
  <c r="F34" i="10"/>
  <c r="F33" i="10"/>
  <c r="F31" i="10"/>
  <c r="F29" i="10"/>
  <c r="F27" i="10"/>
  <c r="F25" i="10"/>
  <c r="F24" i="10"/>
  <c r="F22" i="10"/>
  <c r="D18" i="10"/>
  <c r="F15" i="10"/>
  <c r="F21" i="10"/>
  <c r="F20" i="10"/>
  <c r="F18" i="10"/>
  <c r="F16" i="10"/>
  <c r="X16" i="10"/>
  <c r="X20" i="10"/>
  <c r="N33" i="11"/>
  <c r="X29" i="13"/>
  <c r="X22" i="14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Z22" i="7"/>
  <c r="Z24" i="7"/>
  <c r="Z21" i="8"/>
  <c r="X25" i="8"/>
  <c r="X29" i="8"/>
  <c r="X33" i="8"/>
  <c r="X34" i="8"/>
  <c r="N12" i="10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X13" i="10"/>
  <c r="Z15" i="10"/>
  <c r="X21" i="10"/>
  <c r="F24" i="11"/>
  <c r="F22" i="11"/>
  <c r="F21" i="11"/>
  <c r="F20" i="11"/>
  <c r="D18" i="11"/>
  <c r="F25" i="11"/>
  <c r="L12" i="11"/>
  <c r="F27" i="11"/>
  <c r="F29" i="11"/>
  <c r="F31" i="11"/>
  <c r="F33" i="11"/>
  <c r="F34" i="11"/>
  <c r="F36" i="11"/>
  <c r="F18" i="11"/>
  <c r="F16" i="11"/>
  <c r="F15" i="11"/>
  <c r="Z15" i="11"/>
  <c r="Z16" i="11"/>
  <c r="X24" i="14"/>
  <c r="L12" i="4"/>
  <c r="F36" i="4"/>
  <c r="F34" i="4"/>
  <c r="F33" i="4"/>
  <c r="F31" i="4"/>
  <c r="F29" i="4"/>
  <c r="F27" i="4"/>
  <c r="F25" i="4"/>
  <c r="F24" i="4"/>
  <c r="F22" i="4"/>
  <c r="F21" i="4"/>
  <c r="F20" i="4"/>
  <c r="F18" i="4"/>
  <c r="F16" i="4"/>
  <c r="D18" i="4"/>
  <c r="F15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Z22" i="8"/>
  <c r="Z24" i="8"/>
  <c r="Z13" i="10"/>
  <c r="Z16" i="10"/>
  <c r="Z20" i="10"/>
  <c r="X22" i="10"/>
  <c r="X24" i="10"/>
  <c r="J20" i="11"/>
  <c r="J18" i="11"/>
  <c r="J16" i="11"/>
  <c r="J25" i="11"/>
  <c r="J24" i="11"/>
  <c r="J27" i="11"/>
  <c r="N12" i="11"/>
  <c r="J29" i="11"/>
  <c r="J31" i="11"/>
  <c r="J33" i="11"/>
  <c r="J34" i="11"/>
  <c r="J36" i="11"/>
  <c r="J15" i="11"/>
  <c r="J22" i="11"/>
  <c r="J21" i="11"/>
  <c r="H18" i="11"/>
  <c r="X13" i="11"/>
  <c r="N29" i="11"/>
  <c r="X33" i="13"/>
  <c r="N12" i="4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X13" i="4"/>
  <c r="Z15" i="4"/>
  <c r="X21" i="4"/>
  <c r="L12" i="5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L15" i="8"/>
  <c r="Z25" i="8"/>
  <c r="Z29" i="8"/>
  <c r="Z33" i="8"/>
  <c r="Z34" i="8"/>
  <c r="Z21" i="10"/>
  <c r="X25" i="10"/>
  <c r="X29" i="10"/>
  <c r="X33" i="10"/>
  <c r="X34" i="10"/>
  <c r="Z13" i="11"/>
  <c r="L24" i="11"/>
  <c r="X34" i="11"/>
  <c r="X34" i="13"/>
  <c r="Z13" i="4"/>
  <c r="Z16" i="4"/>
  <c r="Z20" i="4"/>
  <c r="X22" i="4"/>
  <c r="X24" i="4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N12" i="5"/>
  <c r="X13" i="5"/>
  <c r="Z15" i="5"/>
  <c r="X21" i="5"/>
  <c r="N15" i="7"/>
  <c r="L21" i="7"/>
  <c r="L16" i="8"/>
  <c r="L20" i="8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X12" i="10"/>
  <c r="Z22" i="10"/>
  <c r="Z24" i="10"/>
  <c r="L20" i="11"/>
  <c r="L21" i="11"/>
  <c r="L22" i="11"/>
  <c r="N24" i="11"/>
  <c r="N25" i="11"/>
  <c r="X33" i="11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V24" i="10"/>
  <c r="V22" i="10"/>
  <c r="V21" i="10"/>
  <c r="V20" i="10"/>
  <c r="V18" i="10"/>
  <c r="V16" i="10"/>
  <c r="T18" i="10"/>
  <c r="V15" i="10"/>
  <c r="V36" i="10"/>
  <c r="V34" i="10"/>
  <c r="V33" i="10"/>
  <c r="V31" i="10"/>
  <c r="V29" i="10"/>
  <c r="V27" i="10"/>
  <c r="V25" i="10"/>
  <c r="Z12" i="10"/>
  <c r="L15" i="10"/>
  <c r="Z25" i="10"/>
  <c r="Z29" i="10"/>
  <c r="Z33" i="10"/>
  <c r="Z34" i="10"/>
  <c r="R33" i="11"/>
  <c r="R34" i="11"/>
  <c r="R36" i="11"/>
  <c r="R16" i="11"/>
  <c r="R15" i="11"/>
  <c r="R18" i="11"/>
  <c r="R22" i="11"/>
  <c r="R21" i="11"/>
  <c r="R20" i="11"/>
  <c r="P18" i="11"/>
  <c r="R25" i="11"/>
  <c r="R24" i="11"/>
  <c r="R31" i="11"/>
  <c r="X12" i="11"/>
  <c r="R29" i="11"/>
  <c r="R27" i="11"/>
  <c r="N22" i="11"/>
  <c r="Z34" i="11"/>
  <c r="N21" i="11"/>
  <c r="L25" i="11"/>
  <c r="L29" i="11"/>
  <c r="L33" i="11"/>
  <c r="L34" i="11"/>
  <c r="Z13" i="13"/>
  <c r="Z16" i="13"/>
  <c r="Z20" i="13"/>
  <c r="X22" i="13"/>
  <c r="X24" i="13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N12" i="14"/>
  <c r="X13" i="14"/>
  <c r="Z15" i="14"/>
  <c r="X21" i="14"/>
  <c r="N15" i="16"/>
  <c r="L21" i="16"/>
  <c r="L22" i="16"/>
  <c r="Z29" i="16"/>
  <c r="L34" i="16"/>
  <c r="J21" i="17"/>
  <c r="N12" i="17"/>
  <c r="J20" i="17"/>
  <c r="J34" i="17"/>
  <c r="J27" i="17"/>
  <c r="J36" i="17"/>
  <c r="J29" i="17"/>
  <c r="J22" i="17"/>
  <c r="J31" i="17"/>
  <c r="J15" i="17"/>
  <c r="J24" i="17"/>
  <c r="J16" i="17"/>
  <c r="J33" i="17"/>
  <c r="J25" i="17"/>
  <c r="J18" i="17"/>
  <c r="H18" i="17"/>
  <c r="L16" i="17"/>
  <c r="N25" i="17"/>
  <c r="N33" i="17"/>
  <c r="X25" i="22"/>
  <c r="Z20" i="23"/>
  <c r="N16" i="16"/>
  <c r="N20" i="16"/>
  <c r="N24" i="16"/>
  <c r="L15" i="17"/>
  <c r="X20" i="17"/>
  <c r="L24" i="17"/>
  <c r="R20" i="13"/>
  <c r="R18" i="13"/>
  <c r="R16" i="13"/>
  <c r="P18" i="13"/>
  <c r="R15" i="13"/>
  <c r="X12" i="13"/>
  <c r="R36" i="13"/>
  <c r="R34" i="13"/>
  <c r="R33" i="13"/>
  <c r="R31" i="13"/>
  <c r="R29" i="13"/>
  <c r="R27" i="13"/>
  <c r="R25" i="13"/>
  <c r="R21" i="13"/>
  <c r="R24" i="13"/>
  <c r="R22" i="13"/>
  <c r="Z22" i="13"/>
  <c r="Z24" i="13"/>
  <c r="Z21" i="14"/>
  <c r="X25" i="14"/>
  <c r="X29" i="14"/>
  <c r="X33" i="14"/>
  <c r="X34" i="14"/>
  <c r="L13" i="16"/>
  <c r="N21" i="16"/>
  <c r="N22" i="16"/>
  <c r="L33" i="16"/>
  <c r="R24" i="17"/>
  <c r="R22" i="17"/>
  <c r="R36" i="17"/>
  <c r="R29" i="17"/>
  <c r="R31" i="17"/>
  <c r="R15" i="17"/>
  <c r="R16" i="17"/>
  <c r="R33" i="17"/>
  <c r="R25" i="17"/>
  <c r="R18" i="17"/>
  <c r="X12" i="17"/>
  <c r="P18" i="17"/>
  <c r="R20" i="17"/>
  <c r="R34" i="17"/>
  <c r="R27" i="17"/>
  <c r="R21" i="17"/>
  <c r="N16" i="17"/>
  <c r="Z34" i="17"/>
  <c r="N13" i="20"/>
  <c r="X29" i="22"/>
  <c r="X22" i="23"/>
  <c r="Z12" i="13"/>
  <c r="V36" i="13"/>
  <c r="V34" i="13"/>
  <c r="V33" i="13"/>
  <c r="V31" i="13"/>
  <c r="V29" i="13"/>
  <c r="V27" i="13"/>
  <c r="V25" i="13"/>
  <c r="V24" i="13"/>
  <c r="V22" i="13"/>
  <c r="V21" i="13"/>
  <c r="T18" i="13"/>
  <c r="V15" i="13"/>
  <c r="V18" i="13"/>
  <c r="V16" i="13"/>
  <c r="V20" i="13"/>
  <c r="L15" i="13"/>
  <c r="Z25" i="13"/>
  <c r="Z29" i="13"/>
  <c r="Z33" i="13"/>
  <c r="Z34" i="13"/>
  <c r="P18" i="14"/>
  <c r="R15" i="14"/>
  <c r="X12" i="14"/>
  <c r="R36" i="14"/>
  <c r="R34" i="14"/>
  <c r="R33" i="14"/>
  <c r="R31" i="14"/>
  <c r="R29" i="14"/>
  <c r="R27" i="14"/>
  <c r="R25" i="14"/>
  <c r="R24" i="14"/>
  <c r="R22" i="14"/>
  <c r="R20" i="14"/>
  <c r="R18" i="14"/>
  <c r="R16" i="14"/>
  <c r="R21" i="14"/>
  <c r="Z22" i="14"/>
  <c r="Z24" i="14"/>
  <c r="N13" i="16"/>
  <c r="X25" i="16"/>
  <c r="V36" i="17"/>
  <c r="V34" i="17"/>
  <c r="V33" i="17"/>
  <c r="V31" i="17"/>
  <c r="V29" i="17"/>
  <c r="V27" i="17"/>
  <c r="V25" i="17"/>
  <c r="V20" i="17"/>
  <c r="V18" i="17"/>
  <c r="V16" i="17"/>
  <c r="V22" i="17"/>
  <c r="V15" i="17"/>
  <c r="V24" i="17"/>
  <c r="T18" i="17"/>
  <c r="Z12" i="17"/>
  <c r="V21" i="17"/>
  <c r="N15" i="17"/>
  <c r="Z20" i="17"/>
  <c r="X24" i="23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X15" i="16"/>
  <c r="X24" i="16"/>
  <c r="Z25" i="16"/>
  <c r="L22" i="17"/>
  <c r="X33" i="22"/>
  <c r="L29" i="25"/>
  <c r="N15" i="13"/>
  <c r="L21" i="13"/>
  <c r="L16" i="14"/>
  <c r="L20" i="14"/>
  <c r="F36" i="16"/>
  <c r="F25" i="16"/>
  <c r="D18" i="16"/>
  <c r="F15" i="16"/>
  <c r="F27" i="16"/>
  <c r="F29" i="16"/>
  <c r="L12" i="16"/>
  <c r="F31" i="16"/>
  <c r="F33" i="16"/>
  <c r="F34" i="16"/>
  <c r="F22" i="16"/>
  <c r="F21" i="16"/>
  <c r="F24" i="16"/>
  <c r="F20" i="16"/>
  <c r="F18" i="16"/>
  <c r="F16" i="16"/>
  <c r="X16" i="16"/>
  <c r="X20" i="16"/>
  <c r="X34" i="16"/>
  <c r="X16" i="17"/>
  <c r="Z25" i="17"/>
  <c r="L29" i="17"/>
  <c r="Z33" i="17"/>
  <c r="X34" i="22"/>
  <c r="N16" i="13"/>
  <c r="N20" i="13"/>
  <c r="L22" i="13"/>
  <c r="L24" i="13"/>
  <c r="N15" i="14"/>
  <c r="L21" i="14"/>
  <c r="J24" i="16"/>
  <c r="J27" i="16"/>
  <c r="J29" i="16"/>
  <c r="N12" i="16"/>
  <c r="J31" i="16"/>
  <c r="J33" i="16"/>
  <c r="J22" i="16"/>
  <c r="J21" i="16"/>
  <c r="J34" i="16"/>
  <c r="J20" i="16"/>
  <c r="J18" i="16"/>
  <c r="J16" i="16"/>
  <c r="H18" i="16"/>
  <c r="J15" i="16"/>
  <c r="J36" i="16"/>
  <c r="J25" i="16"/>
  <c r="X13" i="16"/>
  <c r="Z15" i="16"/>
  <c r="X21" i="16"/>
  <c r="X22" i="16"/>
  <c r="L29" i="16"/>
  <c r="Z34" i="16"/>
  <c r="X15" i="17"/>
  <c r="L21" i="17"/>
  <c r="X24" i="17"/>
  <c r="N29" i="17"/>
  <c r="N25" i="19"/>
  <c r="L13" i="13"/>
  <c r="N21" i="13"/>
  <c r="L25" i="13"/>
  <c r="L29" i="13"/>
  <c r="L33" i="13"/>
  <c r="L34" i="13"/>
  <c r="N16" i="14"/>
  <c r="N20" i="14"/>
  <c r="L22" i="14"/>
  <c r="L24" i="14"/>
  <c r="Z13" i="16"/>
  <c r="Z16" i="16"/>
  <c r="Z20" i="16"/>
  <c r="X33" i="16"/>
  <c r="L13" i="17"/>
  <c r="Z16" i="17"/>
  <c r="Z24" i="17"/>
  <c r="N13" i="13"/>
  <c r="N22" i="13"/>
  <c r="N24" i="13"/>
  <c r="L13" i="14"/>
  <c r="N21" i="14"/>
  <c r="L25" i="14"/>
  <c r="L29" i="14"/>
  <c r="L33" i="14"/>
  <c r="L34" i="14"/>
  <c r="Z21" i="16"/>
  <c r="Z33" i="16"/>
  <c r="Z15" i="17"/>
  <c r="L20" i="17"/>
  <c r="N21" i="17"/>
  <c r="L34" i="17"/>
  <c r="N29" i="19"/>
  <c r="N22" i="20"/>
  <c r="Z13" i="23"/>
  <c r="X15" i="13"/>
  <c r="N25" i="13"/>
  <c r="N29" i="13"/>
  <c r="N33" i="13"/>
  <c r="N34" i="13"/>
  <c r="N13" i="14"/>
  <c r="N22" i="14"/>
  <c r="N24" i="14"/>
  <c r="R36" i="16"/>
  <c r="R34" i="16"/>
  <c r="R33" i="16"/>
  <c r="R31" i="16"/>
  <c r="R29" i="16"/>
  <c r="R27" i="16"/>
  <c r="R25" i="16"/>
  <c r="X12" i="16"/>
  <c r="R22" i="16"/>
  <c r="R21" i="16"/>
  <c r="R20" i="16"/>
  <c r="R18" i="16"/>
  <c r="R16" i="16"/>
  <c r="R24" i="16"/>
  <c r="P18" i="16"/>
  <c r="R15" i="16"/>
  <c r="X22" i="17"/>
  <c r="N34" i="17"/>
  <c r="N24" i="20"/>
  <c r="Z21" i="22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L12" i="13"/>
  <c r="X16" i="13"/>
  <c r="X20" i="13"/>
  <c r="X15" i="14"/>
  <c r="N25" i="14"/>
  <c r="N29" i="14"/>
  <c r="N33" i="14"/>
  <c r="N34" i="14"/>
  <c r="V21" i="16"/>
  <c r="V31" i="16"/>
  <c r="V33" i="16"/>
  <c r="V22" i="16"/>
  <c r="V20" i="16"/>
  <c r="V18" i="16"/>
  <c r="V16" i="16"/>
  <c r="V34" i="16"/>
  <c r="T18" i="16"/>
  <c r="V15" i="16"/>
  <c r="V24" i="16"/>
  <c r="V36" i="16"/>
  <c r="V25" i="16"/>
  <c r="V27" i="16"/>
  <c r="V29" i="16"/>
  <c r="Z12" i="16"/>
  <c r="L15" i="16"/>
  <c r="L25" i="16"/>
  <c r="X13" i="17"/>
  <c r="N20" i="17"/>
  <c r="Z22" i="17"/>
  <c r="N33" i="19"/>
  <c r="Z16" i="23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N12" i="13"/>
  <c r="X13" i="13"/>
  <c r="Z15" i="13"/>
  <c r="X21" i="13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L12" i="14"/>
  <c r="X16" i="14"/>
  <c r="X20" i="14"/>
  <c r="L16" i="16"/>
  <c r="L20" i="16"/>
  <c r="L24" i="16"/>
  <c r="X29" i="16"/>
  <c r="F36" i="17"/>
  <c r="F34" i="17"/>
  <c r="F33" i="17"/>
  <c r="F31" i="17"/>
  <c r="F29" i="17"/>
  <c r="F27" i="17"/>
  <c r="F25" i="17"/>
  <c r="F18" i="17"/>
  <c r="D18" i="17"/>
  <c r="F20" i="17"/>
  <c r="F21" i="17"/>
  <c r="F22" i="17"/>
  <c r="F24" i="17"/>
  <c r="F15" i="17"/>
  <c r="F16" i="17"/>
  <c r="L12" i="17"/>
  <c r="Z13" i="17"/>
  <c r="X21" i="17"/>
  <c r="L25" i="17"/>
  <c r="Z29" i="17"/>
  <c r="L33" i="17"/>
  <c r="X15" i="19"/>
  <c r="N34" i="19"/>
  <c r="Z22" i="16"/>
  <c r="Z24" i="16"/>
  <c r="Z21" i="17"/>
  <c r="X25" i="17"/>
  <c r="X29" i="17"/>
  <c r="X33" i="17"/>
  <c r="X34" i="17"/>
  <c r="N13" i="19"/>
  <c r="N22" i="19"/>
  <c r="N24" i="19"/>
  <c r="L13" i="20"/>
  <c r="N21" i="20"/>
  <c r="L25" i="20"/>
  <c r="L29" i="20"/>
  <c r="L33" i="20"/>
  <c r="L34" i="20"/>
  <c r="Z13" i="22"/>
  <c r="Z16" i="22"/>
  <c r="Z20" i="22"/>
  <c r="X22" i="22"/>
  <c r="X24" i="22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N12" i="23"/>
  <c r="X13" i="23"/>
  <c r="Z15" i="23"/>
  <c r="X21" i="23"/>
  <c r="Z16" i="32"/>
  <c r="F24" i="19"/>
  <c r="F22" i="19"/>
  <c r="F21" i="19"/>
  <c r="F20" i="19"/>
  <c r="F18" i="19"/>
  <c r="F16" i="19"/>
  <c r="D18" i="19"/>
  <c r="F15" i="19"/>
  <c r="L12" i="19"/>
  <c r="F36" i="19"/>
  <c r="F34" i="19"/>
  <c r="F33" i="19"/>
  <c r="F31" i="19"/>
  <c r="F29" i="19"/>
  <c r="F27" i="19"/>
  <c r="F25" i="19"/>
  <c r="X16" i="19"/>
  <c r="X20" i="19"/>
  <c r="X15" i="20"/>
  <c r="N25" i="20"/>
  <c r="N29" i="20"/>
  <c r="N33" i="20"/>
  <c r="N34" i="20"/>
  <c r="R20" i="22"/>
  <c r="R18" i="22"/>
  <c r="R16" i="22"/>
  <c r="P18" i="22"/>
  <c r="R15" i="22"/>
  <c r="X12" i="22"/>
  <c r="R36" i="22"/>
  <c r="R34" i="22"/>
  <c r="R33" i="22"/>
  <c r="R31" i="22"/>
  <c r="R29" i="22"/>
  <c r="R27" i="22"/>
  <c r="R25" i="22"/>
  <c r="R21" i="22"/>
  <c r="R24" i="22"/>
  <c r="R22" i="22"/>
  <c r="Z22" i="22"/>
  <c r="Z24" i="22"/>
  <c r="Z21" i="23"/>
  <c r="X25" i="23"/>
  <c r="X29" i="23"/>
  <c r="X33" i="23"/>
  <c r="X34" i="23"/>
  <c r="N22" i="25"/>
  <c r="J24" i="26"/>
  <c r="J22" i="26"/>
  <c r="J21" i="26"/>
  <c r="J20" i="26"/>
  <c r="J18" i="26"/>
  <c r="J16" i="26"/>
  <c r="H18" i="26"/>
  <c r="J15" i="26"/>
  <c r="N12" i="26"/>
  <c r="J36" i="26"/>
  <c r="J34" i="26"/>
  <c r="J33" i="26"/>
  <c r="J31" i="26"/>
  <c r="J29" i="26"/>
  <c r="J27" i="26"/>
  <c r="J25" i="26"/>
  <c r="J24" i="28"/>
  <c r="J22" i="28"/>
  <c r="J21" i="28"/>
  <c r="J20" i="28"/>
  <c r="J18" i="28"/>
  <c r="J16" i="28"/>
  <c r="H18" i="28"/>
  <c r="J15" i="28"/>
  <c r="N12" i="28"/>
  <c r="J36" i="28"/>
  <c r="J34" i="28"/>
  <c r="J33" i="28"/>
  <c r="J31" i="28"/>
  <c r="J29" i="28"/>
  <c r="J27" i="28"/>
  <c r="J25" i="28"/>
  <c r="X25" i="31"/>
  <c r="L21" i="32"/>
  <c r="L25" i="34"/>
  <c r="J20" i="19"/>
  <c r="J18" i="19"/>
  <c r="J16" i="19"/>
  <c r="H18" i="19"/>
  <c r="J15" i="19"/>
  <c r="N12" i="19"/>
  <c r="J36" i="19"/>
  <c r="J34" i="19"/>
  <c r="J33" i="19"/>
  <c r="J31" i="19"/>
  <c r="J29" i="19"/>
  <c r="J27" i="19"/>
  <c r="J25" i="19"/>
  <c r="J21" i="19"/>
  <c r="J24" i="19"/>
  <c r="J22" i="19"/>
  <c r="X13" i="19"/>
  <c r="Z15" i="19"/>
  <c r="X21" i="19"/>
  <c r="F21" i="20"/>
  <c r="F20" i="20"/>
  <c r="F18" i="20"/>
  <c r="F16" i="20"/>
  <c r="D18" i="20"/>
  <c r="F15" i="20"/>
  <c r="L12" i="20"/>
  <c r="F24" i="20"/>
  <c r="F22" i="20"/>
  <c r="F27" i="20"/>
  <c r="F25" i="20"/>
  <c r="F36" i="20"/>
  <c r="F34" i="20"/>
  <c r="F33" i="20"/>
  <c r="F31" i="20"/>
  <c r="F29" i="20"/>
  <c r="X16" i="20"/>
  <c r="X20" i="20"/>
  <c r="Z12" i="22"/>
  <c r="V36" i="22"/>
  <c r="V34" i="22"/>
  <c r="V33" i="22"/>
  <c r="V31" i="22"/>
  <c r="V29" i="22"/>
  <c r="V27" i="22"/>
  <c r="V25" i="22"/>
  <c r="V24" i="22"/>
  <c r="V22" i="22"/>
  <c r="V21" i="22"/>
  <c r="T18" i="22"/>
  <c r="V15" i="22"/>
  <c r="V20" i="22"/>
  <c r="V18" i="22"/>
  <c r="V16" i="22"/>
  <c r="L15" i="22"/>
  <c r="Z25" i="22"/>
  <c r="Z29" i="22"/>
  <c r="Z33" i="22"/>
  <c r="Z34" i="22"/>
  <c r="P18" i="23"/>
  <c r="R15" i="23"/>
  <c r="X12" i="23"/>
  <c r="R36" i="23"/>
  <c r="R34" i="23"/>
  <c r="R33" i="23"/>
  <c r="R31" i="23"/>
  <c r="R29" i="23"/>
  <c r="R27" i="23"/>
  <c r="R25" i="23"/>
  <c r="R24" i="23"/>
  <c r="R22" i="23"/>
  <c r="R20" i="23"/>
  <c r="R18" i="23"/>
  <c r="R16" i="23"/>
  <c r="R21" i="23"/>
  <c r="Z22" i="23"/>
  <c r="Z24" i="23"/>
  <c r="Z16" i="25"/>
  <c r="X22" i="25"/>
  <c r="X13" i="28"/>
  <c r="N20" i="35"/>
  <c r="Z13" i="19"/>
  <c r="Z16" i="19"/>
  <c r="Z20" i="19"/>
  <c r="X22" i="19"/>
  <c r="X24" i="19"/>
  <c r="H18" i="20"/>
  <c r="J15" i="20"/>
  <c r="N12" i="20"/>
  <c r="J36" i="20"/>
  <c r="J34" i="20"/>
  <c r="J33" i="20"/>
  <c r="J31" i="20"/>
  <c r="J29" i="20"/>
  <c r="J27" i="20"/>
  <c r="J25" i="20"/>
  <c r="J24" i="20"/>
  <c r="J22" i="20"/>
  <c r="J20" i="20"/>
  <c r="J18" i="20"/>
  <c r="J16" i="20"/>
  <c r="J21" i="20"/>
  <c r="X13" i="20"/>
  <c r="Z15" i="20"/>
  <c r="X21" i="20"/>
  <c r="L16" i="22"/>
  <c r="L20" i="22"/>
  <c r="Z12" i="23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L15" i="23"/>
  <c r="Z25" i="23"/>
  <c r="Z29" i="23"/>
  <c r="Z33" i="23"/>
  <c r="Z34" i="23"/>
  <c r="X13" i="26"/>
  <c r="Z15" i="28"/>
  <c r="X29" i="31"/>
  <c r="Z21" i="19"/>
  <c r="X25" i="19"/>
  <c r="X29" i="19"/>
  <c r="X33" i="19"/>
  <c r="X34" i="19"/>
  <c r="Z13" i="20"/>
  <c r="Z16" i="20"/>
  <c r="Z20" i="20"/>
  <c r="X22" i="20"/>
  <c r="X24" i="20"/>
  <c r="N15" i="22"/>
  <c r="L21" i="22"/>
  <c r="L16" i="23"/>
  <c r="L20" i="23"/>
  <c r="N24" i="25"/>
  <c r="Z15" i="26"/>
  <c r="X12" i="19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Z22" i="19"/>
  <c r="Z24" i="19"/>
  <c r="Z21" i="20"/>
  <c r="X25" i="20"/>
  <c r="X29" i="20"/>
  <c r="X33" i="20"/>
  <c r="X34" i="20"/>
  <c r="N16" i="22"/>
  <c r="N20" i="22"/>
  <c r="L22" i="22"/>
  <c r="L24" i="22"/>
  <c r="N15" i="23"/>
  <c r="L21" i="23"/>
  <c r="X24" i="25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L12" i="29"/>
  <c r="X33" i="31"/>
  <c r="N25" i="16"/>
  <c r="N29" i="16"/>
  <c r="N33" i="16"/>
  <c r="N34" i="16"/>
  <c r="N13" i="17"/>
  <c r="N22" i="17"/>
  <c r="N24" i="17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Z22" i="20"/>
  <c r="Z24" i="20"/>
  <c r="L13" i="22"/>
  <c r="N21" i="22"/>
  <c r="L25" i="22"/>
  <c r="L29" i="22"/>
  <c r="L33" i="22"/>
  <c r="L34" i="22"/>
  <c r="N16" i="23"/>
  <c r="N20" i="23"/>
  <c r="L22" i="23"/>
  <c r="L24" i="23"/>
  <c r="L13" i="25"/>
  <c r="L25" i="25"/>
  <c r="L33" i="25"/>
  <c r="X34" i="31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N13" i="22"/>
  <c r="N22" i="22"/>
  <c r="N24" i="22"/>
  <c r="L13" i="23"/>
  <c r="N21" i="23"/>
  <c r="L25" i="23"/>
  <c r="L29" i="23"/>
  <c r="L33" i="23"/>
  <c r="L34" i="23"/>
  <c r="N13" i="25"/>
  <c r="X21" i="28"/>
  <c r="L33" i="32"/>
  <c r="N15" i="19"/>
  <c r="L21" i="19"/>
  <c r="L16" i="20"/>
  <c r="L20" i="20"/>
  <c r="X15" i="22"/>
  <c r="N25" i="22"/>
  <c r="N29" i="22"/>
  <c r="N33" i="22"/>
  <c r="N34" i="22"/>
  <c r="N13" i="23"/>
  <c r="N22" i="23"/>
  <c r="N24" i="23"/>
  <c r="Z13" i="25"/>
  <c r="Z20" i="25"/>
  <c r="L34" i="25"/>
  <c r="X21" i="26"/>
  <c r="X16" i="29"/>
  <c r="N16" i="19"/>
  <c r="N20" i="19"/>
  <c r="L22" i="19"/>
  <c r="L24" i="19"/>
  <c r="N15" i="20"/>
  <c r="L21" i="20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D18" i="22"/>
  <c r="F15" i="22"/>
  <c r="L12" i="22"/>
  <c r="X16" i="22"/>
  <c r="X20" i="22"/>
  <c r="X15" i="23"/>
  <c r="N25" i="23"/>
  <c r="N29" i="23"/>
  <c r="N33" i="23"/>
  <c r="N34" i="23"/>
  <c r="N21" i="25"/>
  <c r="Z13" i="32"/>
  <c r="L13" i="19"/>
  <c r="N21" i="19"/>
  <c r="L25" i="19"/>
  <c r="L29" i="19"/>
  <c r="L33" i="19"/>
  <c r="L34" i="19"/>
  <c r="N16" i="20"/>
  <c r="N20" i="20"/>
  <c r="L22" i="20"/>
  <c r="L24" i="20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N12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D18" i="23"/>
  <c r="F15" i="23"/>
  <c r="L12" i="23"/>
  <c r="X16" i="23"/>
  <c r="X20" i="23"/>
  <c r="X20" i="29"/>
  <c r="Z21" i="31"/>
  <c r="J36" i="25"/>
  <c r="J34" i="25"/>
  <c r="J33" i="25"/>
  <c r="J31" i="25"/>
  <c r="J29" i="25"/>
  <c r="J27" i="25"/>
  <c r="J25" i="25"/>
  <c r="J24" i="25"/>
  <c r="J22" i="25"/>
  <c r="H18" i="25"/>
  <c r="J15" i="25"/>
  <c r="N12" i="25"/>
  <c r="J21" i="25"/>
  <c r="J20" i="25"/>
  <c r="J18" i="25"/>
  <c r="J16" i="25"/>
  <c r="X13" i="25"/>
  <c r="Z15" i="25"/>
  <c r="X21" i="25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L12" i="26"/>
  <c r="X16" i="26"/>
  <c r="X20" i="26"/>
  <c r="F36" i="28"/>
  <c r="F34" i="28"/>
  <c r="F33" i="28"/>
  <c r="F31" i="28"/>
  <c r="F29" i="28"/>
  <c r="F27" i="28"/>
  <c r="F25" i="28"/>
  <c r="F24" i="28"/>
  <c r="F22" i="28"/>
  <c r="F21" i="28"/>
  <c r="F20" i="28"/>
  <c r="F18" i="28"/>
  <c r="F16" i="28"/>
  <c r="D18" i="28"/>
  <c r="F15" i="28"/>
  <c r="L12" i="28"/>
  <c r="X16" i="28"/>
  <c r="X20" i="28"/>
  <c r="X15" i="29"/>
  <c r="N25" i="29"/>
  <c r="N29" i="29"/>
  <c r="N33" i="29"/>
  <c r="N34" i="29"/>
  <c r="Z13" i="31"/>
  <c r="Z16" i="31"/>
  <c r="Z20" i="31"/>
  <c r="X22" i="31"/>
  <c r="X24" i="31"/>
  <c r="J21" i="32"/>
  <c r="J36" i="32"/>
  <c r="J25" i="32"/>
  <c r="J27" i="32"/>
  <c r="J16" i="32"/>
  <c r="J29" i="32"/>
  <c r="J18" i="32"/>
  <c r="J15" i="32"/>
  <c r="H18" i="32"/>
  <c r="J31" i="32"/>
  <c r="J20" i="32"/>
  <c r="J33" i="32"/>
  <c r="J22" i="32"/>
  <c r="N12" i="32"/>
  <c r="J24" i="32"/>
  <c r="J34" i="32"/>
  <c r="X13" i="32"/>
  <c r="Z15" i="32"/>
  <c r="L22" i="32"/>
  <c r="N34" i="32"/>
  <c r="L21" i="38"/>
  <c r="Z21" i="25"/>
  <c r="X25" i="25"/>
  <c r="X29" i="25"/>
  <c r="X33" i="25"/>
  <c r="X34" i="25"/>
  <c r="Z13" i="26"/>
  <c r="Z16" i="26"/>
  <c r="Z20" i="26"/>
  <c r="X22" i="26"/>
  <c r="X24" i="26"/>
  <c r="Z13" i="28"/>
  <c r="Z16" i="28"/>
  <c r="Z20" i="28"/>
  <c r="X22" i="28"/>
  <c r="X24" i="28"/>
  <c r="J21" i="29"/>
  <c r="J20" i="29"/>
  <c r="J18" i="29"/>
  <c r="J16" i="29"/>
  <c r="H18" i="29"/>
  <c r="J15" i="29"/>
  <c r="N12" i="29"/>
  <c r="J24" i="29"/>
  <c r="J22" i="29"/>
  <c r="J36" i="29"/>
  <c r="J34" i="29"/>
  <c r="J33" i="29"/>
  <c r="J31" i="29"/>
  <c r="J29" i="29"/>
  <c r="J27" i="29"/>
  <c r="J25" i="29"/>
  <c r="X13" i="29"/>
  <c r="Z15" i="29"/>
  <c r="X21" i="29"/>
  <c r="R20" i="31"/>
  <c r="R18" i="31"/>
  <c r="R16" i="31"/>
  <c r="P18" i="31"/>
  <c r="R15" i="31"/>
  <c r="X12" i="31"/>
  <c r="R36" i="31"/>
  <c r="R34" i="31"/>
  <c r="R33" i="31"/>
  <c r="R31" i="31"/>
  <c r="R29" i="31"/>
  <c r="R27" i="31"/>
  <c r="R25" i="31"/>
  <c r="R21" i="31"/>
  <c r="R22" i="31"/>
  <c r="R24" i="31"/>
  <c r="Z22" i="31"/>
  <c r="Z24" i="31"/>
  <c r="L20" i="32"/>
  <c r="N33" i="32"/>
  <c r="P18" i="25"/>
  <c r="R15" i="25"/>
  <c r="X12" i="25"/>
  <c r="R36" i="25"/>
  <c r="R34" i="25"/>
  <c r="R33" i="25"/>
  <c r="R31" i="25"/>
  <c r="R29" i="25"/>
  <c r="R27" i="25"/>
  <c r="R25" i="25"/>
  <c r="R24" i="25"/>
  <c r="R22" i="25"/>
  <c r="R20" i="25"/>
  <c r="R18" i="25"/>
  <c r="R16" i="25"/>
  <c r="R21" i="25"/>
  <c r="Z22" i="25"/>
  <c r="Z24" i="25"/>
  <c r="Z21" i="26"/>
  <c r="X25" i="26"/>
  <c r="X29" i="26"/>
  <c r="X33" i="26"/>
  <c r="X34" i="26"/>
  <c r="Z21" i="28"/>
  <c r="X25" i="28"/>
  <c r="X29" i="28"/>
  <c r="X33" i="28"/>
  <c r="X34" i="28"/>
  <c r="Z13" i="29"/>
  <c r="Z16" i="29"/>
  <c r="Z20" i="29"/>
  <c r="X22" i="29"/>
  <c r="X24" i="29"/>
  <c r="Z12" i="31"/>
  <c r="V36" i="31"/>
  <c r="V34" i="31"/>
  <c r="V33" i="31"/>
  <c r="V31" i="31"/>
  <c r="V29" i="31"/>
  <c r="V27" i="31"/>
  <c r="V25" i="31"/>
  <c r="V24" i="31"/>
  <c r="V22" i="31"/>
  <c r="V21" i="31"/>
  <c r="T18" i="31"/>
  <c r="V15" i="31"/>
  <c r="V20" i="31"/>
  <c r="V18" i="31"/>
  <c r="V16" i="31"/>
  <c r="L15" i="31"/>
  <c r="Z25" i="31"/>
  <c r="Z29" i="31"/>
  <c r="Z33" i="31"/>
  <c r="Z34" i="31"/>
  <c r="R24" i="32"/>
  <c r="R22" i="32"/>
  <c r="R15" i="32"/>
  <c r="R29" i="32"/>
  <c r="R18" i="32"/>
  <c r="P18" i="32"/>
  <c r="R31" i="32"/>
  <c r="R20" i="32"/>
  <c r="R21" i="32"/>
  <c r="R33" i="32"/>
  <c r="X12" i="32"/>
  <c r="R34" i="32"/>
  <c r="R36" i="32"/>
  <c r="R25" i="32"/>
  <c r="R27" i="32"/>
  <c r="R16" i="32"/>
  <c r="N21" i="32"/>
  <c r="X24" i="32"/>
  <c r="Z25" i="32"/>
  <c r="L29" i="34"/>
  <c r="L22" i="35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1" i="26"/>
  <c r="P18" i="26"/>
  <c r="R15" i="26"/>
  <c r="R20" i="26"/>
  <c r="R18" i="26"/>
  <c r="R16" i="26"/>
  <c r="Z22" i="26"/>
  <c r="Z24" i="26"/>
  <c r="X12" i="28"/>
  <c r="R36" i="28"/>
  <c r="R34" i="28"/>
  <c r="R33" i="28"/>
  <c r="R31" i="28"/>
  <c r="R29" i="28"/>
  <c r="R27" i="28"/>
  <c r="R25" i="28"/>
  <c r="R24" i="28"/>
  <c r="R22" i="28"/>
  <c r="R21" i="28"/>
  <c r="P18" i="28"/>
  <c r="R15" i="28"/>
  <c r="R20" i="28"/>
  <c r="R18" i="28"/>
  <c r="R16" i="28"/>
  <c r="Z22" i="28"/>
  <c r="Z24" i="28"/>
  <c r="Z21" i="29"/>
  <c r="X25" i="29"/>
  <c r="X29" i="29"/>
  <c r="X33" i="29"/>
  <c r="X34" i="29"/>
  <c r="L16" i="31"/>
  <c r="L20" i="31"/>
  <c r="V20" i="32"/>
  <c r="V18" i="32"/>
  <c r="V16" i="32"/>
  <c r="T18" i="32"/>
  <c r="V31" i="32"/>
  <c r="V33" i="32"/>
  <c r="V21" i="32"/>
  <c r="V22" i="32"/>
  <c r="V34" i="32"/>
  <c r="Z12" i="32"/>
  <c r="V24" i="32"/>
  <c r="V36" i="32"/>
  <c r="V25" i="32"/>
  <c r="V27" i="32"/>
  <c r="V29" i="32"/>
  <c r="V15" i="32"/>
  <c r="L15" i="32"/>
  <c r="N20" i="32"/>
  <c r="Z24" i="32"/>
  <c r="L24" i="35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L15" i="26"/>
  <c r="Z25" i="26"/>
  <c r="Z29" i="26"/>
  <c r="Z33" i="26"/>
  <c r="Z34" i="26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P18" i="29"/>
  <c r="R15" i="29"/>
  <c r="Z22" i="29"/>
  <c r="Z24" i="29"/>
  <c r="N15" i="31"/>
  <c r="L21" i="31"/>
  <c r="L16" i="32"/>
  <c r="X22" i="32"/>
  <c r="L29" i="32"/>
  <c r="Z34" i="32"/>
  <c r="L13" i="34"/>
  <c r="L33" i="34"/>
  <c r="X33" i="37"/>
  <c r="N15" i="25"/>
  <c r="L21" i="25"/>
  <c r="L16" i="26"/>
  <c r="L20" i="26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T18" i="29"/>
  <c r="V15" i="29"/>
  <c r="L15" i="29"/>
  <c r="Z25" i="29"/>
  <c r="Z29" i="29"/>
  <c r="Z33" i="29"/>
  <c r="Z34" i="29"/>
  <c r="N16" i="31"/>
  <c r="N20" i="31"/>
  <c r="L22" i="31"/>
  <c r="L24" i="31"/>
  <c r="N15" i="32"/>
  <c r="X21" i="32"/>
  <c r="Z22" i="32"/>
  <c r="N29" i="32"/>
  <c r="L34" i="34"/>
  <c r="J36" i="37"/>
  <c r="J34" i="37"/>
  <c r="J33" i="37"/>
  <c r="J31" i="37"/>
  <c r="J29" i="37"/>
  <c r="J27" i="37"/>
  <c r="J25" i="37"/>
  <c r="J21" i="37"/>
  <c r="J22" i="37"/>
  <c r="J24" i="37"/>
  <c r="J15" i="37"/>
  <c r="J16" i="37"/>
  <c r="N12" i="37"/>
  <c r="J18" i="37"/>
  <c r="J20" i="37"/>
  <c r="H18" i="37"/>
  <c r="Z34" i="37"/>
  <c r="N16" i="25"/>
  <c r="N20" i="25"/>
  <c r="L22" i="25"/>
  <c r="L24" i="25"/>
  <c r="N15" i="26"/>
  <c r="L21" i="26"/>
  <c r="N15" i="28"/>
  <c r="L21" i="28"/>
  <c r="L16" i="29"/>
  <c r="L20" i="29"/>
  <c r="L13" i="31"/>
  <c r="N21" i="31"/>
  <c r="L25" i="31"/>
  <c r="L29" i="31"/>
  <c r="L33" i="31"/>
  <c r="L34" i="31"/>
  <c r="N16" i="32"/>
  <c r="X20" i="32"/>
  <c r="Z33" i="32"/>
  <c r="N16" i="26"/>
  <c r="N20" i="26"/>
  <c r="L22" i="26"/>
  <c r="L24" i="26"/>
  <c r="N16" i="28"/>
  <c r="N20" i="28"/>
  <c r="L22" i="28"/>
  <c r="L24" i="28"/>
  <c r="N15" i="29"/>
  <c r="L21" i="29"/>
  <c r="N13" i="31"/>
  <c r="N22" i="31"/>
  <c r="N24" i="31"/>
  <c r="L13" i="32"/>
  <c r="L13" i="38"/>
  <c r="L13" i="26"/>
  <c r="N21" i="26"/>
  <c r="L25" i="26"/>
  <c r="L29" i="26"/>
  <c r="L33" i="26"/>
  <c r="L34" i="26"/>
  <c r="L13" i="28"/>
  <c r="N21" i="28"/>
  <c r="L25" i="28"/>
  <c r="L29" i="28"/>
  <c r="L33" i="28"/>
  <c r="L34" i="28"/>
  <c r="N16" i="29"/>
  <c r="N20" i="29"/>
  <c r="L22" i="29"/>
  <c r="L24" i="29"/>
  <c r="X15" i="31"/>
  <c r="N25" i="31"/>
  <c r="N29" i="31"/>
  <c r="N33" i="31"/>
  <c r="N34" i="31"/>
  <c r="N13" i="32"/>
  <c r="Z20" i="32"/>
  <c r="L25" i="32"/>
  <c r="X15" i="25"/>
  <c r="N25" i="25"/>
  <c r="N29" i="25"/>
  <c r="N33" i="25"/>
  <c r="N34" i="25"/>
  <c r="N13" i="26"/>
  <c r="N22" i="26"/>
  <c r="N24" i="26"/>
  <c r="N13" i="28"/>
  <c r="N22" i="28"/>
  <c r="N24" i="28"/>
  <c r="L13" i="29"/>
  <c r="N21" i="29"/>
  <c r="L25" i="29"/>
  <c r="L29" i="29"/>
  <c r="L33" i="29"/>
  <c r="L34" i="29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D18" i="31"/>
  <c r="F15" i="31"/>
  <c r="L12" i="31"/>
  <c r="X16" i="31"/>
  <c r="X20" i="31"/>
  <c r="X15" i="32"/>
  <c r="L24" i="32"/>
  <c r="N25" i="32"/>
  <c r="N21" i="34"/>
  <c r="Z16" i="38"/>
  <c r="F36" i="25"/>
  <c r="F34" i="25"/>
  <c r="F33" i="25"/>
  <c r="F21" i="25"/>
  <c r="F20" i="25"/>
  <c r="F18" i="25"/>
  <c r="F16" i="25"/>
  <c r="D18" i="25"/>
  <c r="F15" i="25"/>
  <c r="F27" i="25"/>
  <c r="F25" i="25"/>
  <c r="L12" i="25"/>
  <c r="F31" i="25"/>
  <c r="F24" i="25"/>
  <c r="F29" i="25"/>
  <c r="F22" i="25"/>
  <c r="X16" i="25"/>
  <c r="X20" i="25"/>
  <c r="X15" i="26"/>
  <c r="N25" i="26"/>
  <c r="N29" i="26"/>
  <c r="N33" i="26"/>
  <c r="N34" i="26"/>
  <c r="X15" i="28"/>
  <c r="N25" i="28"/>
  <c r="N29" i="28"/>
  <c r="N33" i="28"/>
  <c r="N34" i="28"/>
  <c r="N13" i="29"/>
  <c r="N22" i="29"/>
  <c r="N24" i="29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N12" i="31"/>
  <c r="X13" i="31"/>
  <c r="Z15" i="31"/>
  <c r="X21" i="31"/>
  <c r="F36" i="32"/>
  <c r="F34" i="32"/>
  <c r="F33" i="32"/>
  <c r="F31" i="32"/>
  <c r="F29" i="32"/>
  <c r="F27" i="32"/>
  <c r="F25" i="32"/>
  <c r="F24" i="32"/>
  <c r="F16" i="32"/>
  <c r="F18" i="32"/>
  <c r="F15" i="32"/>
  <c r="D18" i="32"/>
  <c r="F20" i="32"/>
  <c r="F21" i="32"/>
  <c r="L12" i="32"/>
  <c r="F22" i="32"/>
  <c r="X16" i="32"/>
  <c r="Z29" i="32"/>
  <c r="L34" i="32"/>
  <c r="N16" i="35"/>
  <c r="X21" i="37"/>
  <c r="Z21" i="32"/>
  <c r="X25" i="32"/>
  <c r="X29" i="32"/>
  <c r="X33" i="32"/>
  <c r="X34" i="32"/>
  <c r="N16" i="34"/>
  <c r="N20" i="34"/>
  <c r="L22" i="34"/>
  <c r="L24" i="34"/>
  <c r="N15" i="35"/>
  <c r="L21" i="35"/>
  <c r="Z13" i="37"/>
  <c r="X22" i="37"/>
  <c r="Z24" i="37"/>
  <c r="L29" i="37"/>
  <c r="L22" i="38"/>
  <c r="N24" i="38"/>
  <c r="Z29" i="38"/>
  <c r="L33" i="38"/>
  <c r="Z25" i="41"/>
  <c r="N13" i="34"/>
  <c r="N22" i="34"/>
  <c r="N24" i="34"/>
  <c r="L13" i="35"/>
  <c r="N21" i="35"/>
  <c r="L25" i="35"/>
  <c r="L29" i="35"/>
  <c r="L33" i="35"/>
  <c r="L34" i="35"/>
  <c r="L16" i="37"/>
  <c r="Z22" i="37"/>
  <c r="N29" i="37"/>
  <c r="N13" i="38"/>
  <c r="Z15" i="38"/>
  <c r="N22" i="38"/>
  <c r="X25" i="38"/>
  <c r="X15" i="34"/>
  <c r="N25" i="34"/>
  <c r="N29" i="34"/>
  <c r="N33" i="34"/>
  <c r="N34" i="34"/>
  <c r="N13" i="35"/>
  <c r="N22" i="35"/>
  <c r="N24" i="35"/>
  <c r="L15" i="37"/>
  <c r="N16" i="37"/>
  <c r="Z21" i="37"/>
  <c r="Z33" i="37"/>
  <c r="N21" i="38"/>
  <c r="X24" i="38"/>
  <c r="Z34" i="38"/>
  <c r="R24" i="40"/>
  <c r="R22" i="40"/>
  <c r="R33" i="40"/>
  <c r="R34" i="40"/>
  <c r="R36" i="40"/>
  <c r="R25" i="40"/>
  <c r="R15" i="40"/>
  <c r="R27" i="40"/>
  <c r="R16" i="40"/>
  <c r="R29" i="40"/>
  <c r="R18" i="40"/>
  <c r="X12" i="40"/>
  <c r="P18" i="40"/>
  <c r="R21" i="40"/>
  <c r="R20" i="40"/>
  <c r="R31" i="40"/>
  <c r="F20" i="34"/>
  <c r="F18" i="34"/>
  <c r="F16" i="34"/>
  <c r="D18" i="34"/>
  <c r="F15" i="34"/>
  <c r="L12" i="34"/>
  <c r="F36" i="34"/>
  <c r="F34" i="34"/>
  <c r="F33" i="34"/>
  <c r="F31" i="34"/>
  <c r="F29" i="34"/>
  <c r="F27" i="34"/>
  <c r="F25" i="34"/>
  <c r="F21" i="34"/>
  <c r="F22" i="34"/>
  <c r="F24" i="34"/>
  <c r="X16" i="34"/>
  <c r="X20" i="34"/>
  <c r="X15" i="35"/>
  <c r="N25" i="35"/>
  <c r="N29" i="35"/>
  <c r="N33" i="35"/>
  <c r="N34" i="35"/>
  <c r="P18" i="37"/>
  <c r="R15" i="37"/>
  <c r="R24" i="37"/>
  <c r="R36" i="37"/>
  <c r="R25" i="37"/>
  <c r="R27" i="37"/>
  <c r="R16" i="37"/>
  <c r="R29" i="37"/>
  <c r="X12" i="37"/>
  <c r="R18" i="37"/>
  <c r="R31" i="37"/>
  <c r="R20" i="37"/>
  <c r="R33" i="37"/>
  <c r="R21" i="37"/>
  <c r="R34" i="37"/>
  <c r="R22" i="37"/>
  <c r="Z20" i="37"/>
  <c r="L25" i="37"/>
  <c r="X13" i="38"/>
  <c r="N20" i="38"/>
  <c r="Z25" i="38"/>
  <c r="X34" i="41"/>
  <c r="L34" i="44"/>
  <c r="N12" i="34"/>
  <c r="J36" i="34"/>
  <c r="J34" i="34"/>
  <c r="J33" i="34"/>
  <c r="J31" i="34"/>
  <c r="J29" i="34"/>
  <c r="J27" i="34"/>
  <c r="J25" i="34"/>
  <c r="J24" i="34"/>
  <c r="J22" i="34"/>
  <c r="J21" i="34"/>
  <c r="H18" i="34"/>
  <c r="J15" i="34"/>
  <c r="J20" i="34"/>
  <c r="J18" i="34"/>
  <c r="J16" i="34"/>
  <c r="X13" i="34"/>
  <c r="Z15" i="34"/>
  <c r="X21" i="34"/>
  <c r="D18" i="35"/>
  <c r="F15" i="35"/>
  <c r="L12" i="35"/>
  <c r="F36" i="35"/>
  <c r="F34" i="35"/>
  <c r="F33" i="35"/>
  <c r="F31" i="35"/>
  <c r="F29" i="35"/>
  <c r="F27" i="35"/>
  <c r="F25" i="35"/>
  <c r="F24" i="35"/>
  <c r="F22" i="35"/>
  <c r="F20" i="35"/>
  <c r="F18" i="35"/>
  <c r="F16" i="35"/>
  <c r="F21" i="35"/>
  <c r="X16" i="35"/>
  <c r="X20" i="35"/>
  <c r="Z12" i="37"/>
  <c r="V27" i="37"/>
  <c r="V15" i="37"/>
  <c r="V16" i="37"/>
  <c r="V29" i="37"/>
  <c r="V18" i="37"/>
  <c r="V31" i="37"/>
  <c r="T18" i="37"/>
  <c r="V20" i="37"/>
  <c r="V33" i="37"/>
  <c r="V21" i="37"/>
  <c r="V22" i="37"/>
  <c r="V34" i="37"/>
  <c r="V36" i="37"/>
  <c r="V25" i="37"/>
  <c r="V24" i="37"/>
  <c r="L24" i="37"/>
  <c r="X29" i="37"/>
  <c r="D18" i="38"/>
  <c r="F15" i="38"/>
  <c r="F24" i="38"/>
  <c r="F34" i="38"/>
  <c r="F25" i="38"/>
  <c r="F27" i="38"/>
  <c r="F36" i="38"/>
  <c r="F16" i="38"/>
  <c r="L12" i="38"/>
  <c r="F29" i="38"/>
  <c r="F18" i="38"/>
  <c r="F31" i="38"/>
  <c r="F20" i="38"/>
  <c r="F21" i="38"/>
  <c r="F33" i="38"/>
  <c r="F22" i="38"/>
  <c r="Z13" i="38"/>
  <c r="X22" i="38"/>
  <c r="Z24" i="38"/>
  <c r="L29" i="38"/>
  <c r="N16" i="40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J15" i="35"/>
  <c r="H18" i="35"/>
  <c r="X13" i="35"/>
  <c r="Z15" i="35"/>
  <c r="X21" i="35"/>
  <c r="N25" i="37"/>
  <c r="L34" i="37"/>
  <c r="J24" i="38"/>
  <c r="J22" i="38"/>
  <c r="J34" i="38"/>
  <c r="J25" i="38"/>
  <c r="J15" i="38"/>
  <c r="J27" i="38"/>
  <c r="J16" i="38"/>
  <c r="J36" i="38"/>
  <c r="N12" i="38"/>
  <c r="J29" i="38"/>
  <c r="J18" i="38"/>
  <c r="H18" i="38"/>
  <c r="J31" i="38"/>
  <c r="J20" i="38"/>
  <c r="J21" i="38"/>
  <c r="J33" i="38"/>
  <c r="X21" i="38"/>
  <c r="Z33" i="38"/>
  <c r="N22" i="32"/>
  <c r="N24" i="32"/>
  <c r="Z21" i="34"/>
  <c r="X25" i="34"/>
  <c r="X29" i="34"/>
  <c r="X33" i="34"/>
  <c r="X34" i="34"/>
  <c r="Z13" i="35"/>
  <c r="Z16" i="35"/>
  <c r="Z20" i="35"/>
  <c r="X22" i="35"/>
  <c r="X24" i="35"/>
  <c r="L22" i="37"/>
  <c r="N24" i="37"/>
  <c r="Z29" i="37"/>
  <c r="X20" i="38"/>
  <c r="Z22" i="38"/>
  <c r="X12" i="3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Z22" i="34"/>
  <c r="Z24" i="34"/>
  <c r="Z21" i="35"/>
  <c r="X25" i="35"/>
  <c r="X29" i="35"/>
  <c r="X33" i="35"/>
  <c r="X34" i="35"/>
  <c r="L13" i="37"/>
  <c r="X15" i="37"/>
  <c r="Z16" i="37"/>
  <c r="L33" i="37"/>
  <c r="N34" i="37"/>
  <c r="L15" i="38"/>
  <c r="N16" i="38"/>
  <c r="Z21" i="38"/>
  <c r="Z12" i="3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Z22" i="35"/>
  <c r="Z24" i="35"/>
  <c r="N13" i="37"/>
  <c r="Z15" i="37"/>
  <c r="N22" i="37"/>
  <c r="X25" i="37"/>
  <c r="X12" i="38"/>
  <c r="R36" i="38"/>
  <c r="R29" i="38"/>
  <c r="R18" i="38"/>
  <c r="P18" i="38"/>
  <c r="R31" i="38"/>
  <c r="R20" i="38"/>
  <c r="R21" i="38"/>
  <c r="R22" i="38"/>
  <c r="R33" i="38"/>
  <c r="R24" i="38"/>
  <c r="R25" i="38"/>
  <c r="R34" i="38"/>
  <c r="R16" i="38"/>
  <c r="R15" i="38"/>
  <c r="R27" i="38"/>
  <c r="N15" i="38"/>
  <c r="Z20" i="38"/>
  <c r="L25" i="38"/>
  <c r="L34" i="38"/>
  <c r="L16" i="34"/>
  <c r="L20" i="34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Z12" i="35"/>
  <c r="L15" i="35"/>
  <c r="Z25" i="35"/>
  <c r="Z29" i="35"/>
  <c r="Z33" i="35"/>
  <c r="Z34" i="35"/>
  <c r="L20" i="37"/>
  <c r="N21" i="37"/>
  <c r="X24" i="37"/>
  <c r="N33" i="37"/>
  <c r="V36" i="38"/>
  <c r="V34" i="38"/>
  <c r="V33" i="38"/>
  <c r="V31" i="38"/>
  <c r="V29" i="38"/>
  <c r="V27" i="38"/>
  <c r="V25" i="38"/>
  <c r="T18" i="38"/>
  <c r="Z12" i="38"/>
  <c r="V20" i="38"/>
  <c r="V21" i="38"/>
  <c r="V22" i="38"/>
  <c r="V24" i="38"/>
  <c r="V15" i="38"/>
  <c r="V16" i="38"/>
  <c r="V18" i="38"/>
  <c r="L24" i="38"/>
  <c r="X29" i="38"/>
  <c r="N15" i="34"/>
  <c r="L21" i="34"/>
  <c r="L16" i="35"/>
  <c r="L20" i="35"/>
  <c r="X13" i="37"/>
  <c r="N20" i="37"/>
  <c r="Z25" i="37"/>
  <c r="X34" i="37"/>
  <c r="X16" i="38"/>
  <c r="F20" i="37"/>
  <c r="F18" i="37"/>
  <c r="F16" i="37"/>
  <c r="F31" i="37"/>
  <c r="F33" i="37"/>
  <c r="F21" i="37"/>
  <c r="F22" i="37"/>
  <c r="F34" i="37"/>
  <c r="F24" i="37"/>
  <c r="F36" i="37"/>
  <c r="F25" i="37"/>
  <c r="F15" i="37"/>
  <c r="F27" i="37"/>
  <c r="L12" i="37"/>
  <c r="D18" i="37"/>
  <c r="F29" i="37"/>
  <c r="X16" i="37"/>
  <c r="X20" i="37"/>
  <c r="X15" i="38"/>
  <c r="N25" i="38"/>
  <c r="N29" i="38"/>
  <c r="N33" i="38"/>
  <c r="N34" i="38"/>
  <c r="L15" i="40"/>
  <c r="X20" i="40"/>
  <c r="Z33" i="40"/>
  <c r="Z15" i="41"/>
  <c r="L20" i="41"/>
  <c r="N33" i="41"/>
  <c r="L13" i="44"/>
  <c r="L33" i="44"/>
  <c r="V20" i="40"/>
  <c r="V18" i="40"/>
  <c r="V16" i="40"/>
  <c r="V34" i="40"/>
  <c r="V24" i="40"/>
  <c r="V36" i="40"/>
  <c r="V25" i="40"/>
  <c r="V15" i="40"/>
  <c r="V27" i="40"/>
  <c r="V29" i="40"/>
  <c r="T18" i="40"/>
  <c r="Z12" i="40"/>
  <c r="V31" i="40"/>
  <c r="V22" i="40"/>
  <c r="V21" i="40"/>
  <c r="V33" i="40"/>
  <c r="N15" i="40"/>
  <c r="Z20" i="40"/>
  <c r="L25" i="40"/>
  <c r="X13" i="41"/>
  <c r="N20" i="41"/>
  <c r="Z24" i="41"/>
  <c r="N22" i="43"/>
  <c r="L24" i="40"/>
  <c r="N25" i="40"/>
  <c r="F24" i="41"/>
  <c r="F22" i="41"/>
  <c r="L12" i="41"/>
  <c r="F33" i="41"/>
  <c r="F34" i="41"/>
  <c r="F36" i="41"/>
  <c r="F25" i="41"/>
  <c r="F15" i="41"/>
  <c r="F27" i="41"/>
  <c r="F16" i="41"/>
  <c r="F29" i="41"/>
  <c r="F18" i="41"/>
  <c r="D18" i="41"/>
  <c r="F21" i="41"/>
  <c r="F20" i="41"/>
  <c r="F31" i="41"/>
  <c r="X33" i="41"/>
  <c r="Z34" i="41"/>
  <c r="N24" i="43"/>
  <c r="X33" i="38"/>
  <c r="X34" i="38"/>
  <c r="X16" i="40"/>
  <c r="Z29" i="40"/>
  <c r="L34" i="40"/>
  <c r="J20" i="41"/>
  <c r="J18" i="41"/>
  <c r="J16" i="41"/>
  <c r="J34" i="41"/>
  <c r="J24" i="41"/>
  <c r="J36" i="41"/>
  <c r="J25" i="41"/>
  <c r="J15" i="41"/>
  <c r="J27" i="41"/>
  <c r="J29" i="41"/>
  <c r="N12" i="41"/>
  <c r="H18" i="41"/>
  <c r="J31" i="41"/>
  <c r="J22" i="41"/>
  <c r="J21" i="41"/>
  <c r="J33" i="41"/>
  <c r="L16" i="41"/>
  <c r="X21" i="41"/>
  <c r="Z22" i="41"/>
  <c r="N29" i="41"/>
  <c r="N24" i="46"/>
  <c r="X15" i="40"/>
  <c r="L22" i="40"/>
  <c r="N34" i="40"/>
  <c r="L15" i="41"/>
  <c r="X20" i="41"/>
  <c r="Z21" i="41"/>
  <c r="Z33" i="41"/>
  <c r="N21" i="44"/>
  <c r="Z29" i="46"/>
  <c r="L13" i="40"/>
  <c r="Z16" i="40"/>
  <c r="L21" i="40"/>
  <c r="L33" i="40"/>
  <c r="R21" i="41"/>
  <c r="R15" i="41"/>
  <c r="R27" i="41"/>
  <c r="R16" i="41"/>
  <c r="R29" i="41"/>
  <c r="R18" i="41"/>
  <c r="X12" i="41"/>
  <c r="P18" i="41"/>
  <c r="R31" i="41"/>
  <c r="R20" i="41"/>
  <c r="R33" i="41"/>
  <c r="R22" i="41"/>
  <c r="R34" i="41"/>
  <c r="R36" i="41"/>
  <c r="R25" i="41"/>
  <c r="R24" i="41"/>
  <c r="N16" i="41"/>
  <c r="N15" i="37"/>
  <c r="L21" i="37"/>
  <c r="L16" i="38"/>
  <c r="L20" i="38"/>
  <c r="Z15" i="40"/>
  <c r="L20" i="40"/>
  <c r="N33" i="40"/>
  <c r="T18" i="41"/>
  <c r="V15" i="41"/>
  <c r="V16" i="41"/>
  <c r="V29" i="41"/>
  <c r="V18" i="41"/>
  <c r="Z12" i="41"/>
  <c r="V31" i="41"/>
  <c r="V20" i="41"/>
  <c r="V33" i="41"/>
  <c r="V21" i="41"/>
  <c r="V22" i="41"/>
  <c r="V34" i="41"/>
  <c r="V24" i="41"/>
  <c r="V36" i="41"/>
  <c r="V25" i="41"/>
  <c r="V27" i="41"/>
  <c r="N15" i="41"/>
  <c r="X29" i="41"/>
  <c r="N21" i="40"/>
  <c r="X24" i="40"/>
  <c r="Z25" i="40"/>
  <c r="L24" i="41"/>
  <c r="N25" i="41"/>
  <c r="N13" i="43"/>
  <c r="L25" i="44"/>
  <c r="Z22" i="47"/>
  <c r="X13" i="40"/>
  <c r="N20" i="40"/>
  <c r="Z24" i="40"/>
  <c r="X16" i="41"/>
  <c r="N24" i="41"/>
  <c r="Z29" i="41"/>
  <c r="F36" i="40"/>
  <c r="F34" i="40"/>
  <c r="F33" i="40"/>
  <c r="F31" i="40"/>
  <c r="F29" i="40"/>
  <c r="F27" i="40"/>
  <c r="F25" i="40"/>
  <c r="F18" i="40"/>
  <c r="D18" i="40"/>
  <c r="F20" i="40"/>
  <c r="F21" i="40"/>
  <c r="F22" i="40"/>
  <c r="F24" i="40"/>
  <c r="F16" i="40"/>
  <c r="L12" i="40"/>
  <c r="F15" i="40"/>
  <c r="Z13" i="40"/>
  <c r="X22" i="40"/>
  <c r="L29" i="40"/>
  <c r="Z34" i="40"/>
  <c r="X15" i="41"/>
  <c r="L22" i="41"/>
  <c r="N34" i="41"/>
  <c r="L29" i="44"/>
  <c r="J21" i="40"/>
  <c r="N12" i="40"/>
  <c r="H18" i="40"/>
  <c r="J31" i="40"/>
  <c r="J20" i="40"/>
  <c r="J33" i="40"/>
  <c r="J22" i="40"/>
  <c r="J34" i="40"/>
  <c r="J24" i="40"/>
  <c r="J36" i="40"/>
  <c r="J25" i="40"/>
  <c r="J15" i="40"/>
  <c r="J27" i="40"/>
  <c r="J16" i="40"/>
  <c r="J29" i="40"/>
  <c r="J18" i="40"/>
  <c r="L16" i="40"/>
  <c r="X21" i="40"/>
  <c r="Z22" i="40"/>
  <c r="N29" i="40"/>
  <c r="N13" i="41"/>
  <c r="L21" i="41"/>
  <c r="N22" i="41"/>
  <c r="X25" i="41"/>
  <c r="Z21" i="40"/>
  <c r="X25" i="40"/>
  <c r="X29" i="40"/>
  <c r="X33" i="40"/>
  <c r="X34" i="40"/>
  <c r="Z13" i="41"/>
  <c r="Z16" i="41"/>
  <c r="Z20" i="41"/>
  <c r="X22" i="41"/>
  <c r="X24" i="41"/>
  <c r="L13" i="43"/>
  <c r="N21" i="43"/>
  <c r="L25" i="43"/>
  <c r="L29" i="43"/>
  <c r="L33" i="43"/>
  <c r="L34" i="43"/>
  <c r="N16" i="44"/>
  <c r="N20" i="44"/>
  <c r="L22" i="44"/>
  <c r="L24" i="44"/>
  <c r="N20" i="46"/>
  <c r="L24" i="46"/>
  <c r="N29" i="47"/>
  <c r="F29" i="50"/>
  <c r="F31" i="50"/>
  <c r="F18" i="50"/>
  <c r="F16" i="50"/>
  <c r="F33" i="50"/>
  <c r="F21" i="50"/>
  <c r="F20" i="50"/>
  <c r="D18" i="50"/>
  <c r="F15" i="50"/>
  <c r="F22" i="50"/>
  <c r="F34" i="50"/>
  <c r="F24" i="50"/>
  <c r="F36" i="50"/>
  <c r="F25" i="50"/>
  <c r="L12" i="50"/>
  <c r="F27" i="50"/>
  <c r="Z25" i="52"/>
  <c r="X15" i="43"/>
  <c r="N25" i="43"/>
  <c r="N29" i="43"/>
  <c r="N33" i="43"/>
  <c r="N34" i="43"/>
  <c r="N13" i="44"/>
  <c r="N22" i="44"/>
  <c r="N24" i="44"/>
  <c r="X20" i="46"/>
  <c r="X21" i="49"/>
  <c r="R21" i="53"/>
  <c r="R20" i="53"/>
  <c r="R18" i="53"/>
  <c r="R16" i="53"/>
  <c r="P18" i="53"/>
  <c r="R15" i="53"/>
  <c r="X12" i="53"/>
  <c r="R24" i="53"/>
  <c r="R36" i="53"/>
  <c r="R29" i="53"/>
  <c r="R22" i="53"/>
  <c r="R34" i="53"/>
  <c r="R27" i="53"/>
  <c r="R33" i="53"/>
  <c r="R25" i="53"/>
  <c r="R31" i="53"/>
  <c r="F21" i="43"/>
  <c r="F20" i="43"/>
  <c r="F18" i="43"/>
  <c r="F16" i="43"/>
  <c r="D18" i="43"/>
  <c r="F15" i="43"/>
  <c r="L12" i="43"/>
  <c r="F24" i="43"/>
  <c r="F22" i="43"/>
  <c r="F36" i="43"/>
  <c r="F34" i="43"/>
  <c r="F33" i="43"/>
  <c r="F31" i="43"/>
  <c r="F29" i="43"/>
  <c r="F27" i="43"/>
  <c r="F25" i="43"/>
  <c r="X16" i="43"/>
  <c r="X20" i="43"/>
  <c r="X15" i="44"/>
  <c r="N25" i="44"/>
  <c r="N29" i="44"/>
  <c r="N33" i="44"/>
  <c r="N34" i="44"/>
  <c r="X16" i="50"/>
  <c r="H18" i="43"/>
  <c r="J15" i="43"/>
  <c r="N12" i="43"/>
  <c r="J36" i="43"/>
  <c r="J34" i="43"/>
  <c r="J33" i="43"/>
  <c r="J31" i="43"/>
  <c r="J29" i="43"/>
  <c r="J27" i="43"/>
  <c r="J25" i="43"/>
  <c r="J24" i="43"/>
  <c r="J22" i="43"/>
  <c r="J20" i="43"/>
  <c r="J18" i="43"/>
  <c r="J16" i="43"/>
  <c r="J21" i="43"/>
  <c r="X13" i="43"/>
  <c r="Z15" i="43"/>
  <c r="X21" i="43"/>
  <c r="F20" i="44"/>
  <c r="F18" i="44"/>
  <c r="F16" i="44"/>
  <c r="D18" i="44"/>
  <c r="F15" i="44"/>
  <c r="L12" i="44"/>
  <c r="F36" i="44"/>
  <c r="F34" i="44"/>
  <c r="F33" i="44"/>
  <c r="F31" i="44"/>
  <c r="F29" i="44"/>
  <c r="F27" i="44"/>
  <c r="F25" i="44"/>
  <c r="F21" i="44"/>
  <c r="F24" i="44"/>
  <c r="F22" i="44"/>
  <c r="X16" i="44"/>
  <c r="X20" i="44"/>
  <c r="N16" i="46"/>
  <c r="R24" i="47"/>
  <c r="R22" i="47"/>
  <c r="R21" i="47"/>
  <c r="R20" i="47"/>
  <c r="R18" i="47"/>
  <c r="R16" i="47"/>
  <c r="P18" i="47"/>
  <c r="R15" i="47"/>
  <c r="X12" i="47"/>
  <c r="R34" i="47"/>
  <c r="R27" i="47"/>
  <c r="R33" i="47"/>
  <c r="R25" i="47"/>
  <c r="R31" i="47"/>
  <c r="R36" i="47"/>
  <c r="R29" i="47"/>
  <c r="Z24" i="47"/>
  <c r="Z24" i="53"/>
  <c r="Z13" i="43"/>
  <c r="Z16" i="43"/>
  <c r="Z20" i="43"/>
  <c r="X22" i="43"/>
  <c r="X24" i="43"/>
  <c r="N12" i="44"/>
  <c r="J36" i="44"/>
  <c r="J34" i="44"/>
  <c r="J33" i="44"/>
  <c r="J31" i="44"/>
  <c r="J29" i="44"/>
  <c r="J27" i="44"/>
  <c r="J25" i="44"/>
  <c r="J24" i="44"/>
  <c r="J22" i="44"/>
  <c r="J21" i="44"/>
  <c r="H18" i="44"/>
  <c r="J15" i="44"/>
  <c r="J20" i="44"/>
  <c r="J18" i="44"/>
  <c r="J16" i="44"/>
  <c r="X13" i="44"/>
  <c r="Z15" i="44"/>
  <c r="X21" i="44"/>
  <c r="Z21" i="43"/>
  <c r="X25" i="43"/>
  <c r="X29" i="43"/>
  <c r="X33" i="43"/>
  <c r="X34" i="43"/>
  <c r="Z13" i="44"/>
  <c r="Z16" i="44"/>
  <c r="Z20" i="44"/>
  <c r="X22" i="44"/>
  <c r="X24" i="44"/>
  <c r="L12" i="46"/>
  <c r="F36" i="46"/>
  <c r="F34" i="46"/>
  <c r="F33" i="46"/>
  <c r="F31" i="46"/>
  <c r="F29" i="46"/>
  <c r="F27" i="46"/>
  <c r="F24" i="46"/>
  <c r="F22" i="46"/>
  <c r="F20" i="46"/>
  <c r="F18" i="46"/>
  <c r="F16" i="46"/>
  <c r="D18" i="46"/>
  <c r="F15" i="46"/>
  <c r="F25" i="46"/>
  <c r="F21" i="46"/>
  <c r="X16" i="46"/>
  <c r="N25" i="47"/>
  <c r="N33" i="47"/>
  <c r="N13" i="40"/>
  <c r="N22" i="40"/>
  <c r="N24" i="40"/>
  <c r="L13" i="41"/>
  <c r="N21" i="41"/>
  <c r="L25" i="41"/>
  <c r="L29" i="41"/>
  <c r="L33" i="41"/>
  <c r="L34" i="41"/>
  <c r="X12" i="43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Z22" i="43"/>
  <c r="Z24" i="43"/>
  <c r="Z21" i="44"/>
  <c r="X25" i="44"/>
  <c r="X29" i="44"/>
  <c r="X33" i="44"/>
  <c r="X34" i="44"/>
  <c r="V21" i="46"/>
  <c r="V20" i="46"/>
  <c r="V18" i="46"/>
  <c r="V16" i="46"/>
  <c r="T18" i="46"/>
  <c r="V15" i="46"/>
  <c r="Z12" i="46"/>
  <c r="V36" i="46"/>
  <c r="V34" i="46"/>
  <c r="V33" i="46"/>
  <c r="V31" i="46"/>
  <c r="V29" i="46"/>
  <c r="V27" i="46"/>
  <c r="V25" i="46"/>
  <c r="V22" i="46"/>
  <c r="V24" i="46"/>
  <c r="Z25" i="46"/>
  <c r="Z33" i="46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4" i="44"/>
  <c r="R22" i="44"/>
  <c r="R21" i="44"/>
  <c r="R20" i="44"/>
  <c r="R18" i="44"/>
  <c r="R16" i="44"/>
  <c r="P18" i="44"/>
  <c r="R15" i="44"/>
  <c r="Z22" i="44"/>
  <c r="Z24" i="44"/>
  <c r="L22" i="46"/>
  <c r="N15" i="47"/>
  <c r="L21" i="47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N12" i="49"/>
  <c r="L16" i="43"/>
  <c r="L20" i="43"/>
  <c r="Z12" i="44"/>
  <c r="V36" i="44"/>
  <c r="V34" i="44"/>
  <c r="V33" i="44"/>
  <c r="V31" i="44"/>
  <c r="V29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Z29" i="44"/>
  <c r="Z33" i="44"/>
  <c r="Z34" i="44"/>
  <c r="N13" i="46"/>
  <c r="N22" i="46"/>
  <c r="X15" i="47"/>
  <c r="N34" i="47"/>
  <c r="X13" i="49"/>
  <c r="V20" i="52"/>
  <c r="V18" i="52"/>
  <c r="V16" i="52"/>
  <c r="Z12" i="52"/>
  <c r="V21" i="52"/>
  <c r="V36" i="52"/>
  <c r="V29" i="52"/>
  <c r="V24" i="52"/>
  <c r="V34" i="52"/>
  <c r="V15" i="52"/>
  <c r="V27" i="52"/>
  <c r="V33" i="52"/>
  <c r="V22" i="52"/>
  <c r="T18" i="52"/>
  <c r="V31" i="52"/>
  <c r="V25" i="52"/>
  <c r="N15" i="43"/>
  <c r="L21" i="43"/>
  <c r="L16" i="44"/>
  <c r="L20" i="44"/>
  <c r="Z34" i="46"/>
  <c r="Z15" i="49"/>
  <c r="N16" i="43"/>
  <c r="N20" i="43"/>
  <c r="L22" i="43"/>
  <c r="L24" i="43"/>
  <c r="N15" i="44"/>
  <c r="L21" i="44"/>
  <c r="L15" i="46"/>
  <c r="L16" i="46"/>
  <c r="L20" i="46"/>
  <c r="V20" i="47"/>
  <c r="V18" i="47"/>
  <c r="V16" i="47"/>
  <c r="T18" i="47"/>
  <c r="V15" i="47"/>
  <c r="V36" i="47"/>
  <c r="V34" i="47"/>
  <c r="V33" i="47"/>
  <c r="V31" i="47"/>
  <c r="V29" i="47"/>
  <c r="V27" i="47"/>
  <c r="V25" i="47"/>
  <c r="V24" i="47"/>
  <c r="V22" i="47"/>
  <c r="V21" i="47"/>
  <c r="Z12" i="47"/>
  <c r="L15" i="47"/>
  <c r="Z25" i="47"/>
  <c r="Z29" i="47"/>
  <c r="Z33" i="47"/>
  <c r="Z34" i="47"/>
  <c r="Z13" i="49"/>
  <c r="Z16" i="49"/>
  <c r="Z20" i="49"/>
  <c r="X22" i="49"/>
  <c r="X24" i="49"/>
  <c r="J24" i="50"/>
  <c r="J22" i="50"/>
  <c r="J29" i="50"/>
  <c r="J31" i="50"/>
  <c r="J18" i="50"/>
  <c r="J16" i="50"/>
  <c r="J21" i="50"/>
  <c r="J20" i="50"/>
  <c r="H18" i="50"/>
  <c r="J15" i="50"/>
  <c r="J33" i="50"/>
  <c r="J34" i="50"/>
  <c r="J36" i="50"/>
  <c r="J25" i="50"/>
  <c r="N12" i="50"/>
  <c r="J27" i="50"/>
  <c r="X13" i="50"/>
  <c r="Z15" i="50"/>
  <c r="L25" i="50"/>
  <c r="X29" i="50"/>
  <c r="T18" i="53"/>
  <c r="V15" i="53"/>
  <c r="Z12" i="53"/>
  <c r="V36" i="53"/>
  <c r="V34" i="53"/>
  <c r="V33" i="53"/>
  <c r="V31" i="53"/>
  <c r="V29" i="53"/>
  <c r="V27" i="53"/>
  <c r="V25" i="53"/>
  <c r="V18" i="53"/>
  <c r="V22" i="53"/>
  <c r="V16" i="53"/>
  <c r="V21" i="53"/>
  <c r="V20" i="53"/>
  <c r="V24" i="53"/>
  <c r="N15" i="46"/>
  <c r="L21" i="46"/>
  <c r="L16" i="47"/>
  <c r="L20" i="47"/>
  <c r="Z21" i="49"/>
  <c r="X25" i="49"/>
  <c r="X29" i="49"/>
  <c r="X33" i="49"/>
  <c r="X34" i="49"/>
  <c r="Z13" i="50"/>
  <c r="Z16" i="50"/>
  <c r="L24" i="50"/>
  <c r="Z13" i="52"/>
  <c r="X22" i="52"/>
  <c r="X25" i="53"/>
  <c r="X33" i="53"/>
  <c r="P18" i="49"/>
  <c r="R15" i="49"/>
  <c r="X12" i="49"/>
  <c r="R36" i="49"/>
  <c r="R34" i="49"/>
  <c r="R33" i="49"/>
  <c r="R31" i="49"/>
  <c r="R29" i="49"/>
  <c r="R27" i="49"/>
  <c r="R25" i="49"/>
  <c r="R24" i="49"/>
  <c r="R22" i="49"/>
  <c r="R21" i="49"/>
  <c r="R16" i="49"/>
  <c r="R18" i="49"/>
  <c r="R20" i="49"/>
  <c r="Z22" i="49"/>
  <c r="Z24" i="49"/>
  <c r="Z29" i="50"/>
  <c r="L34" i="50"/>
  <c r="Z22" i="52"/>
  <c r="Z33" i="52"/>
  <c r="L13" i="46"/>
  <c r="N21" i="46"/>
  <c r="L25" i="46"/>
  <c r="L29" i="46"/>
  <c r="L33" i="46"/>
  <c r="L34" i="46"/>
  <c r="N16" i="47"/>
  <c r="N20" i="47"/>
  <c r="L22" i="47"/>
  <c r="L24" i="47"/>
  <c r="Z12" i="49"/>
  <c r="V36" i="49"/>
  <c r="V34" i="49"/>
  <c r="V33" i="49"/>
  <c r="V31" i="49"/>
  <c r="V29" i="49"/>
  <c r="V27" i="49"/>
  <c r="V25" i="49"/>
  <c r="V24" i="49"/>
  <c r="V22" i="49"/>
  <c r="V21" i="49"/>
  <c r="V20" i="49"/>
  <c r="V18" i="49"/>
  <c r="V16" i="49"/>
  <c r="T18" i="49"/>
  <c r="V15" i="49"/>
  <c r="L15" i="49"/>
  <c r="Z25" i="49"/>
  <c r="Z29" i="49"/>
  <c r="Z33" i="49"/>
  <c r="Z34" i="49"/>
  <c r="R21" i="50"/>
  <c r="R33" i="50"/>
  <c r="R22" i="50"/>
  <c r="R34" i="50"/>
  <c r="R24" i="50"/>
  <c r="R36" i="50"/>
  <c r="R25" i="50"/>
  <c r="X12" i="50"/>
  <c r="R27" i="50"/>
  <c r="R29" i="50"/>
  <c r="R18" i="50"/>
  <c r="R16" i="50"/>
  <c r="R31" i="50"/>
  <c r="R20" i="50"/>
  <c r="P18" i="50"/>
  <c r="R15" i="50"/>
  <c r="L22" i="50"/>
  <c r="N24" i="50"/>
  <c r="L15" i="52"/>
  <c r="L15" i="53"/>
  <c r="Z25" i="53"/>
  <c r="Z33" i="53"/>
  <c r="L13" i="47"/>
  <c r="N21" i="47"/>
  <c r="L25" i="47"/>
  <c r="L29" i="47"/>
  <c r="L33" i="47"/>
  <c r="L34" i="47"/>
  <c r="L16" i="49"/>
  <c r="L20" i="49"/>
  <c r="T18" i="50"/>
  <c r="V22" i="50"/>
  <c r="V34" i="50"/>
  <c r="V24" i="50"/>
  <c r="V36" i="50"/>
  <c r="V25" i="50"/>
  <c r="Z12" i="50"/>
  <c r="V27" i="50"/>
  <c r="V29" i="50"/>
  <c r="V16" i="50"/>
  <c r="V31" i="50"/>
  <c r="V18" i="50"/>
  <c r="V15" i="50"/>
  <c r="V20" i="50"/>
  <c r="V21" i="50"/>
  <c r="V33" i="50"/>
  <c r="L15" i="50"/>
  <c r="L20" i="50"/>
  <c r="L21" i="50"/>
  <c r="X25" i="50"/>
  <c r="L33" i="50"/>
  <c r="L20" i="52"/>
  <c r="Z21" i="53"/>
  <c r="X34" i="53"/>
  <c r="X15" i="46"/>
  <c r="N25" i="46"/>
  <c r="N29" i="46"/>
  <c r="N33" i="46"/>
  <c r="N34" i="46"/>
  <c r="N13" i="47"/>
  <c r="N22" i="47"/>
  <c r="N24" i="47"/>
  <c r="N15" i="49"/>
  <c r="L21" i="49"/>
  <c r="L16" i="50"/>
  <c r="N22" i="50"/>
  <c r="Z20" i="52"/>
  <c r="X24" i="52"/>
  <c r="Z34" i="52"/>
  <c r="N16" i="49"/>
  <c r="N20" i="49"/>
  <c r="L22" i="49"/>
  <c r="L24" i="49"/>
  <c r="N15" i="50"/>
  <c r="N20" i="50"/>
  <c r="N21" i="50"/>
  <c r="Z25" i="50"/>
  <c r="X34" i="50"/>
  <c r="Z24" i="52"/>
  <c r="Z34" i="53"/>
  <c r="N12" i="46"/>
  <c r="J24" i="46"/>
  <c r="J22" i="46"/>
  <c r="J20" i="46"/>
  <c r="J18" i="46"/>
  <c r="J16" i="46"/>
  <c r="J34" i="46"/>
  <c r="J27" i="46"/>
  <c r="H18" i="46"/>
  <c r="J33" i="46"/>
  <c r="J25" i="46"/>
  <c r="J21" i="46"/>
  <c r="J31" i="46"/>
  <c r="J36" i="46"/>
  <c r="J29" i="46"/>
  <c r="J15" i="46"/>
  <c r="X13" i="46"/>
  <c r="Z15" i="46"/>
  <c r="X21" i="46"/>
  <c r="L12" i="47"/>
  <c r="F36" i="47"/>
  <c r="F34" i="47"/>
  <c r="F33" i="47"/>
  <c r="F31" i="47"/>
  <c r="F29" i="47"/>
  <c r="F27" i="47"/>
  <c r="F25" i="47"/>
  <c r="F24" i="47"/>
  <c r="F22" i="47"/>
  <c r="F21" i="47"/>
  <c r="D18" i="47"/>
  <c r="F15" i="47"/>
  <c r="F16" i="47"/>
  <c r="F20" i="47"/>
  <c r="F18" i="47"/>
  <c r="X16" i="47"/>
  <c r="X20" i="47"/>
  <c r="L13" i="49"/>
  <c r="N21" i="49"/>
  <c r="L25" i="49"/>
  <c r="L29" i="49"/>
  <c r="L33" i="49"/>
  <c r="L34" i="49"/>
  <c r="N16" i="50"/>
  <c r="Z24" i="50"/>
  <c r="Z29" i="52"/>
  <c r="X29" i="53"/>
  <c r="Z13" i="46"/>
  <c r="Z16" i="46"/>
  <c r="Z20" i="46"/>
  <c r="X22" i="46"/>
  <c r="X24" i="46"/>
  <c r="N12" i="47"/>
  <c r="J36" i="47"/>
  <c r="J34" i="47"/>
  <c r="J33" i="47"/>
  <c r="J31" i="47"/>
  <c r="J29" i="47"/>
  <c r="J27" i="47"/>
  <c r="J25" i="47"/>
  <c r="J21" i="47"/>
  <c r="J20" i="47"/>
  <c r="J18" i="47"/>
  <c r="J16" i="47"/>
  <c r="H18" i="47"/>
  <c r="J15" i="47"/>
  <c r="J24" i="47"/>
  <c r="J22" i="47"/>
  <c r="X13" i="47"/>
  <c r="Z15" i="47"/>
  <c r="X21" i="47"/>
  <c r="N13" i="49"/>
  <c r="N22" i="49"/>
  <c r="N24" i="49"/>
  <c r="L13" i="50"/>
  <c r="L29" i="50"/>
  <c r="X33" i="50"/>
  <c r="Z34" i="50"/>
  <c r="L16" i="52"/>
  <c r="Z22" i="53"/>
  <c r="Z21" i="46"/>
  <c r="X25" i="46"/>
  <c r="X29" i="46"/>
  <c r="X33" i="46"/>
  <c r="X34" i="46"/>
  <c r="Z13" i="47"/>
  <c r="Z16" i="47"/>
  <c r="Z20" i="47"/>
  <c r="X22" i="47"/>
  <c r="X24" i="47"/>
  <c r="X15" i="49"/>
  <c r="N25" i="49"/>
  <c r="N29" i="49"/>
  <c r="N33" i="49"/>
  <c r="N34" i="49"/>
  <c r="N13" i="50"/>
  <c r="X21" i="50"/>
  <c r="Z22" i="50"/>
  <c r="Z16" i="52"/>
  <c r="Z29" i="53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X12" i="46"/>
  <c r="P18" i="46"/>
  <c r="R15" i="46"/>
  <c r="Z22" i="46"/>
  <c r="Z24" i="46"/>
  <c r="Z21" i="47"/>
  <c r="X25" i="47"/>
  <c r="X29" i="47"/>
  <c r="X33" i="47"/>
  <c r="X34" i="47"/>
  <c r="F36" i="49"/>
  <c r="F34" i="49"/>
  <c r="F33" i="49"/>
  <c r="F31" i="49"/>
  <c r="F29" i="49"/>
  <c r="F27" i="49"/>
  <c r="F25" i="49"/>
  <c r="F24" i="49"/>
  <c r="F22" i="49"/>
  <c r="F21" i="49"/>
  <c r="F20" i="49"/>
  <c r="F18" i="49"/>
  <c r="F16" i="49"/>
  <c r="D18" i="49"/>
  <c r="F15" i="49"/>
  <c r="L12" i="49"/>
  <c r="X16" i="49"/>
  <c r="X20" i="49"/>
  <c r="X15" i="50"/>
  <c r="X20" i="50"/>
  <c r="Z21" i="50"/>
  <c r="Z33" i="50"/>
  <c r="R24" i="52"/>
  <c r="R22" i="52"/>
  <c r="R20" i="52"/>
  <c r="R18" i="52"/>
  <c r="R16" i="52"/>
  <c r="P18" i="52"/>
  <c r="R15" i="52"/>
  <c r="R31" i="52"/>
  <c r="R25" i="52"/>
  <c r="R21" i="52"/>
  <c r="R36" i="52"/>
  <c r="R29" i="52"/>
  <c r="R34" i="52"/>
  <c r="R27" i="52"/>
  <c r="R33" i="52"/>
  <c r="X12" i="52"/>
  <c r="N25" i="50"/>
  <c r="N29" i="50"/>
  <c r="N33" i="50"/>
  <c r="N34" i="50"/>
  <c r="N15" i="52"/>
  <c r="L21" i="52"/>
  <c r="L16" i="53"/>
  <c r="L20" i="53"/>
  <c r="N16" i="52"/>
  <c r="N20" i="52"/>
  <c r="L22" i="52"/>
  <c r="L24" i="52"/>
  <c r="N15" i="53"/>
  <c r="L21" i="53"/>
  <c r="L13" i="52"/>
  <c r="N21" i="52"/>
  <c r="L25" i="52"/>
  <c r="L29" i="52"/>
  <c r="L33" i="52"/>
  <c r="L34" i="52"/>
  <c r="N16" i="53"/>
  <c r="N20" i="53"/>
  <c r="L22" i="53"/>
  <c r="L24" i="53"/>
  <c r="Z20" i="50"/>
  <c r="X22" i="50"/>
  <c r="X24" i="50"/>
  <c r="N13" i="52"/>
  <c r="N22" i="52"/>
  <c r="N24" i="52"/>
  <c r="L13" i="53"/>
  <c r="N21" i="53"/>
  <c r="L25" i="53"/>
  <c r="L29" i="53"/>
  <c r="L33" i="53"/>
  <c r="L34" i="53"/>
  <c r="X15" i="52"/>
  <c r="N25" i="52"/>
  <c r="N29" i="52"/>
  <c r="N33" i="52"/>
  <c r="N34" i="52"/>
  <c r="N13" i="53"/>
  <c r="N22" i="53"/>
  <c r="N24" i="53"/>
  <c r="F36" i="52"/>
  <c r="F34" i="52"/>
  <c r="F33" i="52"/>
  <c r="F31" i="52"/>
  <c r="F29" i="52"/>
  <c r="F27" i="52"/>
  <c r="F25" i="52"/>
  <c r="F24" i="52"/>
  <c r="F22" i="52"/>
  <c r="F21" i="52"/>
  <c r="F20" i="52"/>
  <c r="F18" i="52"/>
  <c r="F16" i="52"/>
  <c r="L12" i="52"/>
  <c r="F15" i="52"/>
  <c r="D18" i="52"/>
  <c r="X16" i="52"/>
  <c r="X20" i="52"/>
  <c r="X15" i="53"/>
  <c r="N25" i="53"/>
  <c r="N29" i="53"/>
  <c r="N33" i="53"/>
  <c r="N34" i="53"/>
  <c r="N12" i="52"/>
  <c r="J36" i="52"/>
  <c r="J34" i="52"/>
  <c r="J33" i="52"/>
  <c r="J31" i="52"/>
  <c r="J29" i="52"/>
  <c r="J27" i="52"/>
  <c r="J25" i="52"/>
  <c r="J24" i="52"/>
  <c r="J22" i="52"/>
  <c r="J21" i="52"/>
  <c r="J20" i="52"/>
  <c r="J18" i="52"/>
  <c r="J16" i="52"/>
  <c r="H18" i="52"/>
  <c r="J15" i="52"/>
  <c r="X13" i="52"/>
  <c r="Z15" i="52"/>
  <c r="X21" i="52"/>
  <c r="L12" i="53"/>
  <c r="F36" i="53"/>
  <c r="F34" i="53"/>
  <c r="F33" i="53"/>
  <c r="F31" i="53"/>
  <c r="F29" i="53"/>
  <c r="F27" i="53"/>
  <c r="F25" i="53"/>
  <c r="F24" i="53"/>
  <c r="F22" i="53"/>
  <c r="F21" i="53"/>
  <c r="F20" i="53"/>
  <c r="F18" i="53"/>
  <c r="F16" i="53"/>
  <c r="D18" i="53"/>
  <c r="F15" i="53"/>
  <c r="X16" i="53"/>
  <c r="X20" i="53"/>
  <c r="J36" i="53"/>
  <c r="J34" i="53"/>
  <c r="J33" i="53"/>
  <c r="J31" i="53"/>
  <c r="J29" i="53"/>
  <c r="J27" i="53"/>
  <c r="J25" i="53"/>
  <c r="J24" i="53"/>
  <c r="J22" i="53"/>
  <c r="J21" i="53"/>
  <c r="J20" i="53"/>
  <c r="J18" i="53"/>
  <c r="J16" i="53"/>
  <c r="H18" i="53"/>
  <c r="J15" i="53"/>
  <c r="N12" i="53"/>
  <c r="X13" i="53"/>
  <c r="Z15" i="53"/>
  <c r="X21" i="53"/>
  <c r="Z21" i="52"/>
  <c r="X25" i="52"/>
  <c r="X29" i="52"/>
  <c r="X33" i="52"/>
  <c r="X34" i="52"/>
  <c r="Z13" i="53"/>
  <c r="Z16" i="53"/>
  <c r="Z20" i="53"/>
  <c r="X22" i="53"/>
  <c r="X24" i="53"/>
  <c r="L29" i="111"/>
  <c r="L13" i="111"/>
  <c r="L33" i="111"/>
  <c r="L34" i="111"/>
  <c r="N21" i="111"/>
  <c r="N15" i="112"/>
  <c r="Z25" i="113"/>
  <c r="Z29" i="113"/>
  <c r="L25" i="111"/>
  <c r="Z12" i="113"/>
  <c r="V36" i="113"/>
  <c r="V34" i="113"/>
  <c r="V33" i="113"/>
  <c r="V31" i="113"/>
  <c r="V29" i="113"/>
  <c r="V27" i="113"/>
  <c r="V25" i="113"/>
  <c r="V21" i="113"/>
  <c r="V20" i="113"/>
  <c r="V18" i="113"/>
  <c r="V16" i="113"/>
  <c r="T18" i="113"/>
  <c r="V15" i="113"/>
  <c r="V24" i="113"/>
  <c r="V22" i="113"/>
  <c r="L21" i="112"/>
  <c r="L15" i="113"/>
  <c r="Z33" i="113"/>
  <c r="Z21" i="111"/>
  <c r="X25" i="111"/>
  <c r="X29" i="111"/>
  <c r="X33" i="111"/>
  <c r="X34" i="111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X13" i="112"/>
  <c r="Z15" i="112"/>
  <c r="X21" i="112"/>
  <c r="X15" i="113"/>
  <c r="N25" i="113"/>
  <c r="N29" i="113"/>
  <c r="N33" i="113"/>
  <c r="N34" i="113"/>
  <c r="R21" i="111"/>
  <c r="R20" i="111"/>
  <c r="R18" i="111"/>
  <c r="R16" i="111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Z22" i="111"/>
  <c r="Z24" i="111"/>
  <c r="Z13" i="112"/>
  <c r="Z16" i="112"/>
  <c r="Z20" i="112"/>
  <c r="X22" i="112"/>
  <c r="X24" i="112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X16" i="113"/>
  <c r="X20" i="113"/>
  <c r="T18" i="111"/>
  <c r="V15" i="111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L15" i="111"/>
  <c r="Z25" i="111"/>
  <c r="Z29" i="111"/>
  <c r="Z33" i="111"/>
  <c r="Z34" i="111"/>
  <c r="Z21" i="112"/>
  <c r="X25" i="112"/>
  <c r="X29" i="112"/>
  <c r="X33" i="112"/>
  <c r="X34" i="112"/>
  <c r="J21" i="113"/>
  <c r="J20" i="113"/>
  <c r="J18" i="113"/>
  <c r="J16" i="113"/>
  <c r="H18" i="113"/>
  <c r="J15" i="113"/>
  <c r="N12" i="113"/>
  <c r="J36" i="113"/>
  <c r="J34" i="113"/>
  <c r="J33" i="113"/>
  <c r="J31" i="113"/>
  <c r="J29" i="113"/>
  <c r="J27" i="113"/>
  <c r="J25" i="113"/>
  <c r="J24" i="113"/>
  <c r="J22" i="113"/>
  <c r="X13" i="113"/>
  <c r="Z15" i="113"/>
  <c r="X21" i="113"/>
  <c r="L16" i="111"/>
  <c r="L20" i="111"/>
  <c r="P18" i="112"/>
  <c r="R15" i="112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Z22" i="112"/>
  <c r="Z24" i="112"/>
  <c r="Z13" i="113"/>
  <c r="Z16" i="113"/>
  <c r="Z20" i="113"/>
  <c r="X22" i="113"/>
  <c r="X24" i="113"/>
  <c r="N15" i="111"/>
  <c r="L21" i="111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Z12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1" i="113"/>
  <c r="R20" i="113"/>
  <c r="R18" i="113"/>
  <c r="R16" i="113"/>
  <c r="P18" i="113"/>
  <c r="R15" i="113"/>
  <c r="Z22" i="113"/>
  <c r="Z24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1" i="111"/>
  <c r="F20" i="111"/>
  <c r="F18" i="111"/>
  <c r="F16" i="111"/>
  <c r="D18" i="111"/>
  <c r="F15" i="111"/>
  <c r="F24" i="111"/>
  <c r="F22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H18" i="111"/>
  <c r="J15" i="111"/>
  <c r="N12" i="111"/>
  <c r="J20" i="111"/>
  <c r="J18" i="111"/>
  <c r="J16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D18" i="112"/>
  <c r="F15" i="112"/>
  <c r="L12" i="112"/>
  <c r="F20" i="112"/>
  <c r="F18" i="112"/>
  <c r="F16" i="112"/>
  <c r="X16" i="112"/>
  <c r="X20" i="112"/>
  <c r="N13" i="113"/>
  <c r="N22" i="113"/>
  <c r="N24" i="113"/>
  <c r="N48" i="3"/>
  <c r="Z48" i="3"/>
  <c r="N40" i="3"/>
  <c r="Z44" i="3"/>
  <c r="Z16" i="6"/>
  <c r="T22" i="6"/>
  <c r="V295" i="3"/>
  <c r="V289" i="3"/>
  <c r="V281" i="3"/>
  <c r="V265" i="3"/>
  <c r="V253" i="3"/>
  <c r="V241" i="3"/>
  <c r="V233" i="3"/>
  <c r="V225" i="3"/>
  <c r="V217" i="3"/>
  <c r="V197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145" i="3"/>
  <c r="V141" i="3"/>
  <c r="V137" i="3"/>
  <c r="V294" i="3"/>
  <c r="V288" i="3"/>
  <c r="V276" i="3"/>
  <c r="V272" i="3"/>
  <c r="V260" i="3"/>
  <c r="V244" i="3"/>
  <c r="V236" i="3"/>
  <c r="V212" i="3"/>
  <c r="V208" i="3"/>
  <c r="T195" i="3"/>
  <c r="V293" i="3"/>
  <c r="V283" i="3"/>
  <c r="V255" i="3"/>
  <c r="V243" i="3"/>
  <c r="V235" i="3"/>
  <c r="V227" i="3"/>
  <c r="V219" i="3"/>
  <c r="V207" i="3"/>
  <c r="V203" i="3"/>
  <c r="V199" i="3"/>
  <c r="V290" i="3"/>
  <c r="V282" i="3"/>
  <c r="V266" i="3"/>
  <c r="V262" i="3"/>
  <c r="V246" i="3"/>
  <c r="V226" i="3"/>
  <c r="V303" i="3"/>
  <c r="V285" i="3"/>
  <c r="V277" i="3"/>
  <c r="V273" i="3"/>
  <c r="V261" i="3"/>
  <c r="V245" i="3"/>
  <c r="V237" i="3"/>
  <c r="V221" i="3"/>
  <c r="V213" i="3"/>
  <c r="V209" i="3"/>
  <c r="V302" i="3"/>
  <c r="V284" i="3"/>
  <c r="V268" i="3"/>
  <c r="V256" i="3"/>
  <c r="V248" i="3"/>
  <c r="V228" i="3"/>
  <c r="V220" i="3"/>
  <c r="V204" i="3"/>
  <c r="V200" i="3"/>
  <c r="V301" i="3"/>
  <c r="V267" i="3"/>
  <c r="V263" i="3"/>
  <c r="V247" i="3"/>
  <c r="V239" i="3"/>
  <c r="V223" i="3"/>
  <c r="V191" i="3"/>
  <c r="V187" i="3"/>
  <c r="V183" i="3"/>
  <c r="V179" i="3"/>
  <c r="V175" i="3"/>
  <c r="V171" i="3"/>
  <c r="V167" i="3"/>
  <c r="V163" i="3"/>
  <c r="V159" i="3"/>
  <c r="V155" i="3"/>
  <c r="V151" i="3"/>
  <c r="V147" i="3"/>
  <c r="V143" i="3"/>
  <c r="V139" i="3"/>
  <c r="V300" i="3"/>
  <c r="V286" i="3"/>
  <c r="V278" i="3"/>
  <c r="V274" i="3"/>
  <c r="V258" i="3"/>
  <c r="V250" i="3"/>
  <c r="V238" i="3"/>
  <c r="V230" i="3"/>
  <c r="V222" i="3"/>
  <c r="V214" i="3"/>
  <c r="V210" i="3"/>
  <c r="V312" i="3"/>
  <c r="V311" i="3"/>
  <c r="V307" i="3"/>
  <c r="V299" i="3"/>
  <c r="V269" i="3"/>
  <c r="V257" i="3"/>
  <c r="V249" i="3"/>
  <c r="V229" i="3"/>
  <c r="V205" i="3"/>
  <c r="V201" i="3"/>
  <c r="V296" i="3"/>
  <c r="V270" i="3"/>
  <c r="V254" i="3"/>
  <c r="V242" i="3"/>
  <c r="V234" i="3"/>
  <c r="V218" i="3"/>
  <c r="V206" i="3"/>
  <c r="V202" i="3"/>
  <c r="V198" i="3"/>
  <c r="V180" i="3"/>
  <c r="V136" i="3"/>
  <c r="V150" i="3"/>
  <c r="V251" i="3"/>
  <c r="V162" i="3"/>
  <c r="V164" i="3"/>
  <c r="V271" i="3"/>
  <c r="V216" i="3"/>
  <c r="V264" i="3"/>
  <c r="V240" i="3"/>
  <c r="V182" i="3"/>
  <c r="V152" i="3"/>
  <c r="V138" i="3"/>
  <c r="V280" i="3"/>
  <c r="V158" i="3"/>
  <c r="V146" i="3"/>
  <c r="V259" i="3"/>
  <c r="V231" i="3"/>
  <c r="V184" i="3"/>
  <c r="V166" i="3"/>
  <c r="V140" i="3"/>
  <c r="V176" i="3"/>
  <c r="V252" i="3"/>
  <c r="V224" i="3"/>
  <c r="V172" i="3"/>
  <c r="V168" i="3"/>
  <c r="V135" i="3"/>
  <c r="V178" i="3"/>
  <c r="V297" i="3"/>
  <c r="V279" i="3"/>
  <c r="V211" i="3"/>
  <c r="V186" i="3"/>
  <c r="V170" i="3"/>
  <c r="V154" i="3"/>
  <c r="V232" i="3"/>
  <c r="V188" i="3"/>
  <c r="V174" i="3"/>
  <c r="V156" i="3"/>
  <c r="V142" i="3"/>
  <c r="V287" i="3"/>
  <c r="V190" i="3"/>
  <c r="V144" i="3"/>
  <c r="V192" i="3"/>
  <c r="V275" i="3"/>
  <c r="V215" i="3"/>
  <c r="V160" i="3"/>
  <c r="V148" i="3"/>
  <c r="V298" i="3"/>
  <c r="Z19" i="3"/>
  <c r="N36" i="3"/>
  <c r="Z40" i="3"/>
  <c r="N47" i="3"/>
  <c r="N43" i="3"/>
  <c r="Z45" i="3"/>
  <c r="Z16" i="3"/>
  <c r="Z20" i="3"/>
  <c r="Z24" i="3"/>
  <c r="Z62" i="3"/>
  <c r="F213" i="3"/>
  <c r="F283" i="3"/>
  <c r="Z98" i="3"/>
  <c r="N57" i="3"/>
  <c r="X62" i="3"/>
  <c r="N64" i="3"/>
  <c r="N69" i="3"/>
  <c r="X74" i="3"/>
  <c r="N76" i="3"/>
  <c r="N81" i="3"/>
  <c r="Z94" i="3"/>
  <c r="Z105" i="3"/>
  <c r="X105" i="3"/>
  <c r="N113" i="3"/>
  <c r="Z122" i="3"/>
  <c r="L130" i="3"/>
  <c r="Z133" i="3"/>
  <c r="X133" i="3"/>
  <c r="F228" i="3"/>
  <c r="Z236" i="3"/>
  <c r="F256" i="3"/>
  <c r="Z280" i="3"/>
  <c r="Z298" i="3"/>
  <c r="X44" i="12"/>
  <c r="Z44" i="12" s="1"/>
  <c r="Z48" i="12"/>
  <c r="X80" i="12"/>
  <c r="Z20" i="15"/>
  <c r="Z22" i="15"/>
  <c r="N35" i="15"/>
  <c r="X45" i="15"/>
  <c r="Z45" i="15" s="1"/>
  <c r="Z68" i="15"/>
  <c r="N75" i="15"/>
  <c r="Z98" i="15"/>
  <c r="Z100" i="15"/>
  <c r="Z78" i="12"/>
  <c r="Z31" i="9"/>
  <c r="Z57" i="3"/>
  <c r="Z81" i="3"/>
  <c r="L89" i="3"/>
  <c r="Z96" i="3"/>
  <c r="N106" i="3"/>
  <c r="X113" i="3"/>
  <c r="Z113" i="3" s="1"/>
  <c r="L117" i="3"/>
  <c r="Z124" i="3"/>
  <c r="F204" i="3"/>
  <c r="X232" i="3"/>
  <c r="Z232" i="3" s="1"/>
  <c r="N246" i="3"/>
  <c r="D292" i="3"/>
  <c r="L292" i="3" s="1"/>
  <c r="L294" i="3"/>
  <c r="N294" i="3" s="1"/>
  <c r="N312" i="3"/>
  <c r="Z18" i="9"/>
  <c r="N52" i="9"/>
  <c r="L65" i="9"/>
  <c r="N36" i="12"/>
  <c r="Z38" i="12"/>
  <c r="Z42" i="12"/>
  <c r="Z53" i="12"/>
  <c r="Z74" i="12"/>
  <c r="N100" i="12"/>
  <c r="Z189" i="12"/>
  <c r="X52" i="3"/>
  <c r="Z52" i="3" s="1"/>
  <c r="Z85" i="3"/>
  <c r="Z102" i="3"/>
  <c r="Z128" i="3"/>
  <c r="F244" i="3"/>
  <c r="Z258" i="3"/>
  <c r="F273" i="3"/>
  <c r="F294" i="3"/>
  <c r="N65" i="9"/>
  <c r="H12" i="12"/>
  <c r="L13" i="12"/>
  <c r="N13" i="12" s="1"/>
  <c r="L100" i="12"/>
  <c r="F220" i="3"/>
  <c r="L58" i="9"/>
  <c r="N58" i="9" s="1"/>
  <c r="N197" i="3"/>
  <c r="X76" i="3"/>
  <c r="Z76" i="3" s="1"/>
  <c r="P12" i="3"/>
  <c r="Z13" i="3"/>
  <c r="X51" i="3"/>
  <c r="Z51" i="3" s="1"/>
  <c r="L56" i="3"/>
  <c r="N56" i="3" s="1"/>
  <c r="L61" i="3"/>
  <c r="Z64" i="3"/>
  <c r="Z66" i="3"/>
  <c r="L73" i="3"/>
  <c r="N73" i="3" s="1"/>
  <c r="Z78" i="3"/>
  <c r="L82" i="3"/>
  <c r="N82" i="3" s="1"/>
  <c r="Z89" i="3"/>
  <c r="L93" i="3"/>
  <c r="N93" i="3" s="1"/>
  <c r="Z100" i="3"/>
  <c r="Z106" i="3"/>
  <c r="L114" i="3"/>
  <c r="Z117" i="3"/>
  <c r="X117" i="3"/>
  <c r="L121" i="3"/>
  <c r="N121" i="3" s="1"/>
  <c r="Z252" i="3"/>
  <c r="P16" i="6"/>
  <c r="R24" i="6"/>
  <c r="R31" i="6"/>
  <c r="R29" i="6"/>
  <c r="R28" i="6"/>
  <c r="R26" i="6"/>
  <c r="X12" i="6"/>
  <c r="R22" i="6"/>
  <c r="R20" i="6"/>
  <c r="R18" i="6"/>
  <c r="R16" i="6"/>
  <c r="R14" i="6"/>
  <c r="Z50" i="9"/>
  <c r="N19" i="12"/>
  <c r="N27" i="12"/>
  <c r="Z36" i="12"/>
  <c r="X68" i="12"/>
  <c r="Z72" i="12"/>
  <c r="L283" i="3"/>
  <c r="N283" i="3" s="1"/>
  <c r="N34" i="12"/>
  <c r="F209" i="3"/>
  <c r="F284" i="3"/>
  <c r="N292" i="3"/>
  <c r="Z312" i="3"/>
  <c r="V31" i="6"/>
  <c r="V29" i="6"/>
  <c r="V28" i="6"/>
  <c r="V26" i="6"/>
  <c r="V24" i="6"/>
  <c r="Z12" i="6"/>
  <c r="V20" i="6"/>
  <c r="L27" i="12"/>
  <c r="Z47" i="12"/>
  <c r="Z68" i="12"/>
  <c r="N66" i="3"/>
  <c r="N78" i="3"/>
  <c r="F261" i="3"/>
  <c r="Z29" i="6"/>
  <c r="Z69" i="3"/>
  <c r="N50" i="3"/>
  <c r="N53" i="3"/>
  <c r="Z61" i="3"/>
  <c r="X63" i="3"/>
  <c r="Z63" i="3" s="1"/>
  <c r="Z73" i="3"/>
  <c r="X75" i="3"/>
  <c r="Z75" i="3" s="1"/>
  <c r="X82" i="3"/>
  <c r="N86" i="3"/>
  <c r="N88" i="3"/>
  <c r="L90" i="3"/>
  <c r="Z93" i="3"/>
  <c r="X93" i="3"/>
  <c r="L97" i="3"/>
  <c r="Z110" i="3"/>
  <c r="X114" i="3"/>
  <c r="X121" i="3"/>
  <c r="Z121" i="3" s="1"/>
  <c r="L125" i="3"/>
  <c r="N125" i="3" s="1"/>
  <c r="F200" i="3"/>
  <c r="F227" i="3"/>
  <c r="Z244" i="3"/>
  <c r="N262" i="3"/>
  <c r="Z294" i="3"/>
  <c r="Z299" i="3"/>
  <c r="Z301" i="3"/>
  <c r="N41" i="9"/>
  <c r="X52" i="9"/>
  <c r="Z52" i="9" s="1"/>
  <c r="Z21" i="12"/>
  <c r="Z60" i="12"/>
  <c r="Z62" i="12"/>
  <c r="Z83" i="12"/>
  <c r="Z96" i="12"/>
  <c r="Z74" i="3"/>
  <c r="L85" i="3"/>
  <c r="F237" i="3"/>
  <c r="X28" i="12"/>
  <c r="Z28" i="12" s="1"/>
  <c r="Z49" i="3"/>
  <c r="X58" i="3"/>
  <c r="N60" i="3"/>
  <c r="N65" i="3"/>
  <c r="X70" i="3"/>
  <c r="Z70" i="3" s="1"/>
  <c r="N72" i="3"/>
  <c r="N77" i="3"/>
  <c r="Z82" i="3"/>
  <c r="X86" i="3"/>
  <c r="N90" i="3"/>
  <c r="N101" i="3"/>
  <c r="X216" i="3"/>
  <c r="Z216" i="3" s="1"/>
  <c r="N227" i="3"/>
  <c r="Z271" i="3"/>
  <c r="F277" i="3"/>
  <c r="D12" i="12"/>
  <c r="L37" i="12"/>
  <c r="N37" i="12" s="1"/>
  <c r="Z56" i="12"/>
  <c r="Z77" i="12"/>
  <c r="Z94" i="12"/>
  <c r="F208" i="3"/>
  <c r="F236" i="3"/>
  <c r="F245" i="3"/>
  <c r="Z19" i="9"/>
  <c r="Z29" i="12"/>
  <c r="N35" i="12"/>
  <c r="X50" i="12"/>
  <c r="Z54" i="12"/>
  <c r="Z254" i="12"/>
  <c r="X254" i="12"/>
  <c r="T253" i="12"/>
  <c r="H12" i="3"/>
  <c r="L12" i="3" s="1"/>
  <c r="Z109" i="3"/>
  <c r="X109" i="3"/>
  <c r="Z97" i="3"/>
  <c r="X97" i="3"/>
  <c r="Z125" i="3"/>
  <c r="X125" i="3"/>
  <c r="X19" i="3"/>
  <c r="X23" i="3"/>
  <c r="Z23" i="3" s="1"/>
  <c r="X27" i="3"/>
  <c r="Z27" i="3" s="1"/>
  <c r="X31" i="3"/>
  <c r="Z31" i="3" s="1"/>
  <c r="X35" i="3"/>
  <c r="Z35" i="3" s="1"/>
  <c r="X39" i="3"/>
  <c r="Z39" i="3" s="1"/>
  <c r="X43" i="3"/>
  <c r="Z43" i="3" s="1"/>
  <c r="X47" i="3"/>
  <c r="Z47" i="3" s="1"/>
  <c r="Z53" i="3"/>
  <c r="X65" i="3"/>
  <c r="N74" i="3"/>
  <c r="X77" i="3"/>
  <c r="Z84" i="3"/>
  <c r="Z90" i="3"/>
  <c r="N94" i="3"/>
  <c r="L105" i="3"/>
  <c r="N105" i="3" s="1"/>
  <c r="Z118" i="3"/>
  <c r="Z129" i="3"/>
  <c r="X129" i="3"/>
  <c r="L133" i="3"/>
  <c r="D195" i="3"/>
  <c r="N300" i="3"/>
  <c r="N311" i="3"/>
  <c r="H16" i="9"/>
  <c r="Z41" i="9"/>
  <c r="P12" i="12"/>
  <c r="X14" i="12"/>
  <c r="N20" i="12"/>
  <c r="Z50" i="12"/>
  <c r="X86" i="12"/>
  <c r="L97" i="12"/>
  <c r="N97" i="12" s="1"/>
  <c r="F303" i="3"/>
  <c r="F286" i="3"/>
  <c r="F285" i="3"/>
  <c r="F278" i="3"/>
  <c r="F274" i="3"/>
  <c r="F238" i="3"/>
  <c r="F222" i="3"/>
  <c r="F221" i="3"/>
  <c r="F214" i="3"/>
  <c r="F210" i="3"/>
  <c r="F307" i="3"/>
  <c r="F302" i="3"/>
  <c r="F269" i="3"/>
  <c r="F268" i="3"/>
  <c r="F257" i="3"/>
  <c r="F249" i="3"/>
  <c r="F248" i="3"/>
  <c r="F229" i="3"/>
  <c r="F205" i="3"/>
  <c r="F201" i="3"/>
  <c r="F301" i="3"/>
  <c r="F264" i="3"/>
  <c r="F240" i="3"/>
  <c r="F239" i="3"/>
  <c r="F224" i="3"/>
  <c r="F223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135" i="3"/>
  <c r="F300" i="3"/>
  <c r="F287" i="3"/>
  <c r="F279" i="3"/>
  <c r="F275" i="3"/>
  <c r="F259" i="3"/>
  <c r="F258" i="3"/>
  <c r="F251" i="3"/>
  <c r="F250" i="3"/>
  <c r="F231" i="3"/>
  <c r="F230" i="3"/>
  <c r="F215" i="3"/>
  <c r="F211" i="3"/>
  <c r="F312" i="3"/>
  <c r="F311" i="3"/>
  <c r="F299" i="3"/>
  <c r="F270" i="3"/>
  <c r="F206" i="3"/>
  <c r="F202" i="3"/>
  <c r="F298" i="3"/>
  <c r="F281" i="3"/>
  <c r="F280" i="3"/>
  <c r="F265" i="3"/>
  <c r="F253" i="3"/>
  <c r="F252" i="3"/>
  <c r="F241" i="3"/>
  <c r="F233" i="3"/>
  <c r="F232" i="3"/>
  <c r="F225" i="3"/>
  <c r="F217" i="3"/>
  <c r="F216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297" i="3"/>
  <c r="F288" i="3"/>
  <c r="F276" i="3"/>
  <c r="F272" i="3"/>
  <c r="F271" i="3"/>
  <c r="F260" i="3"/>
  <c r="F212" i="3"/>
  <c r="F296" i="3"/>
  <c r="F255" i="3"/>
  <c r="F254" i="3"/>
  <c r="F243" i="3"/>
  <c r="F242" i="3"/>
  <c r="F235" i="3"/>
  <c r="F234" i="3"/>
  <c r="F219" i="3"/>
  <c r="F218" i="3"/>
  <c r="F207" i="3"/>
  <c r="F203" i="3"/>
  <c r="F199" i="3"/>
  <c r="F198" i="3"/>
  <c r="F295" i="3"/>
  <c r="F290" i="3"/>
  <c r="F289" i="3"/>
  <c r="F282" i="3"/>
  <c r="F266" i="3"/>
  <c r="F226" i="3"/>
  <c r="F197" i="3"/>
  <c r="F195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292" i="3"/>
  <c r="F267" i="3"/>
  <c r="F263" i="3"/>
  <c r="F262" i="3"/>
  <c r="F247" i="3"/>
  <c r="F246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Z80" i="12"/>
  <c r="L54" i="3"/>
  <c r="N54" i="3" s="1"/>
  <c r="N102" i="3"/>
  <c r="Z58" i="3"/>
  <c r="Z86" i="3"/>
  <c r="X15" i="3"/>
  <c r="Z15" i="3" s="1"/>
  <c r="X55" i="3"/>
  <c r="Z55" i="3" s="1"/>
  <c r="Z65" i="3"/>
  <c r="X67" i="3"/>
  <c r="Z67" i="3" s="1"/>
  <c r="Z77" i="3"/>
  <c r="X101" i="3"/>
  <c r="Z101" i="3" s="1"/>
  <c r="N109" i="3"/>
  <c r="P292" i="3"/>
  <c r="X311" i="3"/>
  <c r="Z311" i="3" s="1"/>
  <c r="V18" i="6"/>
  <c r="L18" i="9"/>
  <c r="N18" i="9" s="1"/>
  <c r="X43" i="9"/>
  <c r="Z43" i="9" s="1"/>
  <c r="T12" i="12"/>
  <c r="Z14" i="12"/>
  <c r="Z86" i="12"/>
  <c r="Z49" i="15"/>
  <c r="X49" i="15"/>
  <c r="X53" i="15"/>
  <c r="Z53" i="15" s="1"/>
  <c r="Z85" i="15"/>
  <c r="X85" i="15"/>
  <c r="X295" i="3"/>
  <c r="Z295" i="3" s="1"/>
  <c r="D16" i="9"/>
  <c r="J21" i="9"/>
  <c r="R22" i="9"/>
  <c r="J25" i="9"/>
  <c r="R26" i="9"/>
  <c r="J29" i="9"/>
  <c r="R30" i="9"/>
  <c r="R31" i="9"/>
  <c r="F34" i="9"/>
  <c r="F38" i="9"/>
  <c r="J39" i="9"/>
  <c r="R42" i="9"/>
  <c r="R43" i="9"/>
  <c r="V45" i="9"/>
  <c r="J49" i="9"/>
  <c r="V53" i="9"/>
  <c r="J61" i="9"/>
  <c r="R62" i="9"/>
  <c r="F65" i="9"/>
  <c r="F66" i="9"/>
  <c r="V69" i="9"/>
  <c r="J73" i="9"/>
  <c r="F78" i="9"/>
  <c r="J79" i="9"/>
  <c r="V81" i="9"/>
  <c r="F86" i="9"/>
  <c r="R92" i="9"/>
  <c r="L14" i="12"/>
  <c r="X35" i="12"/>
  <c r="Z35" i="12" s="1"/>
  <c r="X101" i="12"/>
  <c r="Z101" i="12" s="1"/>
  <c r="Z163" i="12"/>
  <c r="Z250" i="12"/>
  <c r="P253" i="12"/>
  <c r="X256" i="12"/>
  <c r="Z256" i="12" s="1"/>
  <c r="F238" i="15"/>
  <c r="F237" i="15"/>
  <c r="F230" i="15"/>
  <c r="F226" i="15"/>
  <c r="F225" i="15"/>
  <c r="F214" i="15"/>
  <c r="F213" i="15"/>
  <c r="F206" i="15"/>
  <c r="F205" i="15"/>
  <c r="F186" i="15"/>
  <c r="F178" i="15"/>
  <c r="F177" i="15"/>
  <c r="F154" i="15"/>
  <c r="F150" i="15"/>
  <c r="F146" i="15"/>
  <c r="F142" i="15"/>
  <c r="F138" i="15"/>
  <c r="F134" i="15"/>
  <c r="F130" i="15"/>
  <c r="F126" i="15"/>
  <c r="F122" i="15"/>
  <c r="F118" i="15"/>
  <c r="F114" i="15"/>
  <c r="F110" i="15"/>
  <c r="F106" i="15"/>
  <c r="F105" i="15"/>
  <c r="F197" i="15"/>
  <c r="F196" i="15"/>
  <c r="F173" i="15"/>
  <c r="F220" i="15"/>
  <c r="F208" i="15"/>
  <c r="F207" i="15"/>
  <c r="F188" i="15"/>
  <c r="F187" i="15"/>
  <c r="F180" i="15"/>
  <c r="F179" i="15"/>
  <c r="F168" i="15"/>
  <c r="F164" i="15"/>
  <c r="F160" i="15"/>
  <c r="F159" i="15"/>
  <c r="F252" i="15"/>
  <c r="F239" i="15"/>
  <c r="F231" i="15"/>
  <c r="F227" i="15"/>
  <c r="F215" i="15"/>
  <c r="F158" i="15"/>
  <c r="F156" i="15"/>
  <c r="F151" i="15"/>
  <c r="F147" i="15"/>
  <c r="F143" i="15"/>
  <c r="F139" i="15"/>
  <c r="F135" i="15"/>
  <c r="F131" i="15"/>
  <c r="F127" i="15"/>
  <c r="F123" i="15"/>
  <c r="F119" i="15"/>
  <c r="F115" i="15"/>
  <c r="F111" i="15"/>
  <c r="F107" i="15"/>
  <c r="F256" i="15"/>
  <c r="F251" i="15"/>
  <c r="F210" i="15"/>
  <c r="F209" i="15"/>
  <c r="F198" i="15"/>
  <c r="F174" i="15"/>
  <c r="F170" i="15"/>
  <c r="F169" i="15"/>
  <c r="D156" i="15"/>
  <c r="F250" i="15"/>
  <c r="F233" i="15"/>
  <c r="F232" i="15"/>
  <c r="F221" i="15"/>
  <c r="F189" i="15"/>
  <c r="F181" i="15"/>
  <c r="F165" i="15"/>
  <c r="F161" i="15"/>
  <c r="F249" i="15"/>
  <c r="F240" i="15"/>
  <c r="F228" i="15"/>
  <c r="F216" i="15"/>
  <c r="F200" i="15"/>
  <c r="F199" i="15"/>
  <c r="F152" i="15"/>
  <c r="F148" i="15"/>
  <c r="F144" i="15"/>
  <c r="F140" i="15"/>
  <c r="F136" i="15"/>
  <c r="F132" i="15"/>
  <c r="F128" i="15"/>
  <c r="F124" i="15"/>
  <c r="F120" i="15"/>
  <c r="F116" i="15"/>
  <c r="F112" i="15"/>
  <c r="F108" i="15"/>
  <c r="F248" i="15"/>
  <c r="F223" i="15"/>
  <c r="F222" i="15"/>
  <c r="F211" i="15"/>
  <c r="F191" i="15"/>
  <c r="F190" i="15"/>
  <c r="F183" i="15"/>
  <c r="F182" i="15"/>
  <c r="F175" i="15"/>
  <c r="F171" i="15"/>
  <c r="F247" i="15"/>
  <c r="F242" i="15"/>
  <c r="F241" i="15"/>
  <c r="F234" i="15"/>
  <c r="F218" i="15"/>
  <c r="F217" i="15"/>
  <c r="F202" i="15"/>
  <c r="F201" i="15"/>
  <c r="F166" i="15"/>
  <c r="F162" i="15"/>
  <c r="F246" i="15"/>
  <c r="F229" i="15"/>
  <c r="F193" i="15"/>
  <c r="F192" i="15"/>
  <c r="F185" i="15"/>
  <c r="F184" i="15"/>
  <c r="F153" i="15"/>
  <c r="F149" i="15"/>
  <c r="F145" i="15"/>
  <c r="F141" i="15"/>
  <c r="F137" i="15"/>
  <c r="F133" i="15"/>
  <c r="F129" i="15"/>
  <c r="F125" i="15"/>
  <c r="F121" i="15"/>
  <c r="F117" i="15"/>
  <c r="F113" i="15"/>
  <c r="F109" i="15"/>
  <c r="F245" i="15"/>
  <c r="F236" i="15"/>
  <c r="F235" i="15"/>
  <c r="F224" i="15"/>
  <c r="F212" i="15"/>
  <c r="F204" i="15"/>
  <c r="F203" i="15"/>
  <c r="F176" i="15"/>
  <c r="F172" i="15"/>
  <c r="F244" i="15"/>
  <c r="F219" i="15"/>
  <c r="F195" i="15"/>
  <c r="F194" i="15"/>
  <c r="F167" i="15"/>
  <c r="F163" i="15"/>
  <c r="Z28" i="15"/>
  <c r="Z30" i="15"/>
  <c r="N43" i="15"/>
  <c r="X57" i="15"/>
  <c r="Z57" i="15" s="1"/>
  <c r="Z72" i="15"/>
  <c r="N98" i="15"/>
  <c r="J14" i="9"/>
  <c r="J16" i="9"/>
  <c r="J18" i="9"/>
  <c r="J20" i="9"/>
  <c r="R21" i="9"/>
  <c r="J24" i="9"/>
  <c r="R25" i="9"/>
  <c r="J28" i="9"/>
  <c r="R29" i="9"/>
  <c r="F33" i="9"/>
  <c r="F37" i="9"/>
  <c r="V40" i="9"/>
  <c r="R49" i="9"/>
  <c r="R50" i="9"/>
  <c r="V52" i="9"/>
  <c r="F56" i="9"/>
  <c r="F57" i="9"/>
  <c r="J58" i="9"/>
  <c r="R61" i="9"/>
  <c r="J64" i="9"/>
  <c r="R73" i="9"/>
  <c r="R74" i="9"/>
  <c r="F77" i="9"/>
  <c r="V80" i="9"/>
  <c r="F84" i="9"/>
  <c r="F85" i="9"/>
  <c r="R88" i="9"/>
  <c r="R90" i="9"/>
  <c r="N30" i="12"/>
  <c r="N40" i="12"/>
  <c r="N46" i="12"/>
  <c r="N52" i="12"/>
  <c r="N58" i="12"/>
  <c r="N64" i="12"/>
  <c r="N70" i="12"/>
  <c r="N76" i="12"/>
  <c r="N82" i="12"/>
  <c r="N88" i="12"/>
  <c r="N224" i="12"/>
  <c r="Z16" i="15"/>
  <c r="Z18" i="15"/>
  <c r="N31" i="15"/>
  <c r="X41" i="15"/>
  <c r="Z41" i="15" s="1"/>
  <c r="Z66" i="15"/>
  <c r="X81" i="15"/>
  <c r="Z81" i="15" s="1"/>
  <c r="Z94" i="15"/>
  <c r="Z96" i="15"/>
  <c r="Z196" i="15"/>
  <c r="N248" i="15"/>
  <c r="V277" i="18"/>
  <c r="V263" i="18"/>
  <c r="V255" i="18"/>
  <c r="V251" i="18"/>
  <c r="V239" i="18"/>
  <c r="V231" i="18"/>
  <c r="V211" i="18"/>
  <c r="V203" i="18"/>
  <c r="V183" i="18"/>
  <c r="V179" i="18"/>
  <c r="V175" i="18"/>
  <c r="V171" i="18"/>
  <c r="V167" i="18"/>
  <c r="V163" i="18"/>
  <c r="V159" i="18"/>
  <c r="V155" i="18"/>
  <c r="V151" i="18"/>
  <c r="V147" i="18"/>
  <c r="V143" i="18"/>
  <c r="V139" i="18"/>
  <c r="V135" i="18"/>
  <c r="V131" i="18"/>
  <c r="V127" i="18"/>
  <c r="V123" i="18"/>
  <c r="V276" i="18"/>
  <c r="V234" i="18"/>
  <c r="V222" i="18"/>
  <c r="V198" i="18"/>
  <c r="V194" i="18"/>
  <c r="T181" i="18"/>
  <c r="V181" i="18" s="1"/>
  <c r="V283" i="18"/>
  <c r="V275" i="18"/>
  <c r="V257" i="18"/>
  <c r="V245" i="18"/>
  <c r="V233" i="18"/>
  <c r="V213" i="18"/>
  <c r="V205" i="18"/>
  <c r="V193" i="18"/>
  <c r="V189" i="18"/>
  <c r="V185" i="18"/>
  <c r="V274" i="18"/>
  <c r="V264" i="18"/>
  <c r="V256" i="18"/>
  <c r="V252" i="18"/>
  <c r="V240" i="18"/>
  <c r="V224" i="18"/>
  <c r="V176" i="18"/>
  <c r="V172" i="18"/>
  <c r="V168" i="18"/>
  <c r="V164" i="18"/>
  <c r="V160" i="18"/>
  <c r="V156" i="18"/>
  <c r="V152" i="18"/>
  <c r="V148" i="18"/>
  <c r="V144" i="18"/>
  <c r="V140" i="18"/>
  <c r="V136" i="18"/>
  <c r="V132" i="18"/>
  <c r="V128" i="18"/>
  <c r="V124" i="18"/>
  <c r="V273" i="18"/>
  <c r="V247" i="18"/>
  <c r="V235" i="18"/>
  <c r="V223" i="18"/>
  <c r="V215" i="18"/>
  <c r="V207" i="18"/>
  <c r="V199" i="18"/>
  <c r="V195" i="18"/>
  <c r="V272" i="18"/>
  <c r="V266" i="18"/>
  <c r="V258" i="18"/>
  <c r="V246" i="18"/>
  <c r="V242" i="18"/>
  <c r="V226" i="18"/>
  <c r="V214" i="18"/>
  <c r="V206" i="18"/>
  <c r="V190" i="18"/>
  <c r="V186" i="18"/>
  <c r="V271" i="18"/>
  <c r="V265" i="18"/>
  <c r="V253" i="18"/>
  <c r="V241" i="18"/>
  <c r="V225" i="18"/>
  <c r="V217" i="18"/>
  <c r="V209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270" i="18"/>
  <c r="V260" i="18"/>
  <c r="V248" i="18"/>
  <c r="V236" i="18"/>
  <c r="V228" i="18"/>
  <c r="V216" i="18"/>
  <c r="V208" i="18"/>
  <c r="V200" i="18"/>
  <c r="V196" i="18"/>
  <c r="V269" i="18"/>
  <c r="V267" i="18"/>
  <c r="V259" i="18"/>
  <c r="V243" i="18"/>
  <c r="V227" i="18"/>
  <c r="V219" i="18"/>
  <c r="V191" i="18"/>
  <c r="V187" i="18"/>
  <c r="V262" i="18"/>
  <c r="V254" i="18"/>
  <c r="V250" i="18"/>
  <c r="V238" i="18"/>
  <c r="V230" i="18"/>
  <c r="V218" i="18"/>
  <c r="V210" i="18"/>
  <c r="V202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278" i="18"/>
  <c r="V244" i="18"/>
  <c r="V232" i="18"/>
  <c r="V220" i="18"/>
  <c r="V212" i="18"/>
  <c r="V204" i="18"/>
  <c r="V192" i="18"/>
  <c r="V188" i="18"/>
  <c r="V184" i="18"/>
  <c r="V197" i="18"/>
  <c r="V125" i="18"/>
  <c r="V237" i="18"/>
  <c r="V229" i="18"/>
  <c r="V249" i="18"/>
  <c r="V221" i="18"/>
  <c r="V130" i="18"/>
  <c r="V126" i="18"/>
  <c r="V261" i="18"/>
  <c r="V201" i="18"/>
  <c r="V279" i="18"/>
  <c r="J26" i="6"/>
  <c r="J28" i="6"/>
  <c r="J29" i="6"/>
  <c r="J19" i="9"/>
  <c r="V21" i="9"/>
  <c r="V25" i="9"/>
  <c r="V29" i="9"/>
  <c r="J33" i="9"/>
  <c r="R34" i="9"/>
  <c r="J37" i="9"/>
  <c r="R38" i="9"/>
  <c r="R39" i="9"/>
  <c r="V41" i="9"/>
  <c r="F45" i="9"/>
  <c r="F46" i="9"/>
  <c r="V49" i="9"/>
  <c r="J57" i="9"/>
  <c r="V61" i="9"/>
  <c r="R66" i="9"/>
  <c r="F69" i="9"/>
  <c r="F70" i="9"/>
  <c r="V73" i="9"/>
  <c r="J77" i="9"/>
  <c r="R78" i="9"/>
  <c r="R79" i="9"/>
  <c r="J85" i="9"/>
  <c r="R86" i="9"/>
  <c r="X27" i="12"/>
  <c r="Z27" i="12" s="1"/>
  <c r="L102" i="12"/>
  <c r="N174" i="12"/>
  <c r="Z37" i="15"/>
  <c r="X37" i="15"/>
  <c r="Z64" i="15"/>
  <c r="N71" i="15"/>
  <c r="N192" i="15"/>
  <c r="N222" i="15"/>
  <c r="D16" i="6"/>
  <c r="F24" i="6"/>
  <c r="V34" i="9"/>
  <c r="V38" i="9"/>
  <c r="J46" i="9"/>
  <c r="R47" i="9"/>
  <c r="R48" i="9"/>
  <c r="V50" i="9"/>
  <c r="F54" i="9"/>
  <c r="F55" i="9"/>
  <c r="J56" i="9"/>
  <c r="R59" i="9"/>
  <c r="R60" i="9"/>
  <c r="F63" i="9"/>
  <c r="V66" i="9"/>
  <c r="J70" i="9"/>
  <c r="R71" i="9"/>
  <c r="R72" i="9"/>
  <c r="V74" i="9"/>
  <c r="V78" i="9"/>
  <c r="F82" i="9"/>
  <c r="F83" i="9"/>
  <c r="J84" i="9"/>
  <c r="V86" i="9"/>
  <c r="V88" i="9"/>
  <c r="V90" i="9"/>
  <c r="F94" i="9"/>
  <c r="F97" i="9"/>
  <c r="N26" i="12"/>
  <c r="N210" i="12"/>
  <c r="L210" i="12"/>
  <c r="N230" i="12"/>
  <c r="L230" i="12"/>
  <c r="X33" i="15"/>
  <c r="Z33" i="15" s="1"/>
  <c r="Z77" i="15"/>
  <c r="X77" i="15"/>
  <c r="F14" i="6"/>
  <c r="F16" i="6"/>
  <c r="F18" i="6"/>
  <c r="F20" i="6"/>
  <c r="F22" i="6"/>
  <c r="L12" i="9"/>
  <c r="P16" i="9"/>
  <c r="R20" i="9"/>
  <c r="J23" i="9"/>
  <c r="R24" i="9"/>
  <c r="J27" i="9"/>
  <c r="R28" i="9"/>
  <c r="F31" i="9"/>
  <c r="F32" i="9"/>
  <c r="F36" i="9"/>
  <c r="V39" i="9"/>
  <c r="F43" i="9"/>
  <c r="F44" i="9"/>
  <c r="J45" i="9"/>
  <c r="V47" i="9"/>
  <c r="J55" i="9"/>
  <c r="V59" i="9"/>
  <c r="J63" i="9"/>
  <c r="R64" i="9"/>
  <c r="R65" i="9"/>
  <c r="F68" i="9"/>
  <c r="J69" i="9"/>
  <c r="V71" i="9"/>
  <c r="F76" i="9"/>
  <c r="V79" i="9"/>
  <c r="J83" i="9"/>
  <c r="X23" i="12"/>
  <c r="Z23" i="12" s="1"/>
  <c r="X43" i="12"/>
  <c r="Z43" i="12" s="1"/>
  <c r="X49" i="12"/>
  <c r="Z49" i="12" s="1"/>
  <c r="X55" i="12"/>
  <c r="Z55" i="12" s="1"/>
  <c r="X61" i="12"/>
  <c r="Z61" i="12" s="1"/>
  <c r="X67" i="12"/>
  <c r="Z67" i="12" s="1"/>
  <c r="X73" i="12"/>
  <c r="Z73" i="12" s="1"/>
  <c r="X79" i="12"/>
  <c r="Z79" i="12" s="1"/>
  <c r="X85" i="12"/>
  <c r="Z85" i="12" s="1"/>
  <c r="X91" i="12"/>
  <c r="Z91" i="12" s="1"/>
  <c r="N96" i="12"/>
  <c r="L99" i="12"/>
  <c r="N19" i="15"/>
  <c r="X29" i="15"/>
  <c r="Z29" i="15" s="1"/>
  <c r="Z56" i="15"/>
  <c r="Z58" i="15"/>
  <c r="N67" i="15"/>
  <c r="Z73" i="15"/>
  <c r="X73" i="15"/>
  <c r="N82" i="15"/>
  <c r="Z86" i="15"/>
  <c r="T292" i="3"/>
  <c r="H16" i="6"/>
  <c r="N12" i="9"/>
  <c r="R14" i="9"/>
  <c r="R16" i="9"/>
  <c r="R18" i="9"/>
  <c r="V20" i="9"/>
  <c r="V24" i="9"/>
  <c r="V28" i="9"/>
  <c r="J32" i="9"/>
  <c r="R33" i="9"/>
  <c r="J36" i="9"/>
  <c r="R37" i="9"/>
  <c r="J44" i="9"/>
  <c r="V48" i="9"/>
  <c r="F52" i="9"/>
  <c r="F53" i="9"/>
  <c r="J54" i="9"/>
  <c r="R57" i="9"/>
  <c r="R58" i="9"/>
  <c r="V60" i="9"/>
  <c r="V64" i="9"/>
  <c r="J68" i="9"/>
  <c r="V72" i="9"/>
  <c r="J76" i="9"/>
  <c r="R77" i="9"/>
  <c r="F81" i="9"/>
  <c r="J82" i="9"/>
  <c r="R85" i="9"/>
  <c r="J94" i="9"/>
  <c r="J97" i="9"/>
  <c r="N22" i="12"/>
  <c r="N42" i="12"/>
  <c r="N48" i="12"/>
  <c r="N60" i="12"/>
  <c r="N66" i="12"/>
  <c r="N72" i="12"/>
  <c r="N78" i="12"/>
  <c r="N84" i="12"/>
  <c r="X105" i="12"/>
  <c r="L163" i="12"/>
  <c r="N163" i="12" s="1"/>
  <c r="N182" i="12"/>
  <c r="L182" i="12"/>
  <c r="X244" i="12"/>
  <c r="Z244" i="12" s="1"/>
  <c r="X25" i="15"/>
  <c r="Z25" i="15" s="1"/>
  <c r="Z101" i="15"/>
  <c r="X101" i="15"/>
  <c r="T16" i="9"/>
  <c r="R19" i="9"/>
  <c r="R46" i="9"/>
  <c r="V57" i="9"/>
  <c r="V65" i="9"/>
  <c r="R70" i="9"/>
  <c r="V77" i="9"/>
  <c r="J81" i="9"/>
  <c r="V85" i="9"/>
  <c r="X21" i="15"/>
  <c r="Z21" i="15" s="1"/>
  <c r="Z69" i="15"/>
  <c r="X69" i="15"/>
  <c r="V14" i="9"/>
  <c r="V16" i="9"/>
  <c r="V18" i="9"/>
  <c r="R23" i="9"/>
  <c r="R27" i="9"/>
  <c r="V46" i="9"/>
  <c r="R55" i="9"/>
  <c r="R56" i="9"/>
  <c r="V58" i="9"/>
  <c r="R63" i="9"/>
  <c r="V70" i="9"/>
  <c r="R83" i="9"/>
  <c r="R84" i="9"/>
  <c r="J92" i="9"/>
  <c r="N18" i="12"/>
  <c r="L104" i="12"/>
  <c r="N104" i="12" s="1"/>
  <c r="Z208" i="12"/>
  <c r="X17" i="15"/>
  <c r="Z17" i="15" s="1"/>
  <c r="Z40" i="15"/>
  <c r="Z42" i="15"/>
  <c r="N59" i="15"/>
  <c r="Z80" i="15"/>
  <c r="X97" i="15"/>
  <c r="Z97" i="15" s="1"/>
  <c r="X227" i="3"/>
  <c r="Z227" i="3" s="1"/>
  <c r="X12" i="9"/>
  <c r="V19" i="9"/>
  <c r="V23" i="9"/>
  <c r="V27" i="9"/>
  <c r="R32" i="9"/>
  <c r="J35" i="9"/>
  <c r="R36" i="9"/>
  <c r="F39" i="9"/>
  <c r="F40" i="9"/>
  <c r="J41" i="9"/>
  <c r="R44" i="9"/>
  <c r="R45" i="9"/>
  <c r="J51" i="9"/>
  <c r="V55" i="9"/>
  <c r="X58" i="9"/>
  <c r="Z58" i="9" s="1"/>
  <c r="V63" i="9"/>
  <c r="J67" i="9"/>
  <c r="R68" i="9"/>
  <c r="R69" i="9"/>
  <c r="J75" i="9"/>
  <c r="R76" i="9"/>
  <c r="F79" i="9"/>
  <c r="F80" i="9"/>
  <c r="V83" i="9"/>
  <c r="X39" i="12"/>
  <c r="Z39" i="12" s="1"/>
  <c r="X45" i="12"/>
  <c r="Z45" i="12" s="1"/>
  <c r="X51" i="12"/>
  <c r="Z51" i="12" s="1"/>
  <c r="X57" i="12"/>
  <c r="Z57" i="12" s="1"/>
  <c r="X63" i="12"/>
  <c r="Z63" i="12" s="1"/>
  <c r="X69" i="12"/>
  <c r="Z69" i="12" s="1"/>
  <c r="X75" i="12"/>
  <c r="Z75" i="12" s="1"/>
  <c r="X81" i="12"/>
  <c r="Z81" i="12" s="1"/>
  <c r="X87" i="12"/>
  <c r="Z87" i="12" s="1"/>
  <c r="X93" i="12"/>
  <c r="L101" i="12"/>
  <c r="N101" i="12" s="1"/>
  <c r="Z197" i="12"/>
  <c r="Z204" i="12"/>
  <c r="X204" i="12"/>
  <c r="N250" i="12"/>
  <c r="L260" i="12"/>
  <c r="N260" i="12" s="1"/>
  <c r="T12" i="15"/>
  <c r="Z13" i="15"/>
  <c r="X13" i="15"/>
  <c r="Z36" i="15"/>
  <c r="Z38" i="15"/>
  <c r="N51" i="15"/>
  <c r="N55" i="15"/>
  <c r="Z65" i="15"/>
  <c r="X65" i="15"/>
  <c r="Z78" i="15"/>
  <c r="X93" i="15"/>
  <c r="Z93" i="15" s="1"/>
  <c r="Z12" i="9"/>
  <c r="F21" i="9"/>
  <c r="F25" i="9"/>
  <c r="F29" i="9"/>
  <c r="V32" i="9"/>
  <c r="V36" i="9"/>
  <c r="J40" i="9"/>
  <c r="V44" i="9"/>
  <c r="F48" i="9"/>
  <c r="F49" i="9"/>
  <c r="J50" i="9"/>
  <c r="R53" i="9"/>
  <c r="R54" i="9"/>
  <c r="V56" i="9"/>
  <c r="F60" i="9"/>
  <c r="F61" i="9"/>
  <c r="V68" i="9"/>
  <c r="F72" i="9"/>
  <c r="J74" i="9"/>
  <c r="V76" i="9"/>
  <c r="J80" i="9"/>
  <c r="R81" i="9"/>
  <c r="R82" i="9"/>
  <c r="J88" i="9"/>
  <c r="R94" i="9"/>
  <c r="N14" i="12"/>
  <c r="N38" i="12"/>
  <c r="N44" i="12"/>
  <c r="N56" i="12"/>
  <c r="N68" i="12"/>
  <c r="N74" i="12"/>
  <c r="N86" i="12"/>
  <c r="X216" i="12"/>
  <c r="Z216" i="12" s="1"/>
  <c r="Z32" i="15"/>
  <c r="Z34" i="15"/>
  <c r="N47" i="15"/>
  <c r="Z61" i="15"/>
  <c r="X61" i="15"/>
  <c r="N70" i="15"/>
  <c r="Z74" i="15"/>
  <c r="Z76" i="15"/>
  <c r="N83" i="15"/>
  <c r="X89" i="15"/>
  <c r="Z89" i="15" s="1"/>
  <c r="N158" i="15"/>
  <c r="F273" i="18"/>
  <c r="F248" i="18"/>
  <c r="F247" i="18"/>
  <c r="F236" i="18"/>
  <c r="F216" i="18"/>
  <c r="F215" i="18"/>
  <c r="F208" i="18"/>
  <c r="F207" i="18"/>
  <c r="F200" i="18"/>
  <c r="F196" i="18"/>
  <c r="F272" i="18"/>
  <c r="F267" i="18"/>
  <c r="F266" i="18"/>
  <c r="F259" i="18"/>
  <c r="F243" i="18"/>
  <c r="F242" i="18"/>
  <c r="F227" i="18"/>
  <c r="F226" i="18"/>
  <c r="F191" i="18"/>
  <c r="F187" i="18"/>
  <c r="F271" i="18"/>
  <c r="F254" i="18"/>
  <c r="F218" i="18"/>
  <c r="F217" i="18"/>
  <c r="F210" i="18"/>
  <c r="F209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126" i="18"/>
  <c r="F270" i="18"/>
  <c r="F261" i="18"/>
  <c r="F260" i="18"/>
  <c r="F249" i="18"/>
  <c r="F237" i="18"/>
  <c r="F229" i="18"/>
  <c r="F228" i="18"/>
  <c r="F201" i="18"/>
  <c r="F197" i="18"/>
  <c r="F244" i="18"/>
  <c r="F220" i="18"/>
  <c r="F219" i="18"/>
  <c r="F192" i="18"/>
  <c r="F188" i="18"/>
  <c r="F263" i="18"/>
  <c r="F262" i="18"/>
  <c r="F255" i="18"/>
  <c r="F251" i="18"/>
  <c r="F250" i="18"/>
  <c r="F239" i="18"/>
  <c r="F238" i="18"/>
  <c r="F231" i="18"/>
  <c r="F230" i="18"/>
  <c r="F211" i="18"/>
  <c r="F203" i="18"/>
  <c r="F202" i="18"/>
  <c r="F179" i="18"/>
  <c r="F175" i="18"/>
  <c r="F171" i="18"/>
  <c r="F167" i="18"/>
  <c r="F163" i="18"/>
  <c r="F159" i="18"/>
  <c r="F155" i="18"/>
  <c r="F151" i="18"/>
  <c r="F279" i="18"/>
  <c r="F222" i="18"/>
  <c r="F221" i="18"/>
  <c r="F198" i="18"/>
  <c r="F283" i="18"/>
  <c r="F278" i="18"/>
  <c r="F245" i="18"/>
  <c r="F233" i="18"/>
  <c r="F232" i="18"/>
  <c r="F213" i="18"/>
  <c r="F212" i="18"/>
  <c r="F205" i="18"/>
  <c r="F204" i="18"/>
  <c r="F193" i="18"/>
  <c r="F189" i="18"/>
  <c r="F185" i="18"/>
  <c r="F184" i="18"/>
  <c r="F277" i="18"/>
  <c r="F264" i="18"/>
  <c r="F256" i="18"/>
  <c r="F252" i="18"/>
  <c r="F240" i="18"/>
  <c r="F183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124" i="18"/>
  <c r="F123" i="18"/>
  <c r="F276" i="18"/>
  <c r="F235" i="18"/>
  <c r="F234" i="18"/>
  <c r="F223" i="18"/>
  <c r="F199" i="18"/>
  <c r="F195" i="18"/>
  <c r="F194" i="18"/>
  <c r="D181" i="18"/>
  <c r="F181" i="18" s="1"/>
  <c r="F274" i="18"/>
  <c r="F265" i="18"/>
  <c r="F253" i="18"/>
  <c r="F241" i="18"/>
  <c r="F225" i="18"/>
  <c r="F224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125" i="18"/>
  <c r="F186" i="18"/>
  <c r="F147" i="18"/>
  <c r="F246" i="18"/>
  <c r="F258" i="18"/>
  <c r="F275" i="18"/>
  <c r="F214" i="18"/>
  <c r="F135" i="18"/>
  <c r="F131" i="18"/>
  <c r="F127" i="18"/>
  <c r="F139" i="18"/>
  <c r="F257" i="18"/>
  <c r="F190" i="18"/>
  <c r="F143" i="18"/>
  <c r="F206" i="18"/>
  <c r="N58" i="18"/>
  <c r="H12" i="15"/>
  <c r="Z184" i="15"/>
  <c r="Z192" i="15"/>
  <c r="Z246" i="15"/>
  <c r="N252" i="15"/>
  <c r="N16" i="18"/>
  <c r="N19" i="18"/>
  <c r="N22" i="18"/>
  <c r="X25" i="18"/>
  <c r="Z25" i="18" s="1"/>
  <c r="Z31" i="18"/>
  <c r="Z54" i="18"/>
  <c r="X56" i="18"/>
  <c r="Z56" i="18" s="1"/>
  <c r="N67" i="18"/>
  <c r="N70" i="18"/>
  <c r="X73" i="18"/>
  <c r="Z73" i="18" s="1"/>
  <c r="Z79" i="18"/>
  <c r="L87" i="18"/>
  <c r="N92" i="18"/>
  <c r="N100" i="18"/>
  <c r="L103" i="18"/>
  <c r="N108" i="18"/>
  <c r="L111" i="18"/>
  <c r="Z114" i="18"/>
  <c r="Z76" i="21"/>
  <c r="V79" i="21"/>
  <c r="Z94" i="21"/>
  <c r="Z18" i="24"/>
  <c r="X33" i="24"/>
  <c r="Z33" i="24" s="1"/>
  <c r="Z49" i="24"/>
  <c r="X49" i="24"/>
  <c r="V114" i="27"/>
  <c r="V108" i="27"/>
  <c r="V100" i="27"/>
  <c r="V92" i="27"/>
  <c r="V84" i="27"/>
  <c r="V60" i="27"/>
  <c r="V56" i="27"/>
  <c r="V52" i="27"/>
  <c r="V48" i="27"/>
  <c r="V44" i="27"/>
  <c r="V113" i="27"/>
  <c r="V107" i="27"/>
  <c r="V83" i="27"/>
  <c r="V75" i="27"/>
  <c r="V71" i="27"/>
  <c r="T58" i="27"/>
  <c r="V112" i="27"/>
  <c r="V94" i="27"/>
  <c r="V86" i="27"/>
  <c r="V70" i="27"/>
  <c r="V66" i="27"/>
  <c r="V62" i="27"/>
  <c r="V109" i="27"/>
  <c r="V101" i="27"/>
  <c r="V85" i="27"/>
  <c r="V77" i="27"/>
  <c r="V53" i="27"/>
  <c r="V49" i="27"/>
  <c r="V45" i="27"/>
  <c r="V41" i="27"/>
  <c r="V118" i="27"/>
  <c r="V96" i="27"/>
  <c r="V76" i="27"/>
  <c r="V72" i="27"/>
  <c r="V103" i="27"/>
  <c r="V95" i="27"/>
  <c r="V87" i="27"/>
  <c r="V79" i="27"/>
  <c r="V67" i="27"/>
  <c r="V63" i="27"/>
  <c r="V102" i="27"/>
  <c r="V98" i="27"/>
  <c r="V78" i="27"/>
  <c r="V54" i="27"/>
  <c r="V50" i="27"/>
  <c r="V46" i="27"/>
  <c r="V42" i="27"/>
  <c r="V97" i="27"/>
  <c r="V89" i="27"/>
  <c r="V73" i="27"/>
  <c r="V104" i="27"/>
  <c r="V88" i="27"/>
  <c r="V80" i="27"/>
  <c r="V68" i="27"/>
  <c r="V64" i="27"/>
  <c r="V99" i="27"/>
  <c r="V91" i="27"/>
  <c r="V55" i="27"/>
  <c r="V51" i="27"/>
  <c r="V47" i="27"/>
  <c r="V43" i="27"/>
  <c r="V105" i="27"/>
  <c r="V93" i="27"/>
  <c r="V81" i="27"/>
  <c r="V69" i="27"/>
  <c r="V65" i="27"/>
  <c r="V61" i="27"/>
  <c r="V106" i="27"/>
  <c r="V90" i="27"/>
  <c r="V74" i="27"/>
  <c r="V82" i="27"/>
  <c r="Z19" i="27"/>
  <c r="Z24" i="33"/>
  <c r="X24" i="33"/>
  <c r="T12" i="33"/>
  <c r="X37" i="24"/>
  <c r="Z37" i="24" s="1"/>
  <c r="Z45" i="24"/>
  <c r="X45" i="24"/>
  <c r="X16" i="18"/>
  <c r="Z16" i="18" s="1"/>
  <c r="N24" i="18"/>
  <c r="N27" i="18"/>
  <c r="X33" i="18"/>
  <c r="Z33" i="18" s="1"/>
  <c r="Z39" i="18"/>
  <c r="X42" i="18"/>
  <c r="Z42" i="18" s="1"/>
  <c r="L44" i="18"/>
  <c r="N44" i="18" s="1"/>
  <c r="L47" i="18"/>
  <c r="N47" i="18" s="1"/>
  <c r="L58" i="18"/>
  <c r="X59" i="18"/>
  <c r="Z59" i="18" s="1"/>
  <c r="X64" i="18"/>
  <c r="Z64" i="18" s="1"/>
  <c r="N72" i="18"/>
  <c r="N75" i="18"/>
  <c r="X81" i="18"/>
  <c r="Z81" i="18" s="1"/>
  <c r="Z87" i="18"/>
  <c r="Z95" i="18"/>
  <c r="Z111" i="18"/>
  <c r="L120" i="18"/>
  <c r="X270" i="18"/>
  <c r="P269" i="18"/>
  <c r="X269" i="18" s="1"/>
  <c r="N274" i="18"/>
  <c r="L274" i="18"/>
  <c r="N278" i="18"/>
  <c r="N14" i="21"/>
  <c r="N58" i="21"/>
  <c r="N70" i="21"/>
  <c r="F112" i="24"/>
  <c r="F111" i="24"/>
  <c r="F121" i="24"/>
  <c r="F120" i="24"/>
  <c r="F113" i="24"/>
  <c r="F105" i="24"/>
  <c r="F104" i="24"/>
  <c r="F123" i="24"/>
  <c r="F122" i="24"/>
  <c r="F118" i="24"/>
  <c r="F110" i="24"/>
  <c r="F125" i="24"/>
  <c r="F115" i="24"/>
  <c r="F106" i="24"/>
  <c r="F93" i="24"/>
  <c r="F74" i="24"/>
  <c r="F70" i="24"/>
  <c r="F66" i="24"/>
  <c r="F62" i="24"/>
  <c r="F58" i="24"/>
  <c r="F54" i="24"/>
  <c r="F94" i="24"/>
  <c r="F89" i="24"/>
  <c r="F88" i="24"/>
  <c r="F107" i="24"/>
  <c r="F99" i="24"/>
  <c r="F84" i="24"/>
  <c r="F80" i="24"/>
  <c r="F79" i="24"/>
  <c r="F78" i="24"/>
  <c r="F71" i="24"/>
  <c r="F67" i="24"/>
  <c r="F63" i="24"/>
  <c r="F59" i="24"/>
  <c r="F55" i="24"/>
  <c r="F129" i="24"/>
  <c r="F116" i="24"/>
  <c r="F100" i="24"/>
  <c r="F95" i="24"/>
  <c r="F90" i="24"/>
  <c r="D76" i="24"/>
  <c r="F76" i="24" s="1"/>
  <c r="F101" i="24"/>
  <c r="F96" i="24"/>
  <c r="F85" i="24"/>
  <c r="F81" i="24"/>
  <c r="F108" i="24"/>
  <c r="F72" i="24"/>
  <c r="F68" i="24"/>
  <c r="F64" i="24"/>
  <c r="F60" i="24"/>
  <c r="F56" i="24"/>
  <c r="F52" i="24"/>
  <c r="F51" i="24"/>
  <c r="F91" i="24"/>
  <c r="F102" i="24"/>
  <c r="F97" i="24"/>
  <c r="F86" i="24"/>
  <c r="F82" i="24"/>
  <c r="F117" i="24"/>
  <c r="F109" i="24"/>
  <c r="F73" i="24"/>
  <c r="F69" i="24"/>
  <c r="F65" i="24"/>
  <c r="F61" i="24"/>
  <c r="F57" i="24"/>
  <c r="F53" i="24"/>
  <c r="F87" i="24"/>
  <c r="F83" i="24"/>
  <c r="Z26" i="24"/>
  <c r="X41" i="24"/>
  <c r="Z41" i="24" s="1"/>
  <c r="P12" i="15"/>
  <c r="L194" i="15"/>
  <c r="N194" i="15" s="1"/>
  <c r="X232" i="15"/>
  <c r="Z232" i="15" s="1"/>
  <c r="X250" i="15"/>
  <c r="Z250" i="15" s="1"/>
  <c r="Z19" i="18"/>
  <c r="Z67" i="18"/>
  <c r="N120" i="18"/>
  <c r="L224" i="18"/>
  <c r="N224" i="18" s="1"/>
  <c r="X60" i="21"/>
  <c r="Z60" i="21" s="1"/>
  <c r="Z72" i="21"/>
  <c r="X72" i="21"/>
  <c r="L199" i="12"/>
  <c r="N199" i="12" s="1"/>
  <c r="X233" i="12"/>
  <c r="Z233" i="12" s="1"/>
  <c r="D253" i="12"/>
  <c r="L253" i="12" s="1"/>
  <c r="N253" i="12" s="1"/>
  <c r="X255" i="12"/>
  <c r="Z255" i="12" s="1"/>
  <c r="L261" i="12"/>
  <c r="X169" i="15"/>
  <c r="Z169" i="15" s="1"/>
  <c r="L203" i="15"/>
  <c r="N203" i="15" s="1"/>
  <c r="X209" i="15"/>
  <c r="Z209" i="15" s="1"/>
  <c r="L235" i="15"/>
  <c r="N235" i="15" s="1"/>
  <c r="L245" i="15"/>
  <c r="X251" i="15"/>
  <c r="Z251" i="15" s="1"/>
  <c r="L18" i="18"/>
  <c r="N18" i="18" s="1"/>
  <c r="X24" i="18"/>
  <c r="Z24" i="18" s="1"/>
  <c r="N32" i="18"/>
  <c r="N35" i="18"/>
  <c r="X41" i="18"/>
  <c r="Z41" i="18" s="1"/>
  <c r="Z47" i="18"/>
  <c r="X50" i="18"/>
  <c r="Z50" i="18" s="1"/>
  <c r="L55" i="18"/>
  <c r="L66" i="18"/>
  <c r="N66" i="18" s="1"/>
  <c r="X72" i="18"/>
  <c r="Z72" i="18" s="1"/>
  <c r="L115" i="18"/>
  <c r="N115" i="18" s="1"/>
  <c r="X120" i="18"/>
  <c r="Z120" i="18" s="1"/>
  <c r="N123" i="18"/>
  <c r="N204" i="18"/>
  <c r="N257" i="18"/>
  <c r="Z14" i="21"/>
  <c r="Z18" i="21"/>
  <c r="Z58" i="21"/>
  <c r="Z70" i="21"/>
  <c r="Z28" i="24"/>
  <c r="Z30" i="24"/>
  <c r="Z79" i="24"/>
  <c r="F114" i="24"/>
  <c r="F119" i="24"/>
  <c r="N111" i="27"/>
  <c r="L246" i="15"/>
  <c r="N246" i="15" s="1"/>
  <c r="H12" i="18"/>
  <c r="N99" i="18"/>
  <c r="L66" i="21"/>
  <c r="N66" i="21" s="1"/>
  <c r="X104" i="24"/>
  <c r="Z104" i="24"/>
  <c r="L15" i="18"/>
  <c r="N15" i="18" s="1"/>
  <c r="L26" i="18"/>
  <c r="N26" i="18" s="1"/>
  <c r="X27" i="18"/>
  <c r="Z27" i="18" s="1"/>
  <c r="N40" i="18"/>
  <c r="Z55" i="18"/>
  <c r="X58" i="18"/>
  <c r="Z58" i="18" s="1"/>
  <c r="L60" i="18"/>
  <c r="N60" i="18" s="1"/>
  <c r="L63" i="18"/>
  <c r="N63" i="18" s="1"/>
  <c r="L74" i="18"/>
  <c r="N74" i="18" s="1"/>
  <c r="X75" i="18"/>
  <c r="Z75" i="18" s="1"/>
  <c r="N88" i="18"/>
  <c r="L91" i="18"/>
  <c r="N91" i="18" s="1"/>
  <c r="L99" i="18"/>
  <c r="N104" i="18"/>
  <c r="L107" i="18"/>
  <c r="N112" i="18"/>
  <c r="Z115" i="18"/>
  <c r="Z234" i="18"/>
  <c r="V51" i="21"/>
  <c r="Z83" i="21"/>
  <c r="T12" i="24"/>
  <c r="Z13" i="24"/>
  <c r="X13" i="24"/>
  <c r="Z32" i="24"/>
  <c r="Z38" i="24"/>
  <c r="Z46" i="24"/>
  <c r="Z88" i="24"/>
  <c r="X95" i="24"/>
  <c r="Z95" i="24" s="1"/>
  <c r="F98" i="24"/>
  <c r="T244" i="15"/>
  <c r="P12" i="18"/>
  <c r="N20" i="18"/>
  <c r="N23" i="18"/>
  <c r="Z35" i="18"/>
  <c r="X38" i="18"/>
  <c r="Z38" i="18" s="1"/>
  <c r="L43" i="18"/>
  <c r="L54" i="18"/>
  <c r="N54" i="18" s="1"/>
  <c r="N68" i="18"/>
  <c r="Z83" i="18"/>
  <c r="X86" i="18"/>
  <c r="Z86" i="18" s="1"/>
  <c r="X94" i="18"/>
  <c r="Z94" i="18" s="1"/>
  <c r="X102" i="18"/>
  <c r="X110" i="18"/>
  <c r="Z110" i="18" s="1"/>
  <c r="N232" i="18"/>
  <c r="Z242" i="18"/>
  <c r="X262" i="18"/>
  <c r="Z262" i="18" s="1"/>
  <c r="Z47" i="21"/>
  <c r="Z56" i="21"/>
  <c r="V59" i="21"/>
  <c r="Z68" i="21"/>
  <c r="N78" i="21"/>
  <c r="N98" i="21"/>
  <c r="X17" i="24"/>
  <c r="Z17" i="24" s="1"/>
  <c r="Z36" i="24"/>
  <c r="Z42" i="24"/>
  <c r="Z48" i="24"/>
  <c r="Z15" i="18"/>
  <c r="L23" i="18"/>
  <c r="X40" i="18"/>
  <c r="Z40" i="18" s="1"/>
  <c r="N48" i="18"/>
  <c r="N51" i="18"/>
  <c r="X57" i="18"/>
  <c r="Z57" i="18" s="1"/>
  <c r="Z63" i="18"/>
  <c r="L71" i="18"/>
  <c r="N71" i="18" s="1"/>
  <c r="Z91" i="18"/>
  <c r="Z99" i="18"/>
  <c r="Z107" i="18"/>
  <c r="X202" i="18"/>
  <c r="Z202" i="18" s="1"/>
  <c r="X250" i="18"/>
  <c r="Z250" i="18" s="1"/>
  <c r="N260" i="18"/>
  <c r="N277" i="18"/>
  <c r="N21" i="21"/>
  <c r="L21" i="21"/>
  <c r="N64" i="21"/>
  <c r="N86" i="21"/>
  <c r="Z21" i="24"/>
  <c r="X21" i="24"/>
  <c r="Z40" i="24"/>
  <c r="Z44" i="24"/>
  <c r="Z93" i="24"/>
  <c r="X91" i="27"/>
  <c r="Z91" i="27" s="1"/>
  <c r="N76" i="18"/>
  <c r="N79" i="18"/>
  <c r="N183" i="18"/>
  <c r="H12" i="21"/>
  <c r="N13" i="21"/>
  <c r="L13" i="21"/>
  <c r="L17" i="21"/>
  <c r="N17" i="21" s="1"/>
  <c r="X24" i="21"/>
  <c r="Z24" i="21" s="1"/>
  <c r="L30" i="21"/>
  <c r="N30" i="21" s="1"/>
  <c r="X25" i="24"/>
  <c r="Z25" i="24" s="1"/>
  <c r="F92" i="24"/>
  <c r="F103" i="24"/>
  <c r="L101" i="15"/>
  <c r="N101" i="15" s="1"/>
  <c r="Z23" i="18"/>
  <c r="X26" i="18"/>
  <c r="Z26" i="18" s="1"/>
  <c r="L28" i="18"/>
  <c r="N28" i="18" s="1"/>
  <c r="L31" i="18"/>
  <c r="N31" i="18" s="1"/>
  <c r="L42" i="18"/>
  <c r="N42" i="18" s="1"/>
  <c r="X43" i="18"/>
  <c r="Z43" i="18" s="1"/>
  <c r="N59" i="18"/>
  <c r="Z71" i="18"/>
  <c r="X74" i="18"/>
  <c r="Z74" i="18" s="1"/>
  <c r="L76" i="18"/>
  <c r="L79" i="18"/>
  <c r="N116" i="18"/>
  <c r="Z194" i="18"/>
  <c r="Z260" i="18"/>
  <c r="Z269" i="18"/>
  <c r="P12" i="21"/>
  <c r="Z21" i="21"/>
  <c r="Z64" i="21"/>
  <c r="X29" i="24"/>
  <c r="Z29" i="24" s="1"/>
  <c r="N43" i="24"/>
  <c r="Z78" i="24"/>
  <c r="N36" i="18"/>
  <c r="N39" i="18"/>
  <c r="Z51" i="18"/>
  <c r="L59" i="18"/>
  <c r="N84" i="18"/>
  <c r="N95" i="18"/>
  <c r="N212" i="18"/>
  <c r="N221" i="18"/>
  <c r="N228" i="18"/>
  <c r="Z230" i="18"/>
  <c r="X230" i="18"/>
  <c r="X238" i="18"/>
  <c r="Z238" i="18" s="1"/>
  <c r="V97" i="21"/>
  <c r="V85" i="21"/>
  <c r="V73" i="21"/>
  <c r="V61" i="21"/>
  <c r="V53" i="21"/>
  <c r="V25" i="21"/>
  <c r="V80" i="21"/>
  <c r="V64" i="21"/>
  <c r="V52" i="21"/>
  <c r="V44" i="21"/>
  <c r="V40" i="21"/>
  <c r="V101" i="21"/>
  <c r="V99" i="21"/>
  <c r="V91" i="21"/>
  <c r="V87" i="21"/>
  <c r="V63" i="21"/>
  <c r="V39" i="21"/>
  <c r="V35" i="21"/>
  <c r="V31" i="21"/>
  <c r="V74" i="21"/>
  <c r="V66" i="21"/>
  <c r="V54" i="21"/>
  <c r="V30" i="21"/>
  <c r="V26" i="21"/>
  <c r="V81" i="21"/>
  <c r="V65" i="21"/>
  <c r="V45" i="21"/>
  <c r="V41" i="21"/>
  <c r="T28" i="21"/>
  <c r="V28" i="21" s="1"/>
  <c r="V92" i="21"/>
  <c r="V88" i="21"/>
  <c r="V76" i="21"/>
  <c r="V68" i="21"/>
  <c r="V56" i="21"/>
  <c r="V36" i="21"/>
  <c r="V32" i="21"/>
  <c r="V105" i="21"/>
  <c r="V83" i="21"/>
  <c r="V75" i="21"/>
  <c r="V67" i="21"/>
  <c r="V55" i="21"/>
  <c r="V47" i="21"/>
  <c r="V94" i="21"/>
  <c r="V82" i="21"/>
  <c r="V78" i="21"/>
  <c r="V70" i="21"/>
  <c r="V58" i="21"/>
  <c r="V46" i="21"/>
  <c r="V42" i="21"/>
  <c r="V93" i="21"/>
  <c r="V89" i="21"/>
  <c r="V77" i="21"/>
  <c r="V69" i="21"/>
  <c r="V57" i="21"/>
  <c r="V49" i="21"/>
  <c r="V37" i="21"/>
  <c r="V33" i="21"/>
  <c r="V96" i="21"/>
  <c r="V84" i="21"/>
  <c r="V72" i="21"/>
  <c r="V60" i="21"/>
  <c r="V48" i="21"/>
  <c r="V24" i="21"/>
  <c r="V98" i="21"/>
  <c r="V90" i="21"/>
  <c r="V86" i="21"/>
  <c r="V62" i="21"/>
  <c r="V50" i="21"/>
  <c r="V38" i="21"/>
  <c r="V34" i="21"/>
  <c r="Z17" i="21"/>
  <c r="N40" i="21"/>
  <c r="N62" i="21"/>
  <c r="X96" i="21"/>
  <c r="Z96" i="21" s="1"/>
  <c r="Z14" i="24"/>
  <c r="N270" i="18"/>
  <c r="N94" i="21"/>
  <c r="H12" i="24"/>
  <c r="L12" i="24" s="1"/>
  <c r="N78" i="24"/>
  <c r="N93" i="24"/>
  <c r="Z120" i="24"/>
  <c r="X120" i="24"/>
  <c r="P12" i="27"/>
  <c r="X13" i="27"/>
  <c r="Z13" i="27" s="1"/>
  <c r="Z17" i="27"/>
  <c r="N71" i="27"/>
  <c r="Z14" i="30"/>
  <c r="Z18" i="30"/>
  <c r="V97" i="30"/>
  <c r="N36" i="27"/>
  <c r="Z71" i="27"/>
  <c r="N27" i="30"/>
  <c r="L142" i="30"/>
  <c r="N142" i="30" s="1"/>
  <c r="D12" i="21"/>
  <c r="P12" i="24"/>
  <c r="X100" i="24"/>
  <c r="Z100" i="24" s="1"/>
  <c r="L114" i="24"/>
  <c r="X125" i="24"/>
  <c r="Z125" i="24"/>
  <c r="L20" i="27"/>
  <c r="D111" i="27"/>
  <c r="L111" i="27" s="1"/>
  <c r="Z35" i="30"/>
  <c r="L120" i="30"/>
  <c r="N120" i="30" s="1"/>
  <c r="X219" i="18"/>
  <c r="Z219" i="18" s="1"/>
  <c r="L257" i="18"/>
  <c r="L275" i="18"/>
  <c r="N275" i="18" s="1"/>
  <c r="N20" i="27"/>
  <c r="L41" i="27"/>
  <c r="N41" i="27" s="1"/>
  <c r="L20" i="21"/>
  <c r="N20" i="21" s="1"/>
  <c r="X16" i="24"/>
  <c r="Z16" i="24" s="1"/>
  <c r="X20" i="24"/>
  <c r="Z20" i="24" s="1"/>
  <c r="N16" i="27"/>
  <c r="R117" i="30"/>
  <c r="R116" i="30"/>
  <c r="R109" i="30"/>
  <c r="R108" i="30"/>
  <c r="R89" i="30"/>
  <c r="R88" i="30"/>
  <c r="R64" i="30"/>
  <c r="R60" i="30"/>
  <c r="R56" i="30"/>
  <c r="R52" i="30"/>
  <c r="R48" i="30"/>
  <c r="R124" i="30"/>
  <c r="R123" i="30"/>
  <c r="R100" i="30"/>
  <c r="R99" i="30"/>
  <c r="R83" i="30"/>
  <c r="R44" i="30"/>
  <c r="R139" i="30"/>
  <c r="R138" i="30"/>
  <c r="R130" i="30"/>
  <c r="R118" i="30"/>
  <c r="R111" i="30"/>
  <c r="R110" i="30"/>
  <c r="R91" i="30"/>
  <c r="R90" i="30"/>
  <c r="R78" i="30"/>
  <c r="R74" i="30"/>
  <c r="R126" i="30"/>
  <c r="R125" i="30"/>
  <c r="R101" i="30"/>
  <c r="R65" i="30"/>
  <c r="R61" i="30"/>
  <c r="R57" i="30"/>
  <c r="R53" i="30"/>
  <c r="R49" i="30"/>
  <c r="R45" i="30"/>
  <c r="R143" i="30"/>
  <c r="R140" i="30"/>
  <c r="R113" i="30"/>
  <c r="R112" i="30"/>
  <c r="R93" i="30"/>
  <c r="R92" i="30"/>
  <c r="R84" i="30"/>
  <c r="X12" i="30"/>
  <c r="R142" i="30"/>
  <c r="R132" i="30"/>
  <c r="R131" i="30"/>
  <c r="R127" i="30"/>
  <c r="R120" i="30"/>
  <c r="R119" i="30"/>
  <c r="R79" i="30"/>
  <c r="R75" i="30"/>
  <c r="R114" i="30"/>
  <c r="R103" i="30"/>
  <c r="R102" i="30"/>
  <c r="R94" i="30"/>
  <c r="R66" i="30"/>
  <c r="R62" i="30"/>
  <c r="R58" i="30"/>
  <c r="R54" i="30"/>
  <c r="R50" i="30"/>
  <c r="R46" i="30"/>
  <c r="R147" i="30"/>
  <c r="R134" i="30"/>
  <c r="R133" i="30"/>
  <c r="R121" i="30"/>
  <c r="R85" i="30"/>
  <c r="R128" i="30"/>
  <c r="R105" i="30"/>
  <c r="R104" i="30"/>
  <c r="R81" i="30"/>
  <c r="R80" i="30"/>
  <c r="R76" i="30"/>
  <c r="R136" i="30"/>
  <c r="R135" i="30"/>
  <c r="R115" i="30"/>
  <c r="R96" i="30"/>
  <c r="R95" i="30"/>
  <c r="R72" i="30"/>
  <c r="R67" i="30"/>
  <c r="R63" i="30"/>
  <c r="R59" i="30"/>
  <c r="R55" i="30"/>
  <c r="R51" i="30"/>
  <c r="R47" i="30"/>
  <c r="R137" i="30"/>
  <c r="R129" i="30"/>
  <c r="R98" i="30"/>
  <c r="R97" i="30"/>
  <c r="R77" i="30"/>
  <c r="R73" i="30"/>
  <c r="P69" i="30"/>
  <c r="N91" i="30"/>
  <c r="Z136" i="30"/>
  <c r="L183" i="18"/>
  <c r="D269" i="18"/>
  <c r="L269" i="18" s="1"/>
  <c r="N269" i="18" s="1"/>
  <c r="X13" i="21"/>
  <c r="L77" i="27"/>
  <c r="N77" i="27" s="1"/>
  <c r="V139" i="30"/>
  <c r="V123" i="30"/>
  <c r="V111" i="30"/>
  <c r="V99" i="30"/>
  <c r="V91" i="30"/>
  <c r="V83" i="30"/>
  <c r="V138" i="30"/>
  <c r="V130" i="30"/>
  <c r="V126" i="30"/>
  <c r="V118" i="30"/>
  <c r="V110" i="30"/>
  <c r="V90" i="30"/>
  <c r="V78" i="30"/>
  <c r="V74" i="30"/>
  <c r="V143" i="30"/>
  <c r="V125" i="30"/>
  <c r="V113" i="30"/>
  <c r="V101" i="30"/>
  <c r="V93" i="30"/>
  <c r="V65" i="30"/>
  <c r="V61" i="30"/>
  <c r="V57" i="30"/>
  <c r="V53" i="30"/>
  <c r="V49" i="30"/>
  <c r="V45" i="30"/>
  <c r="V140" i="30"/>
  <c r="V132" i="30"/>
  <c r="V120" i="30"/>
  <c r="V112" i="30"/>
  <c r="V92" i="30"/>
  <c r="V84" i="30"/>
  <c r="Z12" i="30"/>
  <c r="V131" i="30"/>
  <c r="V127" i="30"/>
  <c r="V119" i="30"/>
  <c r="V103" i="30"/>
  <c r="V79" i="30"/>
  <c r="V75" i="30"/>
  <c r="V134" i="30"/>
  <c r="V114" i="30"/>
  <c r="V102" i="30"/>
  <c r="V94" i="30"/>
  <c r="V66" i="30"/>
  <c r="V62" i="30"/>
  <c r="V58" i="30"/>
  <c r="V54" i="30"/>
  <c r="V50" i="30"/>
  <c r="V46" i="30"/>
  <c r="V147" i="30"/>
  <c r="V133" i="30"/>
  <c r="V121" i="30"/>
  <c r="V105" i="30"/>
  <c r="V85" i="30"/>
  <c r="V81" i="30"/>
  <c r="V136" i="30"/>
  <c r="V128" i="30"/>
  <c r="V104" i="30"/>
  <c r="V96" i="30"/>
  <c r="V80" i="30"/>
  <c r="V76" i="30"/>
  <c r="V72" i="30"/>
  <c r="V135" i="30"/>
  <c r="V115" i="30"/>
  <c r="V107" i="30"/>
  <c r="V95" i="30"/>
  <c r="V87" i="30"/>
  <c r="V71" i="30"/>
  <c r="V67" i="30"/>
  <c r="V63" i="30"/>
  <c r="V59" i="30"/>
  <c r="V55" i="30"/>
  <c r="V51" i="30"/>
  <c r="V47" i="30"/>
  <c r="V122" i="30"/>
  <c r="V106" i="30"/>
  <c r="V98" i="30"/>
  <c r="V86" i="30"/>
  <c r="V82" i="30"/>
  <c r="T69" i="30"/>
  <c r="V124" i="30"/>
  <c r="V116" i="30"/>
  <c r="V108" i="30"/>
  <c r="V100" i="30"/>
  <c r="V88" i="30"/>
  <c r="V64" i="30"/>
  <c r="V60" i="30"/>
  <c r="V56" i="30"/>
  <c r="V52" i="30"/>
  <c r="V48" i="30"/>
  <c r="V44" i="30"/>
  <c r="Z19" i="30"/>
  <c r="Z21" i="30"/>
  <c r="N87" i="30"/>
  <c r="N111" i="30"/>
  <c r="N139" i="30"/>
  <c r="Z13" i="21"/>
  <c r="X111" i="24"/>
  <c r="Z111" i="24" s="1"/>
  <c r="L120" i="24"/>
  <c r="N120" i="24" s="1"/>
  <c r="L28" i="27"/>
  <c r="Z61" i="27"/>
  <c r="Z112" i="27"/>
  <c r="Z15" i="30"/>
  <c r="N71" i="30"/>
  <c r="V73" i="30"/>
  <c r="R82" i="30"/>
  <c r="N132" i="30"/>
  <c r="L132" i="30"/>
  <c r="D12" i="33"/>
  <c r="L14" i="33"/>
  <c r="N14" i="33" s="1"/>
  <c r="X207" i="18"/>
  <c r="Z207" i="18" s="1"/>
  <c r="X215" i="18"/>
  <c r="Z215" i="18" s="1"/>
  <c r="L221" i="18"/>
  <c r="L104" i="24"/>
  <c r="N104" i="24" s="1"/>
  <c r="H12" i="27"/>
  <c r="R87" i="30"/>
  <c r="V89" i="30"/>
  <c r="X98" i="30"/>
  <c r="Z98" i="30" s="1"/>
  <c r="R107" i="30"/>
  <c r="V129" i="30"/>
  <c r="J71" i="33"/>
  <c r="J47" i="33"/>
  <c r="J43" i="33"/>
  <c r="J72" i="33"/>
  <c r="J62" i="33"/>
  <c r="J34" i="33"/>
  <c r="J89" i="33"/>
  <c r="J77" i="33"/>
  <c r="J73" i="33"/>
  <c r="J63" i="33"/>
  <c r="J88" i="33"/>
  <c r="J78" i="33"/>
  <c r="J64" i="33"/>
  <c r="J54" i="33"/>
  <c r="J48" i="33"/>
  <c r="J44" i="33"/>
  <c r="J93" i="33"/>
  <c r="J87" i="33"/>
  <c r="J79" i="33"/>
  <c r="J65" i="33"/>
  <c r="J55" i="33"/>
  <c r="J49" i="33"/>
  <c r="J35" i="33"/>
  <c r="J31" i="33"/>
  <c r="J86" i="33"/>
  <c r="J80" i="33"/>
  <c r="J74" i="33"/>
  <c r="J85" i="33"/>
  <c r="J81" i="33"/>
  <c r="J67" i="33"/>
  <c r="J57" i="33"/>
  <c r="J45" i="33"/>
  <c r="J41" i="33"/>
  <c r="J39" i="33"/>
  <c r="J84" i="33"/>
  <c r="J68" i="33"/>
  <c r="J58" i="33"/>
  <c r="J60" i="33"/>
  <c r="J46" i="33"/>
  <c r="J42" i="33"/>
  <c r="J76" i="33"/>
  <c r="J70" i="33"/>
  <c r="J52" i="33"/>
  <c r="J75" i="33"/>
  <c r="J66" i="33"/>
  <c r="H37" i="33"/>
  <c r="J50" i="33"/>
  <c r="J32" i="33"/>
  <c r="J61" i="33"/>
  <c r="J69" i="33"/>
  <c r="J59" i="33"/>
  <c r="J51" i="33"/>
  <c r="J40" i="33"/>
  <c r="J30" i="33"/>
  <c r="N22" i="30"/>
  <c r="R71" i="30"/>
  <c r="V109" i="30"/>
  <c r="V137" i="30"/>
  <c r="L45" i="24"/>
  <c r="N45" i="24" s="1"/>
  <c r="X97" i="24"/>
  <c r="Z97" i="24" s="1"/>
  <c r="Z86" i="27"/>
  <c r="V77" i="30"/>
  <c r="Z105" i="30"/>
  <c r="X102" i="24"/>
  <c r="Z102" i="24" s="1"/>
  <c r="Z21" i="27"/>
  <c r="N32" i="27"/>
  <c r="D12" i="30"/>
  <c r="Z16" i="33"/>
  <c r="D12" i="27"/>
  <c r="N72" i="30"/>
  <c r="N96" i="30"/>
  <c r="Z126" i="30"/>
  <c r="N136" i="30"/>
  <c r="P12" i="33"/>
  <c r="Z19" i="33"/>
  <c r="Z22" i="33"/>
  <c r="N27" i="33"/>
  <c r="T12" i="36"/>
  <c r="N19" i="36"/>
  <c r="N55" i="36"/>
  <c r="H12" i="39"/>
  <c r="H12" i="30"/>
  <c r="Z27" i="33"/>
  <c r="Z54" i="33"/>
  <c r="Z88" i="33"/>
  <c r="X88" i="33"/>
  <c r="X19" i="36"/>
  <c r="Z19" i="36" s="1"/>
  <c r="R38" i="36"/>
  <c r="R55" i="36"/>
  <c r="N82" i="36"/>
  <c r="N97" i="36"/>
  <c r="N117" i="36"/>
  <c r="V126" i="39"/>
  <c r="V115" i="39"/>
  <c r="V103" i="39"/>
  <c r="V91" i="39"/>
  <c r="V83" i="39"/>
  <c r="V75" i="39"/>
  <c r="V55" i="39"/>
  <c r="V51" i="39"/>
  <c r="V131" i="39"/>
  <c r="V114" i="39"/>
  <c r="V98" i="39"/>
  <c r="V86" i="39"/>
  <c r="V74" i="39"/>
  <c r="V46" i="39"/>
  <c r="V42" i="39"/>
  <c r="V117" i="39"/>
  <c r="V109" i="39"/>
  <c r="V105" i="39"/>
  <c r="V93" i="39"/>
  <c r="V85" i="39"/>
  <c r="V77" i="39"/>
  <c r="V65" i="39"/>
  <c r="V57" i="39"/>
  <c r="V122" i="39"/>
  <c r="V116" i="39"/>
  <c r="V88" i="39"/>
  <c r="V76" i="39"/>
  <c r="V56" i="39"/>
  <c r="V52" i="39"/>
  <c r="V124" i="39"/>
  <c r="V99" i="39"/>
  <c r="V95" i="39"/>
  <c r="V87" i="39"/>
  <c r="V67" i="39"/>
  <c r="V59" i="39"/>
  <c r="V47" i="39"/>
  <c r="V43" i="39"/>
  <c r="V39" i="39"/>
  <c r="V125" i="39"/>
  <c r="V118" i="39"/>
  <c r="V110" i="39"/>
  <c r="V106" i="39"/>
  <c r="V94" i="39"/>
  <c r="V78" i="39"/>
  <c r="V66" i="39"/>
  <c r="V58" i="39"/>
  <c r="V127" i="39"/>
  <c r="V101" i="39"/>
  <c r="V89" i="39"/>
  <c r="V69" i="39"/>
  <c r="V61" i="39"/>
  <c r="V53" i="39"/>
  <c r="V49" i="39"/>
  <c r="V100" i="39"/>
  <c r="V96" i="39"/>
  <c r="V80" i="39"/>
  <c r="V68" i="39"/>
  <c r="V60" i="39"/>
  <c r="V48" i="39"/>
  <c r="V44" i="39"/>
  <c r="V40" i="39"/>
  <c r="V119" i="39"/>
  <c r="V111" i="39"/>
  <c r="V107" i="39"/>
  <c r="V102" i="39"/>
  <c r="V90" i="39"/>
  <c r="V121" i="39"/>
  <c r="V120" i="39"/>
  <c r="V112" i="39"/>
  <c r="V108" i="39"/>
  <c r="V104" i="39"/>
  <c r="V92" i="39"/>
  <c r="V84" i="39"/>
  <c r="V72" i="39"/>
  <c r="V64" i="39"/>
  <c r="V32" i="39"/>
  <c r="V63" i="39"/>
  <c r="V71" i="39"/>
  <c r="T36" i="39"/>
  <c r="V81" i="39"/>
  <c r="V79" i="39"/>
  <c r="V73" i="39"/>
  <c r="V45" i="39"/>
  <c r="V82" i="39"/>
  <c r="V50" i="39"/>
  <c r="V38" i="39"/>
  <c r="V33" i="39"/>
  <c r="V41" i="39"/>
  <c r="V113" i="39"/>
  <c r="V62" i="39"/>
  <c r="V70" i="39"/>
  <c r="V54" i="39"/>
  <c r="V34" i="39"/>
  <c r="V97" i="39"/>
  <c r="Z15" i="33"/>
  <c r="L20" i="33"/>
  <c r="X54" i="33"/>
  <c r="N65" i="33"/>
  <c r="N87" i="33"/>
  <c r="F117" i="36"/>
  <c r="F92" i="36"/>
  <c r="F113" i="36"/>
  <c r="F108" i="36"/>
  <c r="F104" i="36"/>
  <c r="F101" i="36"/>
  <c r="F98" i="36"/>
  <c r="F80" i="36"/>
  <c r="F60" i="36"/>
  <c r="F52" i="36"/>
  <c r="F51" i="36"/>
  <c r="F28" i="36"/>
  <c r="F109" i="36"/>
  <c r="F86" i="36"/>
  <c r="F81" i="36"/>
  <c r="F71" i="36"/>
  <c r="F47" i="36"/>
  <c r="F91" i="36"/>
  <c r="F87" i="36"/>
  <c r="F62" i="36"/>
  <c r="F61" i="36"/>
  <c r="F54" i="36"/>
  <c r="F53" i="36"/>
  <c r="F42" i="36"/>
  <c r="F38" i="36"/>
  <c r="F34" i="36"/>
  <c r="F33" i="36"/>
  <c r="F124" i="36"/>
  <c r="F114" i="36"/>
  <c r="F110" i="36"/>
  <c r="F94" i="36"/>
  <c r="F73" i="36"/>
  <c r="F72" i="36"/>
  <c r="F32" i="36"/>
  <c r="F30" i="36"/>
  <c r="F111" i="36"/>
  <c r="F105" i="36"/>
  <c r="F102" i="36"/>
  <c r="F99" i="36"/>
  <c r="F83" i="36"/>
  <c r="F82" i="36"/>
  <c r="F64" i="36"/>
  <c r="F63" i="36"/>
  <c r="F56" i="36"/>
  <c r="F55" i="36"/>
  <c r="F48" i="36"/>
  <c r="F44" i="36"/>
  <c r="F43" i="36"/>
  <c r="D30" i="36"/>
  <c r="L12" i="36"/>
  <c r="F115" i="36"/>
  <c r="F75" i="36"/>
  <c r="F74" i="36"/>
  <c r="F39" i="36"/>
  <c r="F35" i="36"/>
  <c r="F95" i="36"/>
  <c r="F88" i="36"/>
  <c r="F66" i="36"/>
  <c r="F65" i="36"/>
  <c r="F58" i="36"/>
  <c r="F57" i="36"/>
  <c r="F106" i="36"/>
  <c r="F77" i="36"/>
  <c r="F76" i="36"/>
  <c r="F49" i="36"/>
  <c r="F45" i="36"/>
  <c r="F112" i="36"/>
  <c r="F103" i="36"/>
  <c r="F100" i="36"/>
  <c r="F96" i="36"/>
  <c r="F84" i="36"/>
  <c r="F68" i="36"/>
  <c r="F67" i="36"/>
  <c r="F40" i="36"/>
  <c r="F36" i="36"/>
  <c r="F107" i="36"/>
  <c r="F89" i="36"/>
  <c r="F79" i="36"/>
  <c r="F78" i="36"/>
  <c r="F59" i="36"/>
  <c r="F27" i="36"/>
  <c r="F26" i="36"/>
  <c r="F97" i="36"/>
  <c r="F93" i="36"/>
  <c r="F85" i="36"/>
  <c r="F41" i="36"/>
  <c r="F37" i="36"/>
  <c r="N15" i="36"/>
  <c r="R43" i="36"/>
  <c r="F69" i="36"/>
  <c r="L112" i="27"/>
  <c r="N112" i="27" s="1"/>
  <c r="X13" i="30"/>
  <c r="X17" i="30"/>
  <c r="Z17" i="30" s="1"/>
  <c r="X21" i="30"/>
  <c r="X25" i="30"/>
  <c r="Z25" i="30" s="1"/>
  <c r="X29" i="30"/>
  <c r="Z29" i="30" s="1"/>
  <c r="X33" i="30"/>
  <c r="Z33" i="30" s="1"/>
  <c r="X37" i="30"/>
  <c r="Z37" i="30" s="1"/>
  <c r="X41" i="30"/>
  <c r="Z41" i="30" s="1"/>
  <c r="N20" i="33"/>
  <c r="J94" i="36"/>
  <c r="J90" i="36"/>
  <c r="J111" i="36"/>
  <c r="J103" i="36"/>
  <c r="J99" i="36"/>
  <c r="J87" i="36"/>
  <c r="J79" i="36"/>
  <c r="J109" i="36"/>
  <c r="J81" i="36"/>
  <c r="J71" i="36"/>
  <c r="J61" i="36"/>
  <c r="J53" i="36"/>
  <c r="J47" i="36"/>
  <c r="J33" i="36"/>
  <c r="J114" i="36"/>
  <c r="J110" i="36"/>
  <c r="J91" i="36"/>
  <c r="J72" i="36"/>
  <c r="J62" i="36"/>
  <c r="J54" i="36"/>
  <c r="J42" i="36"/>
  <c r="J38" i="36"/>
  <c r="J34" i="36"/>
  <c r="J32" i="36"/>
  <c r="J124" i="36"/>
  <c r="J82" i="36"/>
  <c r="J73" i="36"/>
  <c r="J63" i="36"/>
  <c r="J55" i="36"/>
  <c r="J43" i="36"/>
  <c r="H30" i="36"/>
  <c r="J105" i="36"/>
  <c r="J102" i="36"/>
  <c r="J83" i="36"/>
  <c r="J74" i="36"/>
  <c r="J64" i="36"/>
  <c r="J56" i="36"/>
  <c r="J48" i="36"/>
  <c r="J44" i="36"/>
  <c r="N12" i="36"/>
  <c r="J115" i="36"/>
  <c r="J95" i="36"/>
  <c r="J75" i="36"/>
  <c r="J65" i="36"/>
  <c r="J57" i="36"/>
  <c r="J39" i="36"/>
  <c r="J35" i="36"/>
  <c r="J106" i="36"/>
  <c r="J88" i="36"/>
  <c r="J76" i="36"/>
  <c r="J66" i="36"/>
  <c r="J58" i="36"/>
  <c r="J92" i="36"/>
  <c r="J77" i="36"/>
  <c r="J67" i="36"/>
  <c r="J49" i="36"/>
  <c r="J45" i="36"/>
  <c r="J112" i="36"/>
  <c r="J100" i="36"/>
  <c r="J96" i="36"/>
  <c r="J89" i="36"/>
  <c r="J84" i="36"/>
  <c r="J78" i="36"/>
  <c r="J68" i="36"/>
  <c r="J40" i="36"/>
  <c r="J36" i="36"/>
  <c r="J26" i="36"/>
  <c r="J120" i="36"/>
  <c r="J119" i="36"/>
  <c r="J118" i="36"/>
  <c r="J117" i="36"/>
  <c r="J107" i="36"/>
  <c r="J69" i="36"/>
  <c r="J59" i="36"/>
  <c r="J27" i="36"/>
  <c r="J97" i="36"/>
  <c r="J70" i="36"/>
  <c r="J50" i="36"/>
  <c r="J46" i="36"/>
  <c r="J113" i="36"/>
  <c r="J104" i="36"/>
  <c r="J101" i="36"/>
  <c r="J98" i="36"/>
  <c r="J86" i="36"/>
  <c r="J60" i="36"/>
  <c r="J52" i="36"/>
  <c r="J28" i="36"/>
  <c r="J80" i="36"/>
  <c r="J85" i="36"/>
  <c r="N16" i="39"/>
  <c r="L16" i="39"/>
  <c r="T12" i="42"/>
  <c r="P111" i="27"/>
  <c r="Z13" i="30"/>
  <c r="L39" i="33"/>
  <c r="N39" i="33" s="1"/>
  <c r="R118" i="36"/>
  <c r="R115" i="36"/>
  <c r="R108" i="36"/>
  <c r="R107" i="36"/>
  <c r="R91" i="36"/>
  <c r="R112" i="36"/>
  <c r="R104" i="36"/>
  <c r="R100" i="36"/>
  <c r="R89" i="36"/>
  <c r="R88" i="36"/>
  <c r="R105" i="36"/>
  <c r="R102" i="36"/>
  <c r="R94" i="36"/>
  <c r="R83" i="36"/>
  <c r="R65" i="36"/>
  <c r="R64" i="36"/>
  <c r="R57" i="36"/>
  <c r="R56" i="36"/>
  <c r="R48" i="36"/>
  <c r="R44" i="36"/>
  <c r="X12" i="36"/>
  <c r="R111" i="36"/>
  <c r="R99" i="36"/>
  <c r="R95" i="36"/>
  <c r="R76" i="36"/>
  <c r="R75" i="36"/>
  <c r="R39" i="36"/>
  <c r="R35" i="36"/>
  <c r="R106" i="36"/>
  <c r="R67" i="36"/>
  <c r="R66" i="36"/>
  <c r="R58" i="36"/>
  <c r="R92" i="36"/>
  <c r="R78" i="36"/>
  <c r="R77" i="36"/>
  <c r="R49" i="36"/>
  <c r="R45" i="36"/>
  <c r="R26" i="36"/>
  <c r="R119" i="36"/>
  <c r="R117" i="36"/>
  <c r="R84" i="36"/>
  <c r="R69" i="36"/>
  <c r="R68" i="36"/>
  <c r="R40" i="36"/>
  <c r="R36" i="36"/>
  <c r="R120" i="36"/>
  <c r="R103" i="36"/>
  <c r="R97" i="36"/>
  <c r="R96" i="36"/>
  <c r="R59" i="36"/>
  <c r="R27" i="36"/>
  <c r="R79" i="36"/>
  <c r="R70" i="36"/>
  <c r="R51" i="36"/>
  <c r="R50" i="36"/>
  <c r="R46" i="36"/>
  <c r="R90" i="36"/>
  <c r="R86" i="36"/>
  <c r="R85" i="36"/>
  <c r="R80" i="36"/>
  <c r="R41" i="36"/>
  <c r="R37" i="36"/>
  <c r="R113" i="36"/>
  <c r="R101" i="36"/>
  <c r="R98" i="36"/>
  <c r="R93" i="36"/>
  <c r="R61" i="36"/>
  <c r="R60" i="36"/>
  <c r="R53" i="36"/>
  <c r="R52" i="36"/>
  <c r="R33" i="36"/>
  <c r="R28" i="36"/>
  <c r="R110" i="36"/>
  <c r="R109" i="36"/>
  <c r="R72" i="36"/>
  <c r="R71" i="36"/>
  <c r="R47" i="36"/>
  <c r="R32" i="36"/>
  <c r="R124" i="36"/>
  <c r="R87" i="36"/>
  <c r="R74" i="36"/>
  <c r="R73" i="36"/>
  <c r="X15" i="36"/>
  <c r="Z15" i="36" s="1"/>
  <c r="N20" i="36"/>
  <c r="P30" i="36"/>
  <c r="F50" i="36"/>
  <c r="L38" i="39"/>
  <c r="N38" i="39" s="1"/>
  <c r="X16" i="27"/>
  <c r="Z16" i="27" s="1"/>
  <c r="X20" i="27"/>
  <c r="Z20" i="27" s="1"/>
  <c r="X26" i="33"/>
  <c r="Z26" i="33" s="1"/>
  <c r="Z78" i="33"/>
  <c r="L84" i="33"/>
  <c r="D83" i="33"/>
  <c r="L83" i="33" s="1"/>
  <c r="N26" i="36"/>
  <c r="N63" i="36"/>
  <c r="F118" i="36"/>
  <c r="T111" i="27"/>
  <c r="V111" i="27" s="1"/>
  <c r="T142" i="30"/>
  <c r="V142" i="30" s="1"/>
  <c r="N16" i="33"/>
  <c r="Z23" i="33"/>
  <c r="N84" i="33"/>
  <c r="H83" i="33"/>
  <c r="J37" i="36"/>
  <c r="R54" i="36"/>
  <c r="F90" i="36"/>
  <c r="J93" i="36"/>
  <c r="R114" i="36"/>
  <c r="R34" i="36"/>
  <c r="R42" i="36"/>
  <c r="R63" i="36"/>
  <c r="F120" i="36"/>
  <c r="X15" i="27"/>
  <c r="Z15" i="27" s="1"/>
  <c r="X19" i="27"/>
  <c r="L18" i="30"/>
  <c r="N18" i="30" s="1"/>
  <c r="L22" i="30"/>
  <c r="L26" i="30"/>
  <c r="N26" i="30" s="1"/>
  <c r="L30" i="30"/>
  <c r="N30" i="30" s="1"/>
  <c r="L34" i="30"/>
  <c r="N34" i="30" s="1"/>
  <c r="L38" i="30"/>
  <c r="L42" i="30"/>
  <c r="L19" i="33"/>
  <c r="X28" i="33"/>
  <c r="N23" i="36"/>
  <c r="Z32" i="36"/>
  <c r="F70" i="36"/>
  <c r="Z74" i="36"/>
  <c r="X74" i="36"/>
  <c r="R81" i="36"/>
  <c r="L71" i="30"/>
  <c r="L87" i="30"/>
  <c r="X93" i="30"/>
  <c r="Z93" i="30" s="1"/>
  <c r="L107" i="30"/>
  <c r="N107" i="30" s="1"/>
  <c r="X113" i="30"/>
  <c r="Z113" i="30" s="1"/>
  <c r="X143" i="30"/>
  <c r="Z143" i="30" s="1"/>
  <c r="Z16" i="36"/>
  <c r="N21" i="36"/>
  <c r="N57" i="36"/>
  <c r="Z21" i="39"/>
  <c r="L60" i="33"/>
  <c r="N60" i="33" s="1"/>
  <c r="Z72" i="33"/>
  <c r="Z23" i="36"/>
  <c r="X23" i="36"/>
  <c r="J108" i="36"/>
  <c r="L13" i="39"/>
  <c r="N13" i="39" s="1"/>
  <c r="D12" i="39"/>
  <c r="L28" i="39"/>
  <c r="N28" i="39" s="1"/>
  <c r="Z58" i="33"/>
  <c r="N72" i="33"/>
  <c r="Z84" i="33"/>
  <c r="Z26" i="36"/>
  <c r="N32" i="36"/>
  <c r="N72" i="36"/>
  <c r="Z78" i="36"/>
  <c r="X114" i="36"/>
  <c r="Z114" i="36" s="1"/>
  <c r="X19" i="39"/>
  <c r="Z19" i="39" s="1"/>
  <c r="N113" i="39"/>
  <c r="X69" i="42"/>
  <c r="Z69" i="42" s="1"/>
  <c r="F77" i="42"/>
  <c r="L90" i="42"/>
  <c r="N90" i="42" s="1"/>
  <c r="N120" i="36"/>
  <c r="L88" i="39"/>
  <c r="N88" i="39" s="1"/>
  <c r="Z126" i="39"/>
  <c r="X16" i="39"/>
  <c r="L23" i="39"/>
  <c r="X28" i="39"/>
  <c r="Z28" i="39" s="1"/>
  <c r="X80" i="39"/>
  <c r="N86" i="39"/>
  <c r="F64" i="42"/>
  <c r="L13" i="36"/>
  <c r="L17" i="36"/>
  <c r="L21" i="36"/>
  <c r="L95" i="36"/>
  <c r="N95" i="36" s="1"/>
  <c r="Z16" i="39"/>
  <c r="Z112" i="42"/>
  <c r="N13" i="36"/>
  <c r="N106" i="36"/>
  <c r="X25" i="39"/>
  <c r="Z25" i="39" s="1"/>
  <c r="Z38" i="39"/>
  <c r="N57" i="39"/>
  <c r="L57" i="39"/>
  <c r="Z80" i="39"/>
  <c r="L77" i="39"/>
  <c r="N77" i="39" s="1"/>
  <c r="N14" i="42"/>
  <c r="L14" i="42"/>
  <c r="Z97" i="36"/>
  <c r="T117" i="36"/>
  <c r="L15" i="39"/>
  <c r="N15" i="39" s="1"/>
  <c r="X20" i="39"/>
  <c r="L27" i="39"/>
  <c r="N27" i="39" s="1"/>
  <c r="X82" i="39"/>
  <c r="Z82" i="39" s="1"/>
  <c r="P12" i="42"/>
  <c r="X18" i="42"/>
  <c r="Z18" i="42" s="1"/>
  <c r="F71" i="42"/>
  <c r="T83" i="33"/>
  <c r="X13" i="36"/>
  <c r="Z13" i="36" s="1"/>
  <c r="Z20" i="39"/>
  <c r="N114" i="36"/>
  <c r="P12" i="39"/>
  <c r="N24" i="39"/>
  <c r="X29" i="39"/>
  <c r="Z29" i="39" s="1"/>
  <c r="N32" i="39"/>
  <c r="Z67" i="39"/>
  <c r="X71" i="39"/>
  <c r="Z71" i="39" s="1"/>
  <c r="N104" i="39"/>
  <c r="L80" i="36"/>
  <c r="N80" i="36" s="1"/>
  <c r="X89" i="36"/>
  <c r="Z89" i="36" s="1"/>
  <c r="X119" i="36"/>
  <c r="Z119" i="36" s="1"/>
  <c r="L14" i="39"/>
  <c r="N14" i="39" s="1"/>
  <c r="Z15" i="39"/>
  <c r="Z63" i="39"/>
  <c r="X63" i="39"/>
  <c r="Z69" i="39"/>
  <c r="N117" i="39"/>
  <c r="H12" i="42"/>
  <c r="L12" i="42" s="1"/>
  <c r="F107" i="42"/>
  <c r="F99" i="42"/>
  <c r="F95" i="42"/>
  <c r="F83" i="42"/>
  <c r="F67" i="42"/>
  <c r="F66" i="42"/>
  <c r="F39" i="42"/>
  <c r="F35" i="42"/>
  <c r="F89" i="42"/>
  <c r="F85" i="42"/>
  <c r="F84" i="42"/>
  <c r="F108" i="42"/>
  <c r="F91" i="42"/>
  <c r="F90" i="42"/>
  <c r="F79" i="42"/>
  <c r="F59" i="42"/>
  <c r="F51" i="42"/>
  <c r="F50" i="42"/>
  <c r="F27" i="42"/>
  <c r="F115" i="42"/>
  <c r="F110" i="42"/>
  <c r="F109" i="42"/>
  <c r="F102" i="42"/>
  <c r="F101" i="42"/>
  <c r="F86" i="42"/>
  <c r="F70" i="42"/>
  <c r="F69" i="42"/>
  <c r="F46" i="42"/>
  <c r="F119" i="42"/>
  <c r="F114" i="42"/>
  <c r="F113" i="42"/>
  <c r="F104" i="42"/>
  <c r="F103" i="42"/>
  <c r="F80" i="42"/>
  <c r="F112" i="42"/>
  <c r="F106" i="42"/>
  <c r="F105" i="42"/>
  <c r="F98" i="42"/>
  <c r="F94" i="42"/>
  <c r="F88" i="42"/>
  <c r="F76" i="42"/>
  <c r="F75" i="42"/>
  <c r="F48" i="42"/>
  <c r="F44" i="42"/>
  <c r="F93" i="42"/>
  <c r="F65" i="42"/>
  <c r="D29" i="42"/>
  <c r="F72" i="42"/>
  <c r="F55" i="42"/>
  <c r="F31" i="42"/>
  <c r="F25" i="42"/>
  <c r="F78" i="42"/>
  <c r="F62" i="42"/>
  <c r="F38" i="42"/>
  <c r="F32" i="42"/>
  <c r="F97" i="42"/>
  <c r="F52" i="42"/>
  <c r="F26" i="42"/>
  <c r="F87" i="42"/>
  <c r="F41" i="42"/>
  <c r="F33" i="42"/>
  <c r="F73" i="42"/>
  <c r="F56" i="42"/>
  <c r="F53" i="42"/>
  <c r="F49" i="42"/>
  <c r="F36" i="42"/>
  <c r="F81" i="42"/>
  <c r="F63" i="42"/>
  <c r="F57" i="42"/>
  <c r="F47" i="42"/>
  <c r="F42" i="42"/>
  <c r="F92" i="42"/>
  <c r="F60" i="42"/>
  <c r="F34" i="42"/>
  <c r="F96" i="42"/>
  <c r="F74" i="42"/>
  <c r="F54" i="42"/>
  <c r="F45" i="42"/>
  <c r="F100" i="42"/>
  <c r="F68" i="42"/>
  <c r="F58" i="42"/>
  <c r="F43" i="42"/>
  <c r="F40" i="42"/>
  <c r="F29" i="42"/>
  <c r="N17" i="42"/>
  <c r="L17" i="42"/>
  <c r="N23" i="42"/>
  <c r="L114" i="36"/>
  <c r="L19" i="39"/>
  <c r="N19" i="39" s="1"/>
  <c r="X24" i="39"/>
  <c r="Z24" i="39" s="1"/>
  <c r="Z61" i="39"/>
  <c r="N115" i="39"/>
  <c r="F61" i="42"/>
  <c r="X15" i="42"/>
  <c r="Z15" i="42" s="1"/>
  <c r="Z56" i="42"/>
  <c r="X62" i="42"/>
  <c r="Z62" i="42" s="1"/>
  <c r="L71" i="42"/>
  <c r="N71" i="42" s="1"/>
  <c r="L84" i="42"/>
  <c r="N84" i="42" s="1"/>
  <c r="P112" i="42"/>
  <c r="X112" i="42" s="1"/>
  <c r="X114" i="42"/>
  <c r="Z114" i="42" s="1"/>
  <c r="N54" i="42"/>
  <c r="N112" i="42"/>
  <c r="L117" i="39"/>
  <c r="P124" i="39"/>
  <c r="X124" i="39" s="1"/>
  <c r="L16" i="42"/>
  <c r="N16" i="42" s="1"/>
  <c r="L55" i="51"/>
  <c r="N55" i="51" s="1"/>
  <c r="X14" i="42"/>
  <c r="Z14" i="42" s="1"/>
  <c r="N42" i="42"/>
  <c r="L50" i="42"/>
  <c r="N50" i="42" s="1"/>
  <c r="X77" i="42"/>
  <c r="Z77" i="42" s="1"/>
  <c r="Z84" i="42"/>
  <c r="Z109" i="42"/>
  <c r="X109" i="42"/>
  <c r="N27" i="45"/>
  <c r="Z124" i="39"/>
  <c r="N81" i="42"/>
  <c r="N22" i="42"/>
  <c r="X42" i="42"/>
  <c r="Z42" i="42" s="1"/>
  <c r="Z64" i="42"/>
  <c r="N105" i="42"/>
  <c r="X59" i="39"/>
  <c r="Z59" i="39" s="1"/>
  <c r="L62" i="42"/>
  <c r="N62" i="42" s="1"/>
  <c r="Z115" i="42"/>
  <c r="X115" i="42"/>
  <c r="L31" i="42"/>
  <c r="N31" i="42" s="1"/>
  <c r="D12" i="45"/>
  <c r="L13" i="45"/>
  <c r="N13" i="45" s="1"/>
  <c r="N18" i="42"/>
  <c r="N75" i="42"/>
  <c r="L37" i="45"/>
  <c r="N37" i="45" s="1"/>
  <c r="L124" i="39"/>
  <c r="N124" i="39" s="1"/>
  <c r="X73" i="42"/>
  <c r="Z73" i="42"/>
  <c r="Z101" i="42"/>
  <c r="X101" i="42"/>
  <c r="Z81" i="42"/>
  <c r="Z105" i="42"/>
  <c r="V21" i="45"/>
  <c r="Z27" i="45"/>
  <c r="R30" i="45"/>
  <c r="R34" i="45"/>
  <c r="R39" i="45"/>
  <c r="R46" i="45"/>
  <c r="R50" i="45"/>
  <c r="X53" i="45"/>
  <c r="N59" i="45"/>
  <c r="X65" i="45"/>
  <c r="V85" i="45"/>
  <c r="Z44" i="48"/>
  <c r="J49" i="48"/>
  <c r="V52" i="48"/>
  <c r="J57" i="48"/>
  <c r="T12" i="51"/>
  <c r="Z20" i="51"/>
  <c r="D112" i="42"/>
  <c r="L112" i="42" s="1"/>
  <c r="Z53" i="45"/>
  <c r="V56" i="45"/>
  <c r="Z65" i="45"/>
  <c r="F71" i="51"/>
  <c r="V20" i="45"/>
  <c r="R29" i="45"/>
  <c r="R33" i="45"/>
  <c r="R52" i="45"/>
  <c r="V53" i="45"/>
  <c r="R59" i="45"/>
  <c r="R62" i="45"/>
  <c r="V65" i="45"/>
  <c r="R67" i="45"/>
  <c r="R70" i="45"/>
  <c r="R78" i="45"/>
  <c r="R80" i="45"/>
  <c r="N84" i="45"/>
  <c r="N15" i="48"/>
  <c r="L15" i="48"/>
  <c r="R21" i="48"/>
  <c r="Z63" i="48"/>
  <c r="X23" i="51"/>
  <c r="V29" i="45"/>
  <c r="V33" i="45"/>
  <c r="R38" i="45"/>
  <c r="L51" i="45"/>
  <c r="N51" i="45" s="1"/>
  <c r="V52" i="45"/>
  <c r="R64" i="45"/>
  <c r="R74" i="45"/>
  <c r="R76" i="45"/>
  <c r="V78" i="45"/>
  <c r="N86" i="45"/>
  <c r="T92" i="45"/>
  <c r="V92" i="45" s="1"/>
  <c r="R53" i="48"/>
  <c r="R42" i="48"/>
  <c r="R41" i="48"/>
  <c r="R33" i="48"/>
  <c r="R29" i="48"/>
  <c r="R28" i="48"/>
  <c r="R24" i="48"/>
  <c r="R60" i="48"/>
  <c r="R59" i="48"/>
  <c r="R44" i="48"/>
  <c r="R43" i="48"/>
  <c r="R20" i="48"/>
  <c r="R65" i="48"/>
  <c r="R55" i="48"/>
  <c r="R54" i="48"/>
  <c r="R34" i="48"/>
  <c r="R30" i="48"/>
  <c r="R19" i="48"/>
  <c r="R17" i="48"/>
  <c r="R15" i="48"/>
  <c r="R64" i="48"/>
  <c r="R61" i="48"/>
  <c r="R46" i="48"/>
  <c r="R45" i="48"/>
  <c r="R25" i="48"/>
  <c r="R56" i="48"/>
  <c r="R69" i="48"/>
  <c r="R48" i="48"/>
  <c r="R47" i="48"/>
  <c r="R36" i="48"/>
  <c r="R35" i="48"/>
  <c r="R31" i="48"/>
  <c r="R26" i="48"/>
  <c r="R22" i="48"/>
  <c r="R57" i="48"/>
  <c r="R32" i="48"/>
  <c r="X12" i="48"/>
  <c r="Z12" i="48" s="1"/>
  <c r="R52" i="48"/>
  <c r="R51" i="48"/>
  <c r="R40" i="48"/>
  <c r="R39" i="48"/>
  <c r="R27" i="48"/>
  <c r="R23" i="48"/>
  <c r="L36" i="48"/>
  <c r="N36" i="48" s="1"/>
  <c r="L19" i="51"/>
  <c r="Z23" i="51"/>
  <c r="X88" i="51"/>
  <c r="Z88" i="51" s="1"/>
  <c r="H12" i="45"/>
  <c r="V38" i="45"/>
  <c r="R41" i="45"/>
  <c r="V44" i="45"/>
  <c r="V45" i="45"/>
  <c r="R58" i="45"/>
  <c r="V64" i="45"/>
  <c r="V74" i="45"/>
  <c r="R84" i="45"/>
  <c r="R88" i="45"/>
  <c r="D63" i="48"/>
  <c r="L64" i="48"/>
  <c r="N64" i="48" s="1"/>
  <c r="F98" i="51"/>
  <c r="F93" i="51"/>
  <c r="F92" i="51"/>
  <c r="F96" i="51"/>
  <c r="F67" i="51"/>
  <c r="F66" i="51"/>
  <c r="F95" i="51"/>
  <c r="F86" i="51"/>
  <c r="F85" i="51"/>
  <c r="F76" i="51"/>
  <c r="F75" i="51"/>
  <c r="F68" i="51"/>
  <c r="F87" i="51"/>
  <c r="F63" i="51"/>
  <c r="F59" i="51"/>
  <c r="F78" i="51"/>
  <c r="F77" i="51"/>
  <c r="F50" i="51"/>
  <c r="F46" i="51"/>
  <c r="F42" i="51"/>
  <c r="F89" i="51"/>
  <c r="F88" i="51"/>
  <c r="F69" i="51"/>
  <c r="F97" i="51"/>
  <c r="F55" i="51"/>
  <c r="F72" i="51"/>
  <c r="F56" i="51"/>
  <c r="F39" i="51"/>
  <c r="F90" i="51"/>
  <c r="F65" i="51"/>
  <c r="F45" i="51"/>
  <c r="F102" i="51"/>
  <c r="F83" i="51"/>
  <c r="F61" i="51"/>
  <c r="F51" i="51"/>
  <c r="F48" i="51"/>
  <c r="F57" i="51"/>
  <c r="F84" i="51"/>
  <c r="F81" i="51"/>
  <c r="F73" i="51"/>
  <c r="F43" i="51"/>
  <c r="F40" i="51"/>
  <c r="F70" i="51"/>
  <c r="F49" i="51"/>
  <c r="F91" i="51"/>
  <c r="F79" i="51"/>
  <c r="F64" i="51"/>
  <c r="F74" i="51"/>
  <c r="F62" i="51"/>
  <c r="F60" i="51"/>
  <c r="D53" i="51"/>
  <c r="F41" i="51"/>
  <c r="F82" i="51"/>
  <c r="F58" i="51"/>
  <c r="F47" i="51"/>
  <c r="F44" i="51"/>
  <c r="H12" i="51"/>
  <c r="L12" i="51" s="1"/>
  <c r="N19" i="51"/>
  <c r="P24" i="45"/>
  <c r="R28" i="45"/>
  <c r="R32" i="45"/>
  <c r="R36" i="45"/>
  <c r="R37" i="45"/>
  <c r="V41" i="45"/>
  <c r="V48" i="45"/>
  <c r="V49" i="45"/>
  <c r="R55" i="45"/>
  <c r="V58" i="45"/>
  <c r="X82" i="45"/>
  <c r="Z82" i="45" s="1"/>
  <c r="N29" i="48"/>
  <c r="Z32" i="51"/>
  <c r="R24" i="45"/>
  <c r="V28" i="45"/>
  <c r="V32" i="45"/>
  <c r="V36" i="45"/>
  <c r="N47" i="45"/>
  <c r="Z86" i="45"/>
  <c r="L90" i="45"/>
  <c r="F57" i="48"/>
  <c r="F49" i="48"/>
  <c r="F48" i="48"/>
  <c r="F37" i="48"/>
  <c r="F36" i="48"/>
  <c r="F32" i="48"/>
  <c r="L12" i="48"/>
  <c r="F51" i="48"/>
  <c r="F50" i="48"/>
  <c r="F39" i="48"/>
  <c r="F38" i="48"/>
  <c r="F27" i="48"/>
  <c r="F23" i="48"/>
  <c r="F58" i="48"/>
  <c r="F53" i="48"/>
  <c r="F52" i="48"/>
  <c r="F41" i="48"/>
  <c r="F40" i="48"/>
  <c r="F33" i="48"/>
  <c r="F28" i="48"/>
  <c r="F24" i="48"/>
  <c r="F59" i="48"/>
  <c r="F43" i="48"/>
  <c r="F42" i="48"/>
  <c r="F54" i="48"/>
  <c r="F34" i="48"/>
  <c r="F30" i="48"/>
  <c r="F29" i="48"/>
  <c r="F61" i="48"/>
  <c r="F60" i="48"/>
  <c r="F65" i="48"/>
  <c r="F56" i="48"/>
  <c r="F55" i="48"/>
  <c r="F19" i="48"/>
  <c r="F15" i="48"/>
  <c r="F69" i="48"/>
  <c r="F64" i="48"/>
  <c r="F47" i="48"/>
  <c r="F46" i="48"/>
  <c r="F35" i="48"/>
  <c r="F31" i="48"/>
  <c r="D17" i="48"/>
  <c r="F17" i="48" s="1"/>
  <c r="H17" i="48"/>
  <c r="F22" i="48"/>
  <c r="F44" i="48"/>
  <c r="N50" i="48"/>
  <c r="R58" i="48"/>
  <c r="L22" i="51"/>
  <c r="N24" i="51"/>
  <c r="F38" i="51"/>
  <c r="X14" i="54"/>
  <c r="P16" i="54"/>
  <c r="R86" i="45"/>
  <c r="R85" i="45"/>
  <c r="R69" i="45"/>
  <c r="R68" i="45"/>
  <c r="R61" i="45"/>
  <c r="R60" i="45"/>
  <c r="R49" i="45"/>
  <c r="R48" i="45"/>
  <c r="R87" i="45"/>
  <c r="R79" i="45"/>
  <c r="R75" i="45"/>
  <c r="R90" i="45"/>
  <c r="R71" i="45"/>
  <c r="R82" i="45"/>
  <c r="R81" i="45"/>
  <c r="R77" i="45"/>
  <c r="R94" i="45"/>
  <c r="R73" i="45"/>
  <c r="R72" i="45"/>
  <c r="R57" i="45"/>
  <c r="R56" i="45"/>
  <c r="R45" i="45"/>
  <c r="R44" i="45"/>
  <c r="R40" i="45"/>
  <c r="R22" i="45"/>
  <c r="R27" i="45"/>
  <c r="V37" i="45"/>
  <c r="R43" i="45"/>
  <c r="V55" i="45"/>
  <c r="V81" i="45"/>
  <c r="J50" i="48"/>
  <c r="J38" i="48"/>
  <c r="J32" i="48"/>
  <c r="N12" i="48"/>
  <c r="J51" i="48"/>
  <c r="J39" i="48"/>
  <c r="J27" i="48"/>
  <c r="J23" i="48"/>
  <c r="J58" i="48"/>
  <c r="J52" i="48"/>
  <c r="J40" i="48"/>
  <c r="J53" i="48"/>
  <c r="J41" i="48"/>
  <c r="J33" i="48"/>
  <c r="J42" i="48"/>
  <c r="J28" i="48"/>
  <c r="J59" i="48"/>
  <c r="J43" i="48"/>
  <c r="J29" i="48"/>
  <c r="J60" i="48"/>
  <c r="J54" i="48"/>
  <c r="J44" i="48"/>
  <c r="J34" i="48"/>
  <c r="J30" i="48"/>
  <c r="J20" i="48"/>
  <c r="J65" i="48"/>
  <c r="J61" i="48"/>
  <c r="J55" i="48"/>
  <c r="J45" i="48"/>
  <c r="J25" i="48"/>
  <c r="J21" i="48"/>
  <c r="J19" i="48"/>
  <c r="J17" i="48"/>
  <c r="J15" i="48"/>
  <c r="J64" i="48"/>
  <c r="J56" i="48"/>
  <c r="J69" i="48"/>
  <c r="J63" i="48"/>
  <c r="J47" i="48"/>
  <c r="J35" i="48"/>
  <c r="J31" i="48"/>
  <c r="J48" i="48"/>
  <c r="J36" i="48"/>
  <c r="J26" i="48"/>
  <c r="J22" i="48"/>
  <c r="R38" i="48"/>
  <c r="N22" i="51"/>
  <c r="Z59" i="57"/>
  <c r="X59" i="57"/>
  <c r="V68" i="45"/>
  <c r="V60" i="45"/>
  <c r="V87" i="45"/>
  <c r="V79" i="45"/>
  <c r="V75" i="45"/>
  <c r="V63" i="45"/>
  <c r="V51" i="45"/>
  <c r="V70" i="45"/>
  <c r="V62" i="45"/>
  <c r="V50" i="45"/>
  <c r="V42" i="45"/>
  <c r="V90" i="45"/>
  <c r="V88" i="45"/>
  <c r="V80" i="45"/>
  <c r="V76" i="45"/>
  <c r="V82" i="45"/>
  <c r="V66" i="45"/>
  <c r="V54" i="45"/>
  <c r="V94" i="45"/>
  <c r="V84" i="45"/>
  <c r="V72" i="45"/>
  <c r="V83" i="45"/>
  <c r="V67" i="45"/>
  <c r="V59" i="45"/>
  <c r="V47" i="45"/>
  <c r="V22" i="45"/>
  <c r="V24" i="45"/>
  <c r="V26" i="45"/>
  <c r="R31" i="45"/>
  <c r="R35" i="45"/>
  <c r="V40" i="45"/>
  <c r="V43" i="45"/>
  <c r="R51" i="45"/>
  <c r="R54" i="45"/>
  <c r="V61" i="45"/>
  <c r="R66" i="45"/>
  <c r="V71" i="45"/>
  <c r="V77" i="45"/>
  <c r="V35" i="45"/>
  <c r="R47" i="45"/>
  <c r="V69" i="45"/>
  <c r="R83" i="45"/>
  <c r="J37" i="48"/>
  <c r="Z48" i="48"/>
  <c r="R50" i="48"/>
  <c r="T64" i="57"/>
  <c r="Z16" i="57"/>
  <c r="Z12" i="45"/>
  <c r="R21" i="45"/>
  <c r="V57" i="45"/>
  <c r="R63" i="45"/>
  <c r="N65" i="45"/>
  <c r="V73" i="45"/>
  <c r="V60" i="48"/>
  <c r="V44" i="48"/>
  <c r="V28" i="48"/>
  <c r="V24" i="48"/>
  <c r="V20" i="48"/>
  <c r="V65" i="48"/>
  <c r="V59" i="48"/>
  <c r="V55" i="48"/>
  <c r="V43" i="48"/>
  <c r="V19" i="48"/>
  <c r="V15" i="48"/>
  <c r="V64" i="48"/>
  <c r="V54" i="48"/>
  <c r="V46" i="48"/>
  <c r="V34" i="48"/>
  <c r="V30" i="48"/>
  <c r="T17" i="48"/>
  <c r="X17" i="48" s="1"/>
  <c r="V63" i="48"/>
  <c r="V61" i="48"/>
  <c r="V45" i="48"/>
  <c r="V25" i="48"/>
  <c r="V21" i="48"/>
  <c r="V56" i="48"/>
  <c r="V48" i="48"/>
  <c r="V36" i="48"/>
  <c r="V69" i="48"/>
  <c r="V47" i="48"/>
  <c r="V35" i="48"/>
  <c r="V31" i="48"/>
  <c r="V50" i="48"/>
  <c r="V38" i="48"/>
  <c r="V26" i="48"/>
  <c r="V22" i="48"/>
  <c r="V57" i="48"/>
  <c r="V49" i="48"/>
  <c r="V37" i="48"/>
  <c r="V51" i="48"/>
  <c r="V39" i="48"/>
  <c r="V27" i="48"/>
  <c r="V23" i="48"/>
  <c r="V58" i="48"/>
  <c r="V42" i="48"/>
  <c r="L19" i="48"/>
  <c r="N19" i="48" s="1"/>
  <c r="Z42" i="48"/>
  <c r="J46" i="48"/>
  <c r="Z35" i="51"/>
  <c r="N25" i="51"/>
  <c r="R14" i="54"/>
  <c r="N57" i="56"/>
  <c r="N65" i="56"/>
  <c r="Z75" i="51"/>
  <c r="Z18" i="56"/>
  <c r="X29" i="56"/>
  <c r="Z55" i="56"/>
  <c r="L95" i="51"/>
  <c r="Z16" i="55"/>
  <c r="T31" i="55"/>
  <c r="L21" i="51"/>
  <c r="N21" i="51" s="1"/>
  <c r="L24" i="51"/>
  <c r="L33" i="51"/>
  <c r="L36" i="51"/>
  <c r="H95" i="51"/>
  <c r="J71" i="56"/>
  <c r="J69" i="56"/>
  <c r="J53" i="56"/>
  <c r="J47" i="56"/>
  <c r="J35" i="56"/>
  <c r="J19" i="56"/>
  <c r="J60" i="56"/>
  <c r="J48" i="56"/>
  <c r="J36" i="56"/>
  <c r="J28" i="56"/>
  <c r="J24" i="56"/>
  <c r="J20" i="56"/>
  <c r="J18" i="56"/>
  <c r="J16" i="56"/>
  <c r="J14" i="56"/>
  <c r="J73" i="56"/>
  <c r="J61" i="56"/>
  <c r="J37" i="56"/>
  <c r="J29" i="56"/>
  <c r="H16" i="56"/>
  <c r="J62" i="56"/>
  <c r="J54" i="56"/>
  <c r="J38" i="56"/>
  <c r="J30" i="56"/>
  <c r="J78" i="56"/>
  <c r="J75" i="56"/>
  <c r="J63" i="56"/>
  <c r="J55" i="56"/>
  <c r="J49" i="56"/>
  <c r="J39" i="56"/>
  <c r="J25" i="56"/>
  <c r="J21" i="56"/>
  <c r="J64" i="56"/>
  <c r="J56" i="56"/>
  <c r="J40" i="56"/>
  <c r="J65" i="56"/>
  <c r="J57" i="56"/>
  <c r="J41" i="56"/>
  <c r="J31" i="56"/>
  <c r="J66" i="56"/>
  <c r="J58" i="56"/>
  <c r="J50" i="56"/>
  <c r="J42" i="56"/>
  <c r="J26" i="56"/>
  <c r="J22" i="56"/>
  <c r="J51" i="56"/>
  <c r="J43" i="56"/>
  <c r="Z29" i="56"/>
  <c r="J33" i="56"/>
  <c r="J45" i="56"/>
  <c r="L51" i="56"/>
  <c r="N51" i="56" s="1"/>
  <c r="Z63" i="56"/>
  <c r="X63" i="56"/>
  <c r="Z19" i="58"/>
  <c r="L55" i="48"/>
  <c r="N55" i="48" s="1"/>
  <c r="P63" i="48"/>
  <c r="X63" i="48" s="1"/>
  <c r="L65" i="48"/>
  <c r="N65" i="48" s="1"/>
  <c r="P12" i="51"/>
  <c r="L81" i="51"/>
  <c r="R24" i="54"/>
  <c r="R31" i="54"/>
  <c r="R29" i="54"/>
  <c r="R28" i="54"/>
  <c r="R26" i="54"/>
  <c r="X12" i="54"/>
  <c r="X20" i="54"/>
  <c r="L33" i="56"/>
  <c r="N33" i="56" s="1"/>
  <c r="L45" i="56"/>
  <c r="N45" i="56" s="1"/>
  <c r="N37" i="57"/>
  <c r="L37" i="57"/>
  <c r="N35" i="58"/>
  <c r="L35" i="58"/>
  <c r="R20" i="54"/>
  <c r="D16" i="55"/>
  <c r="P71" i="56"/>
  <c r="L47" i="58"/>
  <c r="N47" i="58" s="1"/>
  <c r="Z18" i="59"/>
  <c r="N81" i="51"/>
  <c r="N13" i="48"/>
  <c r="L17" i="51"/>
  <c r="L20" i="51"/>
  <c r="N20" i="51" s="1"/>
  <c r="L29" i="51"/>
  <c r="N29" i="51" s="1"/>
  <c r="L32" i="51"/>
  <c r="N32" i="51" s="1"/>
  <c r="Z85" i="51"/>
  <c r="L90" i="51"/>
  <c r="Z95" i="51"/>
  <c r="N16" i="55"/>
  <c r="H31" i="55"/>
  <c r="J23" i="56"/>
  <c r="Z35" i="56"/>
  <c r="X37" i="56"/>
  <c r="Z47" i="56"/>
  <c r="Z35" i="57"/>
  <c r="L62" i="57"/>
  <c r="N62" i="57"/>
  <c r="Z41" i="58"/>
  <c r="L51" i="61"/>
  <c r="D55" i="61"/>
  <c r="N17" i="51"/>
  <c r="R22" i="54"/>
  <c r="L18" i="55"/>
  <c r="N21" i="55"/>
  <c r="L13" i="51"/>
  <c r="N13" i="51" s="1"/>
  <c r="N98" i="51"/>
  <c r="X18" i="54"/>
  <c r="T22" i="54"/>
  <c r="Z37" i="56"/>
  <c r="J46" i="56"/>
  <c r="X14" i="59"/>
  <c r="N56" i="51"/>
  <c r="N92" i="51"/>
  <c r="N18" i="55"/>
  <c r="Z39" i="56"/>
  <c r="Z14" i="59"/>
  <c r="T16" i="59"/>
  <c r="D16" i="57"/>
  <c r="Z41" i="57"/>
  <c r="Z53" i="57"/>
  <c r="Z45" i="58"/>
  <c r="F58" i="59"/>
  <c r="F45" i="59"/>
  <c r="F44" i="59"/>
  <c r="F25" i="59"/>
  <c r="F21" i="59"/>
  <c r="F52" i="59"/>
  <c r="F51" i="59"/>
  <c r="F36" i="59"/>
  <c r="F35" i="59"/>
  <c r="F62" i="59"/>
  <c r="F60" i="59"/>
  <c r="F31" i="59"/>
  <c r="F64" i="59"/>
  <c r="F46" i="59"/>
  <c r="F38" i="59"/>
  <c r="F37" i="59"/>
  <c r="F26" i="59"/>
  <c r="F22" i="59"/>
  <c r="F53" i="59"/>
  <c r="F32" i="59"/>
  <c r="L12" i="59"/>
  <c r="F69" i="59"/>
  <c r="F66" i="59"/>
  <c r="F55" i="59"/>
  <c r="F54" i="59"/>
  <c r="F47" i="59"/>
  <c r="F39" i="59"/>
  <c r="F27" i="59"/>
  <c r="F23" i="59"/>
  <c r="F57" i="59"/>
  <c r="F56" i="59"/>
  <c r="F49" i="59"/>
  <c r="F48" i="59"/>
  <c r="F41" i="59"/>
  <c r="F40" i="59"/>
  <c r="F33" i="59"/>
  <c r="F28" i="59"/>
  <c r="F24" i="59"/>
  <c r="F20" i="59"/>
  <c r="F19" i="59"/>
  <c r="D16" i="59"/>
  <c r="N44" i="59"/>
  <c r="L48" i="59"/>
  <c r="N48" i="59" s="1"/>
  <c r="N18" i="60"/>
  <c r="V14" i="54"/>
  <c r="V16" i="54"/>
  <c r="V18" i="54"/>
  <c r="V20" i="54"/>
  <c r="F26" i="54"/>
  <c r="F28" i="54"/>
  <c r="F29" i="54"/>
  <c r="F31" i="54"/>
  <c r="J14" i="55"/>
  <c r="J16" i="55"/>
  <c r="J18" i="55"/>
  <c r="J20" i="55"/>
  <c r="V24" i="55"/>
  <c r="T16" i="56"/>
  <c r="X16" i="56" s="1"/>
  <c r="R19" i="56"/>
  <c r="F22" i="56"/>
  <c r="F26" i="56"/>
  <c r="V29" i="56"/>
  <c r="R34" i="56"/>
  <c r="R35" i="56"/>
  <c r="V37" i="56"/>
  <c r="F41" i="56"/>
  <c r="F42" i="56"/>
  <c r="R46" i="56"/>
  <c r="R47" i="56"/>
  <c r="F50" i="56"/>
  <c r="V53" i="56"/>
  <c r="F57" i="56"/>
  <c r="F58" i="56"/>
  <c r="V61" i="56"/>
  <c r="F65" i="56"/>
  <c r="F66" i="56"/>
  <c r="R69" i="56"/>
  <c r="R71" i="56"/>
  <c r="J22" i="57"/>
  <c r="R25" i="57"/>
  <c r="R28" i="57"/>
  <c r="R31" i="57"/>
  <c r="V34" i="57"/>
  <c r="V41" i="57"/>
  <c r="V53" i="57"/>
  <c r="R58" i="57"/>
  <c r="V64" i="57"/>
  <c r="J14" i="58"/>
  <c r="R16" i="58"/>
  <c r="J20" i="58"/>
  <c r="J24" i="58"/>
  <c r="V40" i="58"/>
  <c r="V45" i="58"/>
  <c r="V60" i="58"/>
  <c r="R62" i="58"/>
  <c r="F16" i="59"/>
  <c r="F29" i="59"/>
  <c r="R35" i="59"/>
  <c r="R46" i="59"/>
  <c r="F50" i="59"/>
  <c r="Z28" i="60"/>
  <c r="X14" i="64"/>
  <c r="P16" i="64"/>
  <c r="J19" i="55"/>
  <c r="R22" i="55"/>
  <c r="R23" i="55"/>
  <c r="V25" i="55"/>
  <c r="J29" i="55"/>
  <c r="J31" i="55"/>
  <c r="R35" i="55"/>
  <c r="R38" i="55"/>
  <c r="V14" i="56"/>
  <c r="V16" i="56"/>
  <c r="V18" i="56"/>
  <c r="F31" i="56"/>
  <c r="V34" i="56"/>
  <c r="V46" i="56"/>
  <c r="R67" i="56"/>
  <c r="H16" i="57"/>
  <c r="N19" i="57"/>
  <c r="V20" i="57"/>
  <c r="V25" i="57"/>
  <c r="J30" i="57"/>
  <c r="J36" i="57"/>
  <c r="J46" i="57"/>
  <c r="V58" i="57"/>
  <c r="T16" i="58"/>
  <c r="N49" i="58"/>
  <c r="N53" i="58"/>
  <c r="R58" i="58"/>
  <c r="V64" i="58"/>
  <c r="L56" i="59"/>
  <c r="N56" i="59" s="1"/>
  <c r="Z60" i="59"/>
  <c r="X60" i="59"/>
  <c r="N14" i="60"/>
  <c r="L14" i="60"/>
  <c r="L81" i="64"/>
  <c r="N81" i="64" s="1"/>
  <c r="P12" i="69"/>
  <c r="X13" i="69"/>
  <c r="J26" i="54"/>
  <c r="J28" i="54"/>
  <c r="J29" i="54"/>
  <c r="J31" i="54"/>
  <c r="V22" i="55"/>
  <c r="F27" i="55"/>
  <c r="R33" i="55"/>
  <c r="V23" i="56"/>
  <c r="V27" i="56"/>
  <c r="V35" i="56"/>
  <c r="F39" i="56"/>
  <c r="F40" i="56"/>
  <c r="V47" i="56"/>
  <c r="F55" i="56"/>
  <c r="F56" i="56"/>
  <c r="V59" i="56"/>
  <c r="F63" i="56"/>
  <c r="F64" i="56"/>
  <c r="V67" i="56"/>
  <c r="V69" i="56"/>
  <c r="V71" i="56"/>
  <c r="F75" i="56"/>
  <c r="F78" i="56"/>
  <c r="R27" i="57"/>
  <c r="V28" i="57"/>
  <c r="Z37" i="57"/>
  <c r="V40" i="57"/>
  <c r="J48" i="57"/>
  <c r="Z49" i="57"/>
  <c r="V52" i="57"/>
  <c r="R55" i="57"/>
  <c r="J60" i="57"/>
  <c r="R62" i="57"/>
  <c r="R68" i="57"/>
  <c r="V16" i="58"/>
  <c r="N37" i="58"/>
  <c r="R42" i="58"/>
  <c r="R69" i="58"/>
  <c r="R64" i="59"/>
  <c r="R69" i="59"/>
  <c r="R66" i="59"/>
  <c r="R54" i="59"/>
  <c r="R53" i="59"/>
  <c r="R32" i="59"/>
  <c r="X12" i="59"/>
  <c r="R56" i="59"/>
  <c r="R55" i="59"/>
  <c r="R48" i="59"/>
  <c r="R47" i="59"/>
  <c r="R40" i="59"/>
  <c r="R39" i="59"/>
  <c r="R27" i="59"/>
  <c r="R23" i="59"/>
  <c r="R19" i="59"/>
  <c r="R57" i="59"/>
  <c r="R49" i="59"/>
  <c r="R42" i="59"/>
  <c r="R41" i="59"/>
  <c r="R33" i="59"/>
  <c r="R18" i="59"/>
  <c r="R16" i="59"/>
  <c r="R14" i="59"/>
  <c r="R29" i="59"/>
  <c r="R28" i="59"/>
  <c r="R24" i="59"/>
  <c r="R20" i="59"/>
  <c r="P16" i="59"/>
  <c r="R44" i="59"/>
  <c r="R43" i="59"/>
  <c r="R62" i="59"/>
  <c r="R60" i="59"/>
  <c r="R45" i="59"/>
  <c r="R25" i="59"/>
  <c r="R21" i="59"/>
  <c r="R52" i="59"/>
  <c r="R37" i="59"/>
  <c r="R36" i="59"/>
  <c r="R34" i="59"/>
  <c r="N43" i="69"/>
  <c r="D16" i="54"/>
  <c r="F24" i="54"/>
  <c r="P16" i="55"/>
  <c r="R20" i="55"/>
  <c r="R21" i="55"/>
  <c r="V23" i="55"/>
  <c r="J27" i="55"/>
  <c r="V33" i="55"/>
  <c r="V35" i="55"/>
  <c r="V38" i="55"/>
  <c r="Z12" i="56"/>
  <c r="F21" i="56"/>
  <c r="F25" i="56"/>
  <c r="V32" i="56"/>
  <c r="V44" i="56"/>
  <c r="F49" i="56"/>
  <c r="V52" i="56"/>
  <c r="F66" i="57"/>
  <c r="F36" i="57"/>
  <c r="F35" i="57"/>
  <c r="F24" i="57"/>
  <c r="F20" i="57"/>
  <c r="F19" i="57"/>
  <c r="F56" i="57"/>
  <c r="F48" i="57"/>
  <c r="F40" i="57"/>
  <c r="F39" i="57"/>
  <c r="F58" i="57"/>
  <c r="F57" i="57"/>
  <c r="F50" i="57"/>
  <c r="F49" i="57"/>
  <c r="F42" i="57"/>
  <c r="F41" i="57"/>
  <c r="F26" i="57"/>
  <c r="F22" i="57"/>
  <c r="F60" i="57"/>
  <c r="F59" i="57"/>
  <c r="F52" i="57"/>
  <c r="F51" i="57"/>
  <c r="F44" i="57"/>
  <c r="F43" i="57"/>
  <c r="F32" i="57"/>
  <c r="R22" i="57"/>
  <c r="N39" i="57"/>
  <c r="J42" i="57"/>
  <c r="R43" i="57"/>
  <c r="V49" i="57"/>
  <c r="F54" i="57"/>
  <c r="V68" i="57"/>
  <c r="F40" i="58"/>
  <c r="F39" i="58"/>
  <c r="F32" i="58"/>
  <c r="L12" i="58"/>
  <c r="F67" i="58"/>
  <c r="F66" i="58"/>
  <c r="F59" i="58"/>
  <c r="F58" i="58"/>
  <c r="F51" i="58"/>
  <c r="F42" i="58"/>
  <c r="F41" i="58"/>
  <c r="F71" i="58"/>
  <c r="F69" i="58"/>
  <c r="F60" i="58"/>
  <c r="F52" i="58"/>
  <c r="F44" i="58"/>
  <c r="F43" i="58"/>
  <c r="F28" i="58"/>
  <c r="F24" i="58"/>
  <c r="F20" i="58"/>
  <c r="F19" i="58"/>
  <c r="F73" i="58"/>
  <c r="F54" i="58"/>
  <c r="F53" i="58"/>
  <c r="F46" i="58"/>
  <c r="F45" i="58"/>
  <c r="F34" i="58"/>
  <c r="D16" i="58"/>
  <c r="F78" i="58"/>
  <c r="F75" i="58"/>
  <c r="F48" i="58"/>
  <c r="F47" i="58"/>
  <c r="F36" i="58"/>
  <c r="F35" i="58"/>
  <c r="F63" i="58"/>
  <c r="F62" i="58"/>
  <c r="F55" i="58"/>
  <c r="F31" i="58"/>
  <c r="F30" i="58"/>
  <c r="V20" i="58"/>
  <c r="V22" i="58"/>
  <c r="V24" i="58"/>
  <c r="L39" i="58"/>
  <c r="X49" i="58"/>
  <c r="X53" i="58"/>
  <c r="F61" i="58"/>
  <c r="N29" i="59"/>
  <c r="F43" i="59"/>
  <c r="R50" i="59"/>
  <c r="Z54" i="59"/>
  <c r="X16" i="60"/>
  <c r="P49" i="60"/>
  <c r="F14" i="54"/>
  <c r="F16" i="54"/>
  <c r="F18" i="54"/>
  <c r="F20" i="54"/>
  <c r="J24" i="54"/>
  <c r="R14" i="55"/>
  <c r="R16" i="55"/>
  <c r="R18" i="55"/>
  <c r="D16" i="56"/>
  <c r="F29" i="56"/>
  <c r="F30" i="56"/>
  <c r="V33" i="56"/>
  <c r="F37" i="56"/>
  <c r="F38" i="56"/>
  <c r="R42" i="56"/>
  <c r="R43" i="56"/>
  <c r="V45" i="56"/>
  <c r="R50" i="56"/>
  <c r="R51" i="56"/>
  <c r="F54" i="56"/>
  <c r="R58" i="56"/>
  <c r="F61" i="56"/>
  <c r="F62" i="56"/>
  <c r="R66" i="56"/>
  <c r="J55" i="57"/>
  <c r="J47" i="57"/>
  <c r="J37" i="57"/>
  <c r="J57" i="57"/>
  <c r="J49" i="57"/>
  <c r="J41" i="57"/>
  <c r="J31" i="57"/>
  <c r="J59" i="57"/>
  <c r="J51" i="57"/>
  <c r="J43" i="57"/>
  <c r="J53" i="57"/>
  <c r="J45" i="57"/>
  <c r="J33" i="57"/>
  <c r="J27" i="57"/>
  <c r="J23" i="57"/>
  <c r="V22" i="57"/>
  <c r="J26" i="57"/>
  <c r="R30" i="57"/>
  <c r="J32" i="57"/>
  <c r="Z33" i="57"/>
  <c r="V36" i="57"/>
  <c r="J39" i="57"/>
  <c r="V46" i="57"/>
  <c r="J54" i="57"/>
  <c r="V62" i="57"/>
  <c r="J67" i="58"/>
  <c r="J59" i="58"/>
  <c r="J51" i="58"/>
  <c r="J41" i="58"/>
  <c r="J27" i="58"/>
  <c r="J23" i="58"/>
  <c r="J42" i="58"/>
  <c r="J71" i="58"/>
  <c r="J69" i="58"/>
  <c r="J43" i="58"/>
  <c r="J33" i="58"/>
  <c r="J73" i="58"/>
  <c r="J53" i="58"/>
  <c r="J45" i="58"/>
  <c r="H16" i="58"/>
  <c r="J54" i="58"/>
  <c r="J78" i="58"/>
  <c r="J75" i="58"/>
  <c r="J61" i="58"/>
  <c r="J47" i="58"/>
  <c r="J35" i="58"/>
  <c r="J29" i="58"/>
  <c r="J25" i="58"/>
  <c r="J21" i="58"/>
  <c r="J63" i="58"/>
  <c r="J55" i="58"/>
  <c r="J49" i="58"/>
  <c r="J37" i="58"/>
  <c r="J31" i="58"/>
  <c r="J64" i="58"/>
  <c r="J56" i="58"/>
  <c r="J50" i="58"/>
  <c r="J38" i="58"/>
  <c r="J26" i="58"/>
  <c r="J22" i="58"/>
  <c r="R14" i="58"/>
  <c r="N19" i="58"/>
  <c r="V26" i="58"/>
  <c r="V28" i="58"/>
  <c r="V32" i="58"/>
  <c r="N39" i="58"/>
  <c r="V44" i="58"/>
  <c r="J48" i="58"/>
  <c r="Z49" i="58"/>
  <c r="Z53" i="58"/>
  <c r="R66" i="58"/>
  <c r="T53" i="60"/>
  <c r="P58" i="68"/>
  <c r="H16" i="54"/>
  <c r="R19" i="55"/>
  <c r="R29" i="55"/>
  <c r="R31" i="55"/>
  <c r="F14" i="56"/>
  <c r="F16" i="56"/>
  <c r="F18" i="56"/>
  <c r="V26" i="56"/>
  <c r="V42" i="56"/>
  <c r="V50" i="56"/>
  <c r="V58" i="56"/>
  <c r="V66" i="56"/>
  <c r="F73" i="56"/>
  <c r="L12" i="57"/>
  <c r="P16" i="57"/>
  <c r="V24" i="57"/>
  <c r="V30" i="57"/>
  <c r="V33" i="57"/>
  <c r="N35" i="57"/>
  <c r="N45" i="57"/>
  <c r="V48" i="57"/>
  <c r="J56" i="57"/>
  <c r="Z57" i="57"/>
  <c r="V60" i="57"/>
  <c r="J19" i="58"/>
  <c r="R30" i="58"/>
  <c r="V34" i="58"/>
  <c r="J36" i="58"/>
  <c r="Z37" i="58"/>
  <c r="J39" i="58"/>
  <c r="V53" i="58"/>
  <c r="R57" i="58"/>
  <c r="F14" i="59"/>
  <c r="F18" i="59"/>
  <c r="R58" i="59"/>
  <c r="J14" i="54"/>
  <c r="J16" i="54"/>
  <c r="J18" i="54"/>
  <c r="J20" i="54"/>
  <c r="V14" i="55"/>
  <c r="V16" i="55"/>
  <c r="F19" i="56"/>
  <c r="F20" i="56"/>
  <c r="F24" i="56"/>
  <c r="F28" i="56"/>
  <c r="V31" i="56"/>
  <c r="F35" i="56"/>
  <c r="F36" i="56"/>
  <c r="V43" i="56"/>
  <c r="F47" i="56"/>
  <c r="F48" i="56"/>
  <c r="V51" i="56"/>
  <c r="R56" i="56"/>
  <c r="R57" i="56"/>
  <c r="F60" i="56"/>
  <c r="R64" i="56"/>
  <c r="R65" i="56"/>
  <c r="F69" i="56"/>
  <c r="F71" i="56"/>
  <c r="R14" i="57"/>
  <c r="R16" i="57"/>
  <c r="R18" i="57"/>
  <c r="V19" i="57"/>
  <c r="J35" i="57"/>
  <c r="J38" i="57"/>
  <c r="R42" i="57"/>
  <c r="J50" i="57"/>
  <c r="V57" i="57"/>
  <c r="N59" i="57"/>
  <c r="R60" i="58"/>
  <c r="R53" i="58"/>
  <c r="R52" i="58"/>
  <c r="R45" i="58"/>
  <c r="R44" i="58"/>
  <c r="R28" i="58"/>
  <c r="R24" i="58"/>
  <c r="R20" i="58"/>
  <c r="P16" i="58"/>
  <c r="R73" i="58"/>
  <c r="R78" i="58"/>
  <c r="R75" i="58"/>
  <c r="R54" i="58"/>
  <c r="R47" i="58"/>
  <c r="R46" i="58"/>
  <c r="R35" i="58"/>
  <c r="R34" i="58"/>
  <c r="R49" i="58"/>
  <c r="R48" i="58"/>
  <c r="R37" i="58"/>
  <c r="R36" i="58"/>
  <c r="R64" i="58"/>
  <c r="R63" i="58"/>
  <c r="R56" i="58"/>
  <c r="R55" i="58"/>
  <c r="R50" i="58"/>
  <c r="R39" i="58"/>
  <c r="R38" i="58"/>
  <c r="R26" i="58"/>
  <c r="R22" i="58"/>
  <c r="R41" i="58"/>
  <c r="R40" i="58"/>
  <c r="R32" i="58"/>
  <c r="X12" i="58"/>
  <c r="R67" i="58"/>
  <c r="R59" i="58"/>
  <c r="R51" i="58"/>
  <c r="R27" i="58"/>
  <c r="R23" i="58"/>
  <c r="L43" i="58"/>
  <c r="N18" i="59"/>
  <c r="N40" i="59"/>
  <c r="L40" i="59"/>
  <c r="H55" i="61"/>
  <c r="N51" i="61"/>
  <c r="R57" i="57"/>
  <c r="R56" i="57"/>
  <c r="R49" i="57"/>
  <c r="R48" i="57"/>
  <c r="R41" i="57"/>
  <c r="R40" i="57"/>
  <c r="R60" i="57"/>
  <c r="R53" i="57"/>
  <c r="R52" i="57"/>
  <c r="R45" i="57"/>
  <c r="R44" i="57"/>
  <c r="R33" i="57"/>
  <c r="R32" i="57"/>
  <c r="R54" i="57"/>
  <c r="R46" i="57"/>
  <c r="R35" i="57"/>
  <c r="R34" i="57"/>
  <c r="R19" i="57"/>
  <c r="R66" i="57"/>
  <c r="R37" i="57"/>
  <c r="R36" i="57"/>
  <c r="R24" i="57"/>
  <c r="R20" i="57"/>
  <c r="R26" i="57"/>
  <c r="R39" i="57"/>
  <c r="V78" i="58"/>
  <c r="V75" i="58"/>
  <c r="V73" i="58"/>
  <c r="V47" i="58"/>
  <c r="V35" i="58"/>
  <c r="V62" i="58"/>
  <c r="V54" i="58"/>
  <c r="V46" i="58"/>
  <c r="V61" i="58"/>
  <c r="V49" i="58"/>
  <c r="V37" i="58"/>
  <c r="V29" i="58"/>
  <c r="V25" i="58"/>
  <c r="V63" i="58"/>
  <c r="V55" i="58"/>
  <c r="V39" i="58"/>
  <c r="V31" i="58"/>
  <c r="V66" i="58"/>
  <c r="V58" i="58"/>
  <c r="V65" i="58"/>
  <c r="V57" i="58"/>
  <c r="V41" i="58"/>
  <c r="V71" i="58"/>
  <c r="V69" i="58"/>
  <c r="V67" i="58"/>
  <c r="V59" i="58"/>
  <c r="V51" i="58"/>
  <c r="V43" i="58"/>
  <c r="V27" i="58"/>
  <c r="V23" i="58"/>
  <c r="V19" i="58"/>
  <c r="V42" i="58"/>
  <c r="V18" i="58"/>
  <c r="V30" i="58"/>
  <c r="Z39" i="58"/>
  <c r="N43" i="58"/>
  <c r="V48" i="58"/>
  <c r="H49" i="60"/>
  <c r="N16" i="60"/>
  <c r="X16" i="61"/>
  <c r="P51" i="61"/>
  <c r="F33" i="56"/>
  <c r="F34" i="56"/>
  <c r="V41" i="56"/>
  <c r="F45" i="56"/>
  <c r="V49" i="56"/>
  <c r="V57" i="56"/>
  <c r="R62" i="56"/>
  <c r="R63" i="56"/>
  <c r="R75" i="56"/>
  <c r="V59" i="57"/>
  <c r="V51" i="57"/>
  <c r="V43" i="57"/>
  <c r="V31" i="57"/>
  <c r="V35" i="57"/>
  <c r="V27" i="57"/>
  <c r="V23" i="57"/>
  <c r="V37" i="57"/>
  <c r="V29" i="57"/>
  <c r="V55" i="57"/>
  <c r="V47" i="57"/>
  <c r="V39" i="57"/>
  <c r="V14" i="57"/>
  <c r="V16" i="57"/>
  <c r="V18" i="57"/>
  <c r="R21" i="57"/>
  <c r="V26" i="57"/>
  <c r="Z39" i="57"/>
  <c r="J44" i="57"/>
  <c r="Z45" i="57"/>
  <c r="N53" i="57"/>
  <c r="V56" i="57"/>
  <c r="Z12" i="58"/>
  <c r="V36" i="58"/>
  <c r="X39" i="58"/>
  <c r="N45" i="58"/>
  <c r="R65" i="58"/>
  <c r="R22" i="59"/>
  <c r="R26" i="59"/>
  <c r="F42" i="59"/>
  <c r="L35" i="61"/>
  <c r="N35" i="61" s="1"/>
  <c r="H16" i="59"/>
  <c r="V31" i="59"/>
  <c r="D16" i="60"/>
  <c r="R22" i="60"/>
  <c r="R26" i="60"/>
  <c r="R35" i="60"/>
  <c r="N39" i="60"/>
  <c r="L47" i="60"/>
  <c r="L14" i="61"/>
  <c r="J23" i="61"/>
  <c r="J28" i="61"/>
  <c r="J35" i="61"/>
  <c r="N19" i="64"/>
  <c r="Z51" i="64"/>
  <c r="Z57" i="64"/>
  <c r="N83" i="64"/>
  <c r="V54" i="68"/>
  <c r="T12" i="69"/>
  <c r="Z13" i="69"/>
  <c r="V36" i="59"/>
  <c r="V52" i="59"/>
  <c r="F14" i="60"/>
  <c r="F16" i="60"/>
  <c r="F18" i="60"/>
  <c r="F30" i="60"/>
  <c r="F31" i="60"/>
  <c r="F38" i="60"/>
  <c r="F47" i="60"/>
  <c r="R49" i="60"/>
  <c r="N44" i="61"/>
  <c r="D93" i="64"/>
  <c r="V14" i="68"/>
  <c r="Z23" i="69"/>
  <c r="N18" i="73"/>
  <c r="T55" i="61"/>
  <c r="X55" i="64"/>
  <c r="Z55" i="64" s="1"/>
  <c r="X35" i="69"/>
  <c r="Z35" i="69" s="1"/>
  <c r="V30" i="59"/>
  <c r="V34" i="59"/>
  <c r="J40" i="59"/>
  <c r="J48" i="59"/>
  <c r="V50" i="59"/>
  <c r="J56" i="59"/>
  <c r="V58" i="59"/>
  <c r="V60" i="59"/>
  <c r="V62" i="59"/>
  <c r="R21" i="60"/>
  <c r="R25" i="60"/>
  <c r="F28" i="60"/>
  <c r="R33" i="60"/>
  <c r="R34" i="60"/>
  <c r="N42" i="60"/>
  <c r="V43" i="60"/>
  <c r="N14" i="61"/>
  <c r="Z16" i="61"/>
  <c r="J32" i="61"/>
  <c r="N41" i="61"/>
  <c r="J43" i="61"/>
  <c r="J51" i="61"/>
  <c r="X46" i="64"/>
  <c r="N91" i="64"/>
  <c r="V43" i="68"/>
  <c r="Z29" i="69"/>
  <c r="Z37" i="69"/>
  <c r="V43" i="59"/>
  <c r="V51" i="59"/>
  <c r="F36" i="60"/>
  <c r="F56" i="60"/>
  <c r="F53" i="60"/>
  <c r="F45" i="60"/>
  <c r="F44" i="60"/>
  <c r="L18" i="60"/>
  <c r="L30" i="60"/>
  <c r="N30" i="60" s="1"/>
  <c r="R39" i="60"/>
  <c r="X47" i="60"/>
  <c r="F51" i="60"/>
  <c r="X14" i="61"/>
  <c r="L18" i="61"/>
  <c r="N18" i="61" s="1"/>
  <c r="Z46" i="64"/>
  <c r="V16" i="68"/>
  <c r="N51" i="68"/>
  <c r="N44" i="70"/>
  <c r="L44" i="70"/>
  <c r="X14" i="73"/>
  <c r="Z14" i="73" s="1"/>
  <c r="V20" i="59"/>
  <c r="V24" i="59"/>
  <c r="V28" i="59"/>
  <c r="J32" i="59"/>
  <c r="V44" i="59"/>
  <c r="J54" i="59"/>
  <c r="J66" i="59"/>
  <c r="J69" i="59"/>
  <c r="J49" i="60"/>
  <c r="J47" i="60"/>
  <c r="J37" i="60"/>
  <c r="F23" i="60"/>
  <c r="F27" i="60"/>
  <c r="J28" i="60"/>
  <c r="R31" i="60"/>
  <c r="R32" i="60"/>
  <c r="J36" i="60"/>
  <c r="R38" i="60"/>
  <c r="F41" i="60"/>
  <c r="R47" i="60"/>
  <c r="J51" i="60"/>
  <c r="R14" i="61"/>
  <c r="Z44" i="61"/>
  <c r="X38" i="64"/>
  <c r="X86" i="64"/>
  <c r="Z91" i="64"/>
  <c r="X19" i="68"/>
  <c r="V23" i="68"/>
  <c r="D12" i="69"/>
  <c r="N28" i="69"/>
  <c r="J44" i="70"/>
  <c r="Z37" i="71"/>
  <c r="J38" i="61"/>
  <c r="J26" i="61"/>
  <c r="J22" i="61"/>
  <c r="J40" i="61"/>
  <c r="J58" i="61"/>
  <c r="J55" i="61"/>
  <c r="J33" i="61"/>
  <c r="J29" i="61"/>
  <c r="J19" i="61"/>
  <c r="J24" i="61"/>
  <c r="J20" i="61"/>
  <c r="J18" i="61"/>
  <c r="J16" i="61"/>
  <c r="J14" i="61"/>
  <c r="J44" i="61"/>
  <c r="J34" i="61"/>
  <c r="J30" i="61"/>
  <c r="J47" i="61"/>
  <c r="J37" i="61"/>
  <c r="J31" i="61"/>
  <c r="J46" i="61"/>
  <c r="Z38" i="64"/>
  <c r="Z86" i="64"/>
  <c r="V65" i="68"/>
  <c r="V62" i="68"/>
  <c r="V60" i="68"/>
  <c r="V56" i="68"/>
  <c r="V50" i="68"/>
  <c r="V47" i="68"/>
  <c r="V44" i="68"/>
  <c r="V28" i="68"/>
  <c r="V24" i="68"/>
  <c r="V20" i="68"/>
  <c r="V51" i="68"/>
  <c r="V35" i="68"/>
  <c r="V34" i="68"/>
  <c r="V30" i="68"/>
  <c r="V58" i="68"/>
  <c r="V37" i="68"/>
  <c r="V25" i="68"/>
  <c r="V21" i="68"/>
  <c r="V48" i="68"/>
  <c r="V36" i="68"/>
  <c r="V53" i="68"/>
  <c r="V52" i="68"/>
  <c r="V45" i="68"/>
  <c r="V39" i="68"/>
  <c r="V31" i="68"/>
  <c r="V46" i="68"/>
  <c r="V38" i="68"/>
  <c r="V26" i="68"/>
  <c r="V22" i="68"/>
  <c r="V41" i="68"/>
  <c r="V49" i="68"/>
  <c r="V40" i="68"/>
  <c r="V32" i="68"/>
  <c r="Z12" i="68"/>
  <c r="V33" i="68"/>
  <c r="V29" i="68"/>
  <c r="T16" i="68"/>
  <c r="X16" i="68" s="1"/>
  <c r="Z19" i="68"/>
  <c r="V14" i="59"/>
  <c r="V16" i="59"/>
  <c r="V18" i="59"/>
  <c r="V42" i="59"/>
  <c r="R14" i="60"/>
  <c r="R16" i="60"/>
  <c r="R18" i="60"/>
  <c r="R29" i="60"/>
  <c r="R30" i="60"/>
  <c r="R37" i="60"/>
  <c r="L12" i="61"/>
  <c r="N67" i="64"/>
  <c r="X12" i="68"/>
  <c r="N18" i="68"/>
  <c r="V19" i="68"/>
  <c r="V42" i="68"/>
  <c r="V39" i="59"/>
  <c r="X42" i="59"/>
  <c r="Z42" i="59" s="1"/>
  <c r="V47" i="59"/>
  <c r="V55" i="59"/>
  <c r="R56" i="60"/>
  <c r="R53" i="60"/>
  <c r="R40" i="60"/>
  <c r="R44" i="60"/>
  <c r="R43" i="60"/>
  <c r="R51" i="60"/>
  <c r="R19" i="60"/>
  <c r="F22" i="60"/>
  <c r="F26" i="60"/>
  <c r="F35" i="60"/>
  <c r="R36" i="60"/>
  <c r="Z42" i="60"/>
  <c r="N12" i="61"/>
  <c r="L16" i="61"/>
  <c r="X18" i="61"/>
  <c r="Z18" i="61" s="1"/>
  <c r="J36" i="61"/>
  <c r="J49" i="61"/>
  <c r="J53" i="61"/>
  <c r="L49" i="64"/>
  <c r="N49" i="64" s="1"/>
  <c r="N51" i="64"/>
  <c r="Z73" i="64"/>
  <c r="Z12" i="59"/>
  <c r="V32" i="59"/>
  <c r="V40" i="59"/>
  <c r="V48" i="59"/>
  <c r="J52" i="59"/>
  <c r="J60" i="59"/>
  <c r="V49" i="60"/>
  <c r="V47" i="60"/>
  <c r="V45" i="60"/>
  <c r="V40" i="60"/>
  <c r="V14" i="60"/>
  <c r="V16" i="60"/>
  <c r="V18" i="60"/>
  <c r="R23" i="60"/>
  <c r="R27" i="60"/>
  <c r="R28" i="60"/>
  <c r="V30" i="60"/>
  <c r="F34" i="60"/>
  <c r="V36" i="60"/>
  <c r="V37" i="60"/>
  <c r="R41" i="60"/>
  <c r="V42" i="60"/>
  <c r="R45" i="60"/>
  <c r="F49" i="60"/>
  <c r="R53" i="61"/>
  <c r="R28" i="61"/>
  <c r="R27" i="61"/>
  <c r="R23" i="61"/>
  <c r="R35" i="61"/>
  <c r="R34" i="61"/>
  <c r="R30" i="61"/>
  <c r="R46" i="61"/>
  <c r="R45" i="61"/>
  <c r="R25" i="61"/>
  <c r="R21" i="61"/>
  <c r="R47" i="61"/>
  <c r="R31" i="61"/>
  <c r="R41" i="61"/>
  <c r="R40" i="61"/>
  <c r="R32" i="61"/>
  <c r="X12" i="61"/>
  <c r="R18" i="61"/>
  <c r="J21" i="61"/>
  <c r="R24" i="61"/>
  <c r="J42" i="61"/>
  <c r="Z26" i="69"/>
  <c r="X26" i="69"/>
  <c r="N94" i="69"/>
  <c r="L94" i="69"/>
  <c r="N112" i="69"/>
  <c r="L112" i="69"/>
  <c r="L41" i="64"/>
  <c r="N41" i="64" s="1"/>
  <c r="L61" i="64"/>
  <c r="N61" i="64" s="1"/>
  <c r="Z71" i="64"/>
  <c r="X71" i="64"/>
  <c r="N15" i="69"/>
  <c r="V23" i="61"/>
  <c r="V27" i="61"/>
  <c r="F35" i="61"/>
  <c r="F36" i="61"/>
  <c r="V53" i="61"/>
  <c r="V55" i="61"/>
  <c r="V58" i="61"/>
  <c r="Z12" i="64"/>
  <c r="V28" i="64"/>
  <c r="V32" i="64"/>
  <c r="R37" i="64"/>
  <c r="R38" i="64"/>
  <c r="J44" i="64"/>
  <c r="R45" i="64"/>
  <c r="R46" i="64"/>
  <c r="J52" i="64"/>
  <c r="V56" i="64"/>
  <c r="J64" i="64"/>
  <c r="R65" i="64"/>
  <c r="F69" i="64"/>
  <c r="V72" i="64"/>
  <c r="J76" i="64"/>
  <c r="R77" i="64"/>
  <c r="J84" i="64"/>
  <c r="R85" i="64"/>
  <c r="R86" i="64"/>
  <c r="V90" i="64"/>
  <c r="R54" i="68"/>
  <c r="R65" i="68"/>
  <c r="R62" i="68"/>
  <c r="R49" i="68"/>
  <c r="R19" i="68"/>
  <c r="F22" i="68"/>
  <c r="F26" i="68"/>
  <c r="F37" i="68"/>
  <c r="F38" i="68"/>
  <c r="J39" i="68"/>
  <c r="R42" i="68"/>
  <c r="R43" i="68"/>
  <c r="J46" i="68"/>
  <c r="J49" i="68"/>
  <c r="N53" i="68"/>
  <c r="J60" i="68"/>
  <c r="L19" i="69"/>
  <c r="N19" i="69" s="1"/>
  <c r="Z20" i="69"/>
  <c r="Z33" i="69"/>
  <c r="L43" i="69"/>
  <c r="Z98" i="69"/>
  <c r="Z22" i="70"/>
  <c r="R31" i="70"/>
  <c r="Z38" i="70"/>
  <c r="Z48" i="70"/>
  <c r="J76" i="74"/>
  <c r="F43" i="61"/>
  <c r="H16" i="64"/>
  <c r="L16" i="64" s="1"/>
  <c r="F19" i="64"/>
  <c r="F20" i="64"/>
  <c r="F24" i="64"/>
  <c r="V31" i="64"/>
  <c r="V35" i="64"/>
  <c r="F40" i="64"/>
  <c r="J41" i="64"/>
  <c r="R44" i="64"/>
  <c r="F48" i="64"/>
  <c r="J49" i="64"/>
  <c r="R52" i="64"/>
  <c r="R53" i="64"/>
  <c r="V55" i="64"/>
  <c r="F59" i="64"/>
  <c r="F60" i="64"/>
  <c r="J61" i="64"/>
  <c r="R64" i="64"/>
  <c r="F67" i="64"/>
  <c r="F68" i="64"/>
  <c r="V71" i="64"/>
  <c r="J75" i="64"/>
  <c r="R76" i="64"/>
  <c r="F79" i="64"/>
  <c r="F80" i="64"/>
  <c r="J81" i="64"/>
  <c r="R84" i="64"/>
  <c r="F89" i="64"/>
  <c r="J97" i="64"/>
  <c r="J100" i="64"/>
  <c r="F21" i="68"/>
  <c r="F25" i="68"/>
  <c r="J36" i="68"/>
  <c r="R46" i="68"/>
  <c r="F48" i="68"/>
  <c r="F51" i="68"/>
  <c r="F58" i="68"/>
  <c r="R60" i="68"/>
  <c r="F65" i="68"/>
  <c r="H12" i="69"/>
  <c r="L15" i="69"/>
  <c r="Z16" i="69"/>
  <c r="L31" i="69"/>
  <c r="R33" i="70"/>
  <c r="R37" i="70"/>
  <c r="X107" i="71"/>
  <c r="Z28" i="73"/>
  <c r="J42" i="74"/>
  <c r="V36" i="64"/>
  <c r="V44" i="64"/>
  <c r="V52" i="64"/>
  <c r="V64" i="64"/>
  <c r="R69" i="64"/>
  <c r="V76" i="64"/>
  <c r="J80" i="64"/>
  <c r="V84" i="64"/>
  <c r="F90" i="64"/>
  <c r="F95" i="64"/>
  <c r="D16" i="68"/>
  <c r="Z46" i="68"/>
  <c r="X43" i="69"/>
  <c r="Z43" i="69" s="1"/>
  <c r="R28" i="70"/>
  <c r="R24" i="70"/>
  <c r="P20" i="70"/>
  <c r="R40" i="70"/>
  <c r="R39" i="70"/>
  <c r="R63" i="70"/>
  <c r="R62" i="70"/>
  <c r="R58" i="70"/>
  <c r="R51" i="70"/>
  <c r="R50" i="70"/>
  <c r="R34" i="70"/>
  <c r="R42" i="70"/>
  <c r="R41" i="70"/>
  <c r="R29" i="70"/>
  <c r="R25" i="70"/>
  <c r="R64" i="70"/>
  <c r="R52" i="70"/>
  <c r="R66" i="70"/>
  <c r="R59" i="70"/>
  <c r="R44" i="70"/>
  <c r="R43" i="70"/>
  <c r="R35" i="70"/>
  <c r="R16" i="70"/>
  <c r="R30" i="70"/>
  <c r="R26" i="70"/>
  <c r="R54" i="70"/>
  <c r="R53" i="70"/>
  <c r="R46" i="70"/>
  <c r="R45" i="70"/>
  <c r="R17" i="70"/>
  <c r="R56" i="70"/>
  <c r="R55" i="70"/>
  <c r="R20" i="70"/>
  <c r="R49" i="70"/>
  <c r="Z107" i="71"/>
  <c r="N16" i="74"/>
  <c r="L16" i="74"/>
  <c r="F28" i="61"/>
  <c r="F29" i="61"/>
  <c r="F33" i="61"/>
  <c r="V36" i="61"/>
  <c r="J19" i="64"/>
  <c r="V21" i="64"/>
  <c r="V25" i="64"/>
  <c r="J29" i="64"/>
  <c r="R30" i="64"/>
  <c r="J33" i="64"/>
  <c r="R34" i="64"/>
  <c r="R42" i="64"/>
  <c r="R43" i="64"/>
  <c r="R50" i="64"/>
  <c r="R51" i="64"/>
  <c r="V53" i="64"/>
  <c r="F57" i="64"/>
  <c r="F58" i="64"/>
  <c r="J59" i="64"/>
  <c r="R62" i="64"/>
  <c r="R63" i="64"/>
  <c r="F66" i="64"/>
  <c r="J67" i="64"/>
  <c r="V69" i="64"/>
  <c r="F73" i="64"/>
  <c r="F74" i="64"/>
  <c r="F78" i="64"/>
  <c r="J79" i="64"/>
  <c r="R82" i="64"/>
  <c r="R83" i="64"/>
  <c r="J89" i="64"/>
  <c r="F91" i="64"/>
  <c r="F93" i="64"/>
  <c r="J95" i="64"/>
  <c r="F14" i="68"/>
  <c r="F16" i="68"/>
  <c r="F18" i="68"/>
  <c r="J30" i="68"/>
  <c r="R31" i="68"/>
  <c r="J34" i="68"/>
  <c r="R45" i="68"/>
  <c r="L51" i="68"/>
  <c r="R52" i="68"/>
  <c r="F56" i="68"/>
  <c r="J65" i="68"/>
  <c r="X19" i="69"/>
  <c r="Z19" i="69" s="1"/>
  <c r="Z70" i="69"/>
  <c r="V63" i="70"/>
  <c r="V51" i="70"/>
  <c r="V39" i="70"/>
  <c r="V62" i="70"/>
  <c r="V58" i="70"/>
  <c r="V50" i="70"/>
  <c r="V42" i="70"/>
  <c r="V34" i="70"/>
  <c r="V41" i="70"/>
  <c r="V29" i="70"/>
  <c r="V25" i="70"/>
  <c r="V66" i="70"/>
  <c r="V64" i="70"/>
  <c r="V52" i="70"/>
  <c r="V44" i="70"/>
  <c r="V16" i="70"/>
  <c r="V59" i="70"/>
  <c r="V43" i="70"/>
  <c r="V35" i="70"/>
  <c r="V54" i="70"/>
  <c r="V46" i="70"/>
  <c r="V30" i="70"/>
  <c r="V26" i="70"/>
  <c r="V53" i="70"/>
  <c r="V45" i="70"/>
  <c r="V17" i="70"/>
  <c r="V70" i="70"/>
  <c r="V60" i="70"/>
  <c r="V56" i="70"/>
  <c r="V48" i="70"/>
  <c r="V36" i="70"/>
  <c r="V32" i="70"/>
  <c r="T20" i="70"/>
  <c r="V28" i="70"/>
  <c r="V49" i="70"/>
  <c r="Z56" i="70"/>
  <c r="P12" i="71"/>
  <c r="Z19" i="71"/>
  <c r="T12" i="71"/>
  <c r="L25" i="71"/>
  <c r="Z30" i="71"/>
  <c r="L36" i="71"/>
  <c r="N38" i="71"/>
  <c r="N85" i="71"/>
  <c r="X111" i="71"/>
  <c r="P110" i="71"/>
  <c r="X67" i="76"/>
  <c r="Z67" i="76" s="1"/>
  <c r="P66" i="76"/>
  <c r="X66" i="76" s="1"/>
  <c r="V25" i="61"/>
  <c r="V37" i="61"/>
  <c r="F41" i="61"/>
  <c r="F42" i="61"/>
  <c r="V45" i="61"/>
  <c r="J28" i="64"/>
  <c r="V30" i="64"/>
  <c r="V34" i="64"/>
  <c r="F38" i="64"/>
  <c r="F39" i="64"/>
  <c r="V42" i="64"/>
  <c r="F46" i="64"/>
  <c r="F47" i="64"/>
  <c r="V50" i="64"/>
  <c r="J58" i="64"/>
  <c r="V62" i="64"/>
  <c r="J66" i="64"/>
  <c r="J74" i="64"/>
  <c r="R75" i="64"/>
  <c r="J78" i="64"/>
  <c r="V82" i="64"/>
  <c r="F86" i="64"/>
  <c r="F87" i="64"/>
  <c r="J90" i="64"/>
  <c r="H16" i="68"/>
  <c r="F19" i="68"/>
  <c r="F20" i="68"/>
  <c r="F24" i="68"/>
  <c r="F28" i="68"/>
  <c r="R36" i="68"/>
  <c r="R37" i="68"/>
  <c r="F43" i="68"/>
  <c r="F44" i="68"/>
  <c r="R48" i="68"/>
  <c r="F62" i="68"/>
  <c r="L27" i="69"/>
  <c r="N27" i="69" s="1"/>
  <c r="X47" i="69"/>
  <c r="Z47" i="69" s="1"/>
  <c r="X12" i="70"/>
  <c r="Z12" i="70" s="1"/>
  <c r="R70" i="70"/>
  <c r="L22" i="71"/>
  <c r="N22" i="71" s="1"/>
  <c r="N25" i="71"/>
  <c r="Z111" i="71"/>
  <c r="T110" i="71"/>
  <c r="N27" i="73"/>
  <c r="L27" i="73"/>
  <c r="X14" i="74"/>
  <c r="R20" i="64"/>
  <c r="R24" i="64"/>
  <c r="J39" i="64"/>
  <c r="R40" i="64"/>
  <c r="R41" i="64"/>
  <c r="V43" i="64"/>
  <c r="J47" i="64"/>
  <c r="R48" i="64"/>
  <c r="R49" i="64"/>
  <c r="V51" i="64"/>
  <c r="F55" i="64"/>
  <c r="F56" i="64"/>
  <c r="J57" i="64"/>
  <c r="R60" i="64"/>
  <c r="R61" i="64"/>
  <c r="V63" i="64"/>
  <c r="R68" i="64"/>
  <c r="F71" i="64"/>
  <c r="F72" i="64"/>
  <c r="J73" i="64"/>
  <c r="V75" i="64"/>
  <c r="R80" i="64"/>
  <c r="R81" i="64"/>
  <c r="V83" i="64"/>
  <c r="J87" i="64"/>
  <c r="J91" i="64"/>
  <c r="J93" i="64"/>
  <c r="R97" i="64"/>
  <c r="R100" i="64"/>
  <c r="R21" i="68"/>
  <c r="R25" i="68"/>
  <c r="J44" i="68"/>
  <c r="J50" i="68"/>
  <c r="R58" i="68"/>
  <c r="J77" i="74"/>
  <c r="J67" i="74"/>
  <c r="J61" i="74"/>
  <c r="J57" i="74"/>
  <c r="J35" i="74"/>
  <c r="J68" i="74"/>
  <c r="J48" i="74"/>
  <c r="J44" i="74"/>
  <c r="J40" i="74"/>
  <c r="J36" i="74"/>
  <c r="J69" i="74"/>
  <c r="J78" i="74"/>
  <c r="J70" i="74"/>
  <c r="J62" i="74"/>
  <c r="J58" i="74"/>
  <c r="J79" i="74"/>
  <c r="J63" i="74"/>
  <c r="J49" i="74"/>
  <c r="J45" i="74"/>
  <c r="J41" i="74"/>
  <c r="J37" i="74"/>
  <c r="J80" i="74"/>
  <c r="J64" i="74"/>
  <c r="J71" i="74"/>
  <c r="J59" i="74"/>
  <c r="J73" i="74"/>
  <c r="J65" i="74"/>
  <c r="J55" i="74"/>
  <c r="J82" i="74"/>
  <c r="J72" i="74"/>
  <c r="J54" i="74"/>
  <c r="J46" i="74"/>
  <c r="J60" i="74"/>
  <c r="J86" i="74"/>
  <c r="J75" i="74"/>
  <c r="J52" i="74"/>
  <c r="J47" i="74"/>
  <c r="J39" i="74"/>
  <c r="J66" i="74"/>
  <c r="H52" i="74"/>
  <c r="J43" i="74"/>
  <c r="J74" i="74"/>
  <c r="T12" i="74"/>
  <c r="Z14" i="74"/>
  <c r="X13" i="75"/>
  <c r="Z13" i="75" s="1"/>
  <c r="P12" i="75"/>
  <c r="N12" i="64"/>
  <c r="R14" i="64"/>
  <c r="R16" i="64"/>
  <c r="R18" i="64"/>
  <c r="V20" i="64"/>
  <c r="V24" i="64"/>
  <c r="R29" i="64"/>
  <c r="J32" i="64"/>
  <c r="R33" i="64"/>
  <c r="F36" i="64"/>
  <c r="F37" i="64"/>
  <c r="J38" i="64"/>
  <c r="V40" i="64"/>
  <c r="F45" i="64"/>
  <c r="J46" i="64"/>
  <c r="V48" i="64"/>
  <c r="J56" i="64"/>
  <c r="V60" i="64"/>
  <c r="F65" i="64"/>
  <c r="V68" i="64"/>
  <c r="J72" i="64"/>
  <c r="F77" i="64"/>
  <c r="V80" i="64"/>
  <c r="F85" i="64"/>
  <c r="J86" i="64"/>
  <c r="R95" i="64"/>
  <c r="F50" i="68"/>
  <c r="F47" i="68"/>
  <c r="F46" i="68"/>
  <c r="R34" i="68"/>
  <c r="R35" i="68"/>
  <c r="F41" i="68"/>
  <c r="F42" i="68"/>
  <c r="J43" i="68"/>
  <c r="J47" i="68"/>
  <c r="R51" i="68"/>
  <c r="X15" i="69"/>
  <c r="Z15" i="69" s="1"/>
  <c r="X31" i="69"/>
  <c r="Z31" i="69" s="1"/>
  <c r="X39" i="69"/>
  <c r="Z39" i="69" s="1"/>
  <c r="Z89" i="69"/>
  <c r="D12" i="70"/>
  <c r="X23" i="70"/>
  <c r="V55" i="70"/>
  <c r="R61" i="70"/>
  <c r="N66" i="70"/>
  <c r="J66" i="70"/>
  <c r="D12" i="71"/>
  <c r="Z16" i="71"/>
  <c r="N18" i="71"/>
  <c r="N29" i="71"/>
  <c r="N31" i="71"/>
  <c r="X13" i="73"/>
  <c r="Z13" i="73" s="1"/>
  <c r="P12" i="73"/>
  <c r="J38" i="74"/>
  <c r="T16" i="64"/>
  <c r="R19" i="64"/>
  <c r="F22" i="64"/>
  <c r="F26" i="64"/>
  <c r="V29" i="64"/>
  <c r="V33" i="64"/>
  <c r="J37" i="64"/>
  <c r="V41" i="64"/>
  <c r="J45" i="64"/>
  <c r="V49" i="64"/>
  <c r="F53" i="64"/>
  <c r="F54" i="64"/>
  <c r="J55" i="64"/>
  <c r="R58" i="64"/>
  <c r="R59" i="64"/>
  <c r="V61" i="64"/>
  <c r="J65" i="64"/>
  <c r="R66" i="64"/>
  <c r="R67" i="64"/>
  <c r="F70" i="64"/>
  <c r="J71" i="64"/>
  <c r="R74" i="64"/>
  <c r="J77" i="64"/>
  <c r="R78" i="64"/>
  <c r="R79" i="64"/>
  <c r="V81" i="64"/>
  <c r="J85" i="64"/>
  <c r="R89" i="64"/>
  <c r="V95" i="64"/>
  <c r="V97" i="64"/>
  <c r="V100" i="64"/>
  <c r="J51" i="68"/>
  <c r="J45" i="68"/>
  <c r="J54" i="68"/>
  <c r="J58" i="68"/>
  <c r="J56" i="68"/>
  <c r="J48" i="68"/>
  <c r="F23" i="68"/>
  <c r="F27" i="68"/>
  <c r="J42" i="68"/>
  <c r="R56" i="68"/>
  <c r="L23" i="69"/>
  <c r="N23" i="69" s="1"/>
  <c r="R23" i="70"/>
  <c r="X32" i="70"/>
  <c r="Z32" i="70" s="1"/>
  <c r="L42" i="70"/>
  <c r="R57" i="70"/>
  <c r="V61" i="70"/>
  <c r="L15" i="71"/>
  <c r="N15" i="71" s="1"/>
  <c r="L35" i="71"/>
  <c r="Z83" i="71"/>
  <c r="N92" i="71"/>
  <c r="Z27" i="73"/>
  <c r="J56" i="74"/>
  <c r="X79" i="74"/>
  <c r="Z79" i="74" s="1"/>
  <c r="V14" i="64"/>
  <c r="V16" i="64"/>
  <c r="V18" i="64"/>
  <c r="R47" i="64"/>
  <c r="V58" i="64"/>
  <c r="V66" i="64"/>
  <c r="J70" i="64"/>
  <c r="V74" i="64"/>
  <c r="V78" i="64"/>
  <c r="R87" i="64"/>
  <c r="R90" i="64"/>
  <c r="F32" i="68"/>
  <c r="F39" i="68"/>
  <c r="F40" i="68"/>
  <c r="R44" i="68"/>
  <c r="R47" i="68"/>
  <c r="R50" i="68"/>
  <c r="F54" i="68"/>
  <c r="N16" i="70"/>
  <c r="Z23" i="70"/>
  <c r="R27" i="70"/>
  <c r="R32" i="70"/>
  <c r="R36" i="70"/>
  <c r="H12" i="71"/>
  <c r="Z20" i="71"/>
  <c r="N35" i="71"/>
  <c r="X19" i="73"/>
  <c r="V14" i="61"/>
  <c r="V16" i="61"/>
  <c r="V18" i="61"/>
  <c r="F31" i="61"/>
  <c r="F46" i="61"/>
  <c r="X12" i="64"/>
  <c r="V19" i="64"/>
  <c r="V23" i="64"/>
  <c r="V27" i="64"/>
  <c r="J31" i="64"/>
  <c r="R32" i="64"/>
  <c r="J35" i="64"/>
  <c r="V39" i="64"/>
  <c r="F43" i="64"/>
  <c r="F44" i="64"/>
  <c r="V47" i="64"/>
  <c r="F51" i="64"/>
  <c r="F52" i="64"/>
  <c r="R56" i="64"/>
  <c r="R57" i="64"/>
  <c r="V59" i="64"/>
  <c r="F63" i="64"/>
  <c r="F64" i="64"/>
  <c r="V67" i="64"/>
  <c r="R72" i="64"/>
  <c r="R73" i="64"/>
  <c r="F76" i="64"/>
  <c r="V79" i="64"/>
  <c r="F83" i="64"/>
  <c r="V87" i="64"/>
  <c r="R91" i="64"/>
  <c r="R14" i="68"/>
  <c r="R16" i="68"/>
  <c r="R18" i="68"/>
  <c r="R33" i="68"/>
  <c r="J40" i="68"/>
  <c r="F49" i="68"/>
  <c r="F53" i="68"/>
  <c r="F60" i="68"/>
  <c r="X27" i="69"/>
  <c r="Z27" i="69" s="1"/>
  <c r="J16" i="70"/>
  <c r="R22" i="70"/>
  <c r="V23" i="70"/>
  <c r="R38" i="70"/>
  <c r="N42" i="70"/>
  <c r="R48" i="70"/>
  <c r="Z33" i="71"/>
  <c r="N40" i="71"/>
  <c r="Z19" i="73"/>
  <c r="N32" i="75"/>
  <c r="H12" i="75"/>
  <c r="L32" i="75"/>
  <c r="T12" i="76"/>
  <c r="L81" i="75"/>
  <c r="N81" i="75" s="1"/>
  <c r="X26" i="71"/>
  <c r="Z26" i="71" s="1"/>
  <c r="Z90" i="71"/>
  <c r="D12" i="74"/>
  <c r="Z16" i="74"/>
  <c r="X18" i="74"/>
  <c r="Z18" i="74" s="1"/>
  <c r="N20" i="74"/>
  <c r="L20" i="74"/>
  <c r="N15" i="75"/>
  <c r="Z24" i="75"/>
  <c r="J42" i="70"/>
  <c r="J52" i="70"/>
  <c r="J64" i="70"/>
  <c r="X22" i="71"/>
  <c r="Z22" i="71" s="1"/>
  <c r="L81" i="71"/>
  <c r="N81" i="71" s="1"/>
  <c r="X90" i="71"/>
  <c r="L105" i="71"/>
  <c r="N105" i="71" s="1"/>
  <c r="T12" i="73"/>
  <c r="F21" i="73"/>
  <c r="Z74" i="73"/>
  <c r="L13" i="74"/>
  <c r="N13" i="74" s="1"/>
  <c r="Z20" i="74"/>
  <c r="X22" i="74"/>
  <c r="Z22" i="74" s="1"/>
  <c r="N24" i="74"/>
  <c r="L24" i="74"/>
  <c r="Z63" i="74"/>
  <c r="X67" i="74"/>
  <c r="Z30" i="75"/>
  <c r="L81" i="77"/>
  <c r="J41" i="70"/>
  <c r="J51" i="70"/>
  <c r="J63" i="70"/>
  <c r="F73" i="73"/>
  <c r="F72" i="73"/>
  <c r="F41" i="73"/>
  <c r="F68" i="73"/>
  <c r="F60" i="73"/>
  <c r="F52" i="73"/>
  <c r="F51" i="73"/>
  <c r="F36" i="73"/>
  <c r="F32" i="73"/>
  <c r="F75" i="73"/>
  <c r="F74" i="73"/>
  <c r="F62" i="73"/>
  <c r="F61" i="73"/>
  <c r="F54" i="73"/>
  <c r="F53" i="73"/>
  <c r="F42" i="73"/>
  <c r="F38" i="73"/>
  <c r="F37" i="73"/>
  <c r="F69" i="73"/>
  <c r="F77" i="73"/>
  <c r="F64" i="73"/>
  <c r="F63" i="73"/>
  <c r="F56" i="73"/>
  <c r="F55" i="73"/>
  <c r="F44" i="73"/>
  <c r="F43" i="73"/>
  <c r="F27" i="73"/>
  <c r="F81" i="73"/>
  <c r="F39" i="73"/>
  <c r="D25" i="73"/>
  <c r="L15" i="73"/>
  <c r="N15" i="73" s="1"/>
  <c r="F33" i="73"/>
  <c r="F35" i="73"/>
  <c r="F46" i="73"/>
  <c r="F67" i="73"/>
  <c r="P12" i="74"/>
  <c r="X13" i="74"/>
  <c r="Z13" i="74" s="1"/>
  <c r="Z67" i="74"/>
  <c r="N81" i="77"/>
  <c r="J34" i="70"/>
  <c r="J40" i="70"/>
  <c r="J50" i="70"/>
  <c r="J58" i="70"/>
  <c r="J62" i="70"/>
  <c r="X15" i="71"/>
  <c r="Z15" i="71" s="1"/>
  <c r="X18" i="71"/>
  <c r="Z18" i="71" s="1"/>
  <c r="L21" i="71"/>
  <c r="N21" i="71" s="1"/>
  <c r="L31" i="71"/>
  <c r="L38" i="71"/>
  <c r="N76" i="71"/>
  <c r="D110" i="71"/>
  <c r="L110" i="71" s="1"/>
  <c r="N110" i="71" s="1"/>
  <c r="H12" i="73"/>
  <c r="L12" i="73" s="1"/>
  <c r="F29" i="73"/>
  <c r="F31" i="73"/>
  <c r="N43" i="73"/>
  <c r="L43" i="73"/>
  <c r="F58" i="73"/>
  <c r="L17" i="74"/>
  <c r="N17" i="74" s="1"/>
  <c r="Z24" i="74"/>
  <c r="X26" i="74"/>
  <c r="Z26" i="74" s="1"/>
  <c r="L28" i="74"/>
  <c r="N28" i="74" s="1"/>
  <c r="N55" i="74"/>
  <c r="Z69" i="74"/>
  <c r="Z63" i="75"/>
  <c r="X63" i="75"/>
  <c r="N98" i="75"/>
  <c r="Z31" i="77"/>
  <c r="X31" i="77"/>
  <c r="L49" i="79"/>
  <c r="N49" i="79" s="1"/>
  <c r="J49" i="79"/>
  <c r="H20" i="70"/>
  <c r="J39" i="70"/>
  <c r="N17" i="71"/>
  <c r="Z85" i="71"/>
  <c r="Z15" i="73"/>
  <c r="F48" i="73"/>
  <c r="F50" i="73"/>
  <c r="N21" i="74"/>
  <c r="X19" i="75"/>
  <c r="Z56" i="76"/>
  <c r="X35" i="77"/>
  <c r="Z35" i="77" s="1"/>
  <c r="J20" i="70"/>
  <c r="J22" i="70"/>
  <c r="J24" i="70"/>
  <c r="J28" i="70"/>
  <c r="J38" i="70"/>
  <c r="L90" i="71"/>
  <c r="N90" i="71" s="1"/>
  <c r="L111" i="71"/>
  <c r="N111" i="71" s="1"/>
  <c r="F23" i="73"/>
  <c r="F45" i="73"/>
  <c r="N55" i="73"/>
  <c r="F57" i="73"/>
  <c r="L32" i="74"/>
  <c r="N32" i="74" s="1"/>
  <c r="L54" i="74"/>
  <c r="N54" i="74" s="1"/>
  <c r="Z19" i="75"/>
  <c r="N24" i="76"/>
  <c r="H12" i="76"/>
  <c r="L24" i="76"/>
  <c r="J23" i="70"/>
  <c r="J33" i="70"/>
  <c r="J37" i="70"/>
  <c r="J49" i="70"/>
  <c r="J57" i="70"/>
  <c r="J61" i="70"/>
  <c r="X76" i="71"/>
  <c r="Z76" i="71" s="1"/>
  <c r="L112" i="71"/>
  <c r="X17" i="73"/>
  <c r="Z17" i="73" s="1"/>
  <c r="Z21" i="73"/>
  <c r="X55" i="73"/>
  <c r="Z55" i="73" s="1"/>
  <c r="N23" i="74"/>
  <c r="N25" i="74"/>
  <c r="Z55" i="74"/>
  <c r="L74" i="74"/>
  <c r="L18" i="75"/>
  <c r="N18" i="75" s="1"/>
  <c r="Z34" i="75"/>
  <c r="L74" i="75"/>
  <c r="N74" i="75" s="1"/>
  <c r="X91" i="75"/>
  <c r="F57" i="76"/>
  <c r="F56" i="76"/>
  <c r="F41" i="76"/>
  <c r="F40" i="76"/>
  <c r="F64" i="76"/>
  <c r="F63" i="76"/>
  <c r="F48" i="76"/>
  <c r="F47" i="76"/>
  <c r="F36" i="76"/>
  <c r="F32" i="76"/>
  <c r="F31" i="76"/>
  <c r="F30" i="76"/>
  <c r="F26" i="76"/>
  <c r="F67" i="76"/>
  <c r="F58" i="76"/>
  <c r="F50" i="76"/>
  <c r="F49" i="76"/>
  <c r="F42" i="76"/>
  <c r="D28" i="76"/>
  <c r="F28" i="76" s="1"/>
  <c r="F71" i="76"/>
  <c r="F66" i="76"/>
  <c r="F37" i="76"/>
  <c r="F33" i="76"/>
  <c r="F52" i="76"/>
  <c r="F51" i="76"/>
  <c r="F59" i="76"/>
  <c r="F43" i="76"/>
  <c r="F38" i="76"/>
  <c r="F34" i="76"/>
  <c r="F53" i="76"/>
  <c r="F62" i="76"/>
  <c r="F61" i="76"/>
  <c r="F46" i="76"/>
  <c r="F45" i="76"/>
  <c r="F54" i="76"/>
  <c r="F44" i="76"/>
  <c r="F35" i="76"/>
  <c r="L12" i="76"/>
  <c r="F39" i="76"/>
  <c r="F60" i="76"/>
  <c r="J18" i="70"/>
  <c r="J32" i="70"/>
  <c r="J48" i="70"/>
  <c r="J56" i="70"/>
  <c r="Z95" i="71"/>
  <c r="F28" i="73"/>
  <c r="F40" i="73"/>
  <c r="F70" i="73"/>
  <c r="X16" i="75"/>
  <c r="Z16" i="75" s="1"/>
  <c r="Z91" i="75"/>
  <c r="R77" i="84"/>
  <c r="R76" i="84"/>
  <c r="R78" i="84"/>
  <c r="R80" i="84"/>
  <c r="R66" i="84"/>
  <c r="R65" i="84"/>
  <c r="R84" i="84"/>
  <c r="R68" i="84"/>
  <c r="R54" i="84"/>
  <c r="R53" i="84"/>
  <c r="R17" i="84"/>
  <c r="R71" i="84"/>
  <c r="R62" i="84"/>
  <c r="R61" i="84"/>
  <c r="R45" i="84"/>
  <c r="R44" i="84"/>
  <c r="R36" i="84"/>
  <c r="X12" i="84"/>
  <c r="R56" i="84"/>
  <c r="R55" i="84"/>
  <c r="R32" i="84"/>
  <c r="R31" i="84"/>
  <c r="R27" i="84"/>
  <c r="R74" i="84"/>
  <c r="R46" i="84"/>
  <c r="R23" i="84"/>
  <c r="R18" i="84"/>
  <c r="R69" i="84"/>
  <c r="R63" i="84"/>
  <c r="R58" i="84"/>
  <c r="R57" i="84"/>
  <c r="R37" i="84"/>
  <c r="R33" i="84"/>
  <c r="R22" i="84"/>
  <c r="R20" i="84"/>
  <c r="R75" i="84"/>
  <c r="R72" i="84"/>
  <c r="R28" i="84"/>
  <c r="R24" i="84"/>
  <c r="P20" i="84"/>
  <c r="R59" i="84"/>
  <c r="R48" i="84"/>
  <c r="R47" i="84"/>
  <c r="R39" i="84"/>
  <c r="R38" i="84"/>
  <c r="R34" i="84"/>
  <c r="R50" i="84"/>
  <c r="R49" i="84"/>
  <c r="R29" i="84"/>
  <c r="R25" i="84"/>
  <c r="R70" i="84"/>
  <c r="R60" i="84"/>
  <c r="R41" i="84"/>
  <c r="R40" i="84"/>
  <c r="R43" i="84"/>
  <c r="R42" i="84"/>
  <c r="R30" i="84"/>
  <c r="R26" i="84"/>
  <c r="R67" i="84"/>
  <c r="R51" i="84"/>
  <c r="R64" i="84"/>
  <c r="R16" i="84"/>
  <c r="R73" i="84"/>
  <c r="R52" i="84"/>
  <c r="R35" i="84"/>
  <c r="J47" i="70"/>
  <c r="X113" i="71"/>
  <c r="Z113" i="71" s="1"/>
  <c r="N16" i="73"/>
  <c r="N19" i="73"/>
  <c r="L19" i="73"/>
  <c r="F34" i="73"/>
  <c r="L49" i="73"/>
  <c r="N49" i="73" s="1"/>
  <c r="F66" i="73"/>
  <c r="N72" i="73"/>
  <c r="N29" i="74"/>
  <c r="Z35" i="74"/>
  <c r="T12" i="75"/>
  <c r="X22" i="75"/>
  <c r="Z22" i="75" s="1"/>
  <c r="N24" i="75"/>
  <c r="N26" i="75"/>
  <c r="Z27" i="75"/>
  <c r="X86" i="75"/>
  <c r="Z86" i="75" s="1"/>
  <c r="N96" i="75"/>
  <c r="P12" i="76"/>
  <c r="X13" i="76"/>
  <c r="Z13" i="76" s="1"/>
  <c r="N20" i="77"/>
  <c r="Z55" i="77"/>
  <c r="X18" i="75"/>
  <c r="Z18" i="75" s="1"/>
  <c r="X29" i="75"/>
  <c r="Z29" i="75" s="1"/>
  <c r="L56" i="77"/>
  <c r="J64" i="80"/>
  <c r="J52" i="80"/>
  <c r="J44" i="80"/>
  <c r="J45" i="80"/>
  <c r="J35" i="80"/>
  <c r="J66" i="80"/>
  <c r="J58" i="80"/>
  <c r="J46" i="80"/>
  <c r="J30" i="80"/>
  <c r="J26" i="80"/>
  <c r="J16" i="80"/>
  <c r="J53" i="80"/>
  <c r="J31" i="80"/>
  <c r="J17" i="80"/>
  <c r="J70" i="80"/>
  <c r="J54" i="80"/>
  <c r="J55" i="80"/>
  <c r="J39" i="80"/>
  <c r="J33" i="80"/>
  <c r="J23" i="80"/>
  <c r="J60" i="80"/>
  <c r="J56" i="80"/>
  <c r="J48" i="80"/>
  <c r="J40" i="80"/>
  <c r="J28" i="80"/>
  <c r="J24" i="80"/>
  <c r="J22" i="80"/>
  <c r="J20" i="80"/>
  <c r="J61" i="80"/>
  <c r="J49" i="80"/>
  <c r="J41" i="80"/>
  <c r="H20" i="80"/>
  <c r="J51" i="80"/>
  <c r="J42" i="80"/>
  <c r="J63" i="80"/>
  <c r="J47" i="80"/>
  <c r="J18" i="80"/>
  <c r="J59" i="80"/>
  <c r="J57" i="80"/>
  <c r="J38" i="80"/>
  <c r="J43" i="80"/>
  <c r="J29" i="80"/>
  <c r="J27" i="80"/>
  <c r="J50" i="80"/>
  <c r="J36" i="80"/>
  <c r="J25" i="80"/>
  <c r="J34" i="80"/>
  <c r="J37" i="80"/>
  <c r="J32" i="80"/>
  <c r="J62" i="80"/>
  <c r="N20" i="75"/>
  <c r="L53" i="75"/>
  <c r="X54" i="75"/>
  <c r="Z54" i="75" s="1"/>
  <c r="N105" i="75"/>
  <c r="X17" i="76"/>
  <c r="Z17" i="76" s="1"/>
  <c r="X40" i="76"/>
  <c r="N56" i="77"/>
  <c r="N18" i="79"/>
  <c r="N53" i="75"/>
  <c r="N76" i="75"/>
  <c r="Z40" i="76"/>
  <c r="L15" i="74"/>
  <c r="N15" i="74" s="1"/>
  <c r="L19" i="74"/>
  <c r="N19" i="74" s="1"/>
  <c r="L23" i="74"/>
  <c r="L27" i="74"/>
  <c r="L31" i="74"/>
  <c r="L14" i="75"/>
  <c r="N14" i="75" s="1"/>
  <c r="X15" i="75"/>
  <c r="Z15" i="75" s="1"/>
  <c r="L28" i="75"/>
  <c r="N28" i="75" s="1"/>
  <c r="N89" i="75"/>
  <c r="L89" i="75"/>
  <c r="D12" i="77"/>
  <c r="L13" i="77"/>
  <c r="N92" i="77"/>
  <c r="L92" i="77"/>
  <c r="D68" i="79"/>
  <c r="F68" i="79" s="1"/>
  <c r="F64" i="79"/>
  <c r="X49" i="73"/>
  <c r="Z49" i="73" s="1"/>
  <c r="L55" i="73"/>
  <c r="L63" i="73"/>
  <c r="N63" i="73" s="1"/>
  <c r="L77" i="73"/>
  <c r="X54" i="74"/>
  <c r="Z54" i="74" s="1"/>
  <c r="X74" i="74"/>
  <c r="Z74" i="74" s="1"/>
  <c r="Z23" i="75"/>
  <c r="N25" i="75"/>
  <c r="Z31" i="75"/>
  <c r="L16" i="76"/>
  <c r="N16" i="76" s="1"/>
  <c r="Z21" i="76"/>
  <c r="L66" i="76"/>
  <c r="N66" i="76" s="1"/>
  <c r="N13" i="77"/>
  <c r="N17" i="77"/>
  <c r="N21" i="77"/>
  <c r="Z66" i="77"/>
  <c r="J92" i="77"/>
  <c r="H95" i="77"/>
  <c r="L95" i="77" s="1"/>
  <c r="Z18" i="79"/>
  <c r="X14" i="75"/>
  <c r="Z14" i="75" s="1"/>
  <c r="Z53" i="75"/>
  <c r="L69" i="75"/>
  <c r="Z83" i="75"/>
  <c r="Z14" i="76"/>
  <c r="Z51" i="76"/>
  <c r="L61" i="76"/>
  <c r="R77" i="77"/>
  <c r="R76" i="77"/>
  <c r="R68" i="77"/>
  <c r="R88" i="77"/>
  <c r="R87" i="77"/>
  <c r="R63" i="77"/>
  <c r="R59" i="77"/>
  <c r="R79" i="77"/>
  <c r="R78" i="77"/>
  <c r="R50" i="77"/>
  <c r="R46" i="77"/>
  <c r="R42" i="77"/>
  <c r="R90" i="77"/>
  <c r="R89" i="77"/>
  <c r="R69" i="77"/>
  <c r="R38" i="77"/>
  <c r="R81" i="77"/>
  <c r="R80" i="77"/>
  <c r="R64" i="77"/>
  <c r="R60" i="77"/>
  <c r="R98" i="77"/>
  <c r="R92" i="77"/>
  <c r="R91" i="77"/>
  <c r="R56" i="77"/>
  <c r="R51" i="77"/>
  <c r="R47" i="77"/>
  <c r="R43" i="77"/>
  <c r="R39" i="77"/>
  <c r="R97" i="77"/>
  <c r="R83" i="77"/>
  <c r="R82" i="77"/>
  <c r="R71" i="77"/>
  <c r="R70" i="77"/>
  <c r="R55" i="77"/>
  <c r="R96" i="77"/>
  <c r="R93" i="77"/>
  <c r="R66" i="77"/>
  <c r="R65" i="77"/>
  <c r="R61" i="77"/>
  <c r="R57" i="77"/>
  <c r="P53" i="77"/>
  <c r="R102" i="77"/>
  <c r="R95" i="77"/>
  <c r="R85" i="77"/>
  <c r="R84" i="77"/>
  <c r="R73" i="77"/>
  <c r="R72" i="77"/>
  <c r="R48" i="77"/>
  <c r="R44" i="77"/>
  <c r="R40" i="77"/>
  <c r="R49" i="77"/>
  <c r="R45" i="77"/>
  <c r="R41" i="77"/>
  <c r="N25" i="77"/>
  <c r="N29" i="77"/>
  <c r="Z75" i="77"/>
  <c r="R86" i="77"/>
  <c r="Z44" i="79"/>
  <c r="H12" i="83"/>
  <c r="D12" i="75"/>
  <c r="N16" i="75"/>
  <c r="X25" i="75"/>
  <c r="Z25" i="75" s="1"/>
  <c r="N69" i="75"/>
  <c r="N71" i="75"/>
  <c r="N20" i="76"/>
  <c r="Z30" i="76"/>
  <c r="N61" i="76"/>
  <c r="Z66" i="76"/>
  <c r="T12" i="77"/>
  <c r="X12" i="77" s="1"/>
  <c r="Z15" i="77"/>
  <c r="Z19" i="77"/>
  <c r="L54" i="76"/>
  <c r="N54" i="76" s="1"/>
  <c r="X15" i="77"/>
  <c r="X19" i="77"/>
  <c r="Z23" i="77"/>
  <c r="Z27" i="77"/>
  <c r="L98" i="77"/>
  <c r="N98" i="77" s="1"/>
  <c r="P72" i="80"/>
  <c r="N67" i="76"/>
  <c r="J40" i="77"/>
  <c r="J44" i="77"/>
  <c r="J48" i="77"/>
  <c r="H53" i="77"/>
  <c r="J66" i="77"/>
  <c r="J72" i="77"/>
  <c r="J84" i="77"/>
  <c r="Z90" i="77"/>
  <c r="J96" i="77"/>
  <c r="J102" i="77"/>
  <c r="V66" i="79"/>
  <c r="V58" i="79"/>
  <c r="V32" i="79"/>
  <c r="V28" i="79"/>
  <c r="V55" i="79"/>
  <c r="V47" i="79"/>
  <c r="V27" i="79"/>
  <c r="V23" i="79"/>
  <c r="V19" i="79"/>
  <c r="V46" i="79"/>
  <c r="V38" i="79"/>
  <c r="V49" i="79"/>
  <c r="V33" i="79"/>
  <c r="V29" i="79"/>
  <c r="V62" i="79"/>
  <c r="V52" i="79"/>
  <c r="V44" i="79"/>
  <c r="V36" i="79"/>
  <c r="V61" i="79"/>
  <c r="V30" i="79"/>
  <c r="J32" i="79"/>
  <c r="J46" i="79"/>
  <c r="V50" i="79"/>
  <c r="L54" i="79"/>
  <c r="N54" i="79" s="1"/>
  <c r="L61" i="79"/>
  <c r="N61" i="79" s="1"/>
  <c r="R28" i="81"/>
  <c r="Z38" i="81"/>
  <c r="Z40" i="81"/>
  <c r="R44" i="81"/>
  <c r="Z52" i="81"/>
  <c r="Z66" i="81"/>
  <c r="Z14" i="82"/>
  <c r="X14" i="82"/>
  <c r="D12" i="83"/>
  <c r="L13" i="83"/>
  <c r="N13" i="83" s="1"/>
  <c r="D12" i="84"/>
  <c r="L13" i="84"/>
  <c r="N13" i="84" s="1"/>
  <c r="Z48" i="84"/>
  <c r="H104" i="75"/>
  <c r="L104" i="75" s="1"/>
  <c r="J39" i="77"/>
  <c r="J43" i="77"/>
  <c r="J47" i="77"/>
  <c r="J51" i="77"/>
  <c r="J81" i="77"/>
  <c r="J91" i="77"/>
  <c r="J23" i="79"/>
  <c r="T25" i="79"/>
  <c r="V25" i="79" s="1"/>
  <c r="J54" i="79"/>
  <c r="R24" i="81"/>
  <c r="Z20" i="82"/>
  <c r="X20" i="82"/>
  <c r="V31" i="83"/>
  <c r="V17" i="83"/>
  <c r="V18" i="83"/>
  <c r="V24" i="83"/>
  <c r="V23" i="83"/>
  <c r="V19" i="83"/>
  <c r="T21" i="83"/>
  <c r="V27" i="83"/>
  <c r="V25" i="83"/>
  <c r="V75" i="84"/>
  <c r="V63" i="84"/>
  <c r="V65" i="84"/>
  <c r="V72" i="84"/>
  <c r="V68" i="84"/>
  <c r="V73" i="84"/>
  <c r="V69" i="84"/>
  <c r="V71" i="84"/>
  <c r="V61" i="84"/>
  <c r="V56" i="84"/>
  <c r="V44" i="84"/>
  <c r="V36" i="84"/>
  <c r="V32" i="84"/>
  <c r="Z12" i="84"/>
  <c r="V77" i="84"/>
  <c r="V55" i="84"/>
  <c r="V31" i="84"/>
  <c r="V27" i="84"/>
  <c r="V23" i="84"/>
  <c r="V74" i="84"/>
  <c r="V58" i="84"/>
  <c r="V46" i="84"/>
  <c r="V22" i="84"/>
  <c r="V20" i="84"/>
  <c r="V18" i="84"/>
  <c r="V57" i="84"/>
  <c r="V37" i="84"/>
  <c r="V33" i="84"/>
  <c r="T20" i="84"/>
  <c r="V66" i="84"/>
  <c r="V48" i="84"/>
  <c r="V28" i="84"/>
  <c r="V24" i="84"/>
  <c r="V59" i="84"/>
  <c r="V47" i="84"/>
  <c r="V39" i="84"/>
  <c r="V50" i="84"/>
  <c r="V38" i="84"/>
  <c r="V34" i="84"/>
  <c r="V49" i="84"/>
  <c r="V41" i="84"/>
  <c r="V29" i="84"/>
  <c r="V25" i="84"/>
  <c r="V78" i="84"/>
  <c r="V70" i="84"/>
  <c r="V60" i="84"/>
  <c r="V52" i="84"/>
  <c r="V40" i="84"/>
  <c r="V16" i="84"/>
  <c r="V84" i="84"/>
  <c r="V67" i="84"/>
  <c r="V64" i="84"/>
  <c r="V51" i="84"/>
  <c r="V43" i="84"/>
  <c r="V35" i="84"/>
  <c r="V62" i="84"/>
  <c r="V53" i="84"/>
  <c r="V45" i="84"/>
  <c r="V17" i="84"/>
  <c r="J38" i="77"/>
  <c r="J60" i="77"/>
  <c r="J64" i="77"/>
  <c r="J80" i="77"/>
  <c r="J90" i="77"/>
  <c r="T95" i="77"/>
  <c r="X95" i="77" s="1"/>
  <c r="F41" i="79"/>
  <c r="F40" i="79"/>
  <c r="F21" i="79"/>
  <c r="F52" i="79"/>
  <c r="F51" i="79"/>
  <c r="F43" i="79"/>
  <c r="F42" i="79"/>
  <c r="F35" i="79"/>
  <c r="F31" i="79"/>
  <c r="F22" i="79"/>
  <c r="F58" i="79"/>
  <c r="F33" i="79"/>
  <c r="F29" i="79"/>
  <c r="F28" i="79"/>
  <c r="F57" i="79"/>
  <c r="V21" i="79"/>
  <c r="V37" i="79"/>
  <c r="J39" i="79"/>
  <c r="V43" i="79"/>
  <c r="X49" i="79"/>
  <c r="L60" i="79"/>
  <c r="R20" i="80"/>
  <c r="L41" i="80"/>
  <c r="N41" i="80" s="1"/>
  <c r="Z22" i="81"/>
  <c r="R55" i="81"/>
  <c r="P16" i="82"/>
  <c r="R24" i="82"/>
  <c r="R29" i="82"/>
  <c r="R26" i="82"/>
  <c r="X12" i="82"/>
  <c r="V76" i="84"/>
  <c r="J69" i="77"/>
  <c r="J79" i="77"/>
  <c r="J89" i="77"/>
  <c r="N13" i="79"/>
  <c r="F20" i="79"/>
  <c r="J28" i="79"/>
  <c r="F45" i="79"/>
  <c r="X54" i="79"/>
  <c r="Z54" i="79" s="1"/>
  <c r="P57" i="79"/>
  <c r="F60" i="79"/>
  <c r="X61" i="79"/>
  <c r="Z61" i="79" s="1"/>
  <c r="D12" i="80"/>
  <c r="L13" i="80"/>
  <c r="N13" i="80" s="1"/>
  <c r="R35" i="81"/>
  <c r="Z55" i="81"/>
  <c r="X55" i="81"/>
  <c r="R22" i="82"/>
  <c r="H12" i="85"/>
  <c r="L16" i="85"/>
  <c r="N16" i="85" s="1"/>
  <c r="Z29" i="85"/>
  <c r="J42" i="77"/>
  <c r="J46" i="77"/>
  <c r="J50" i="77"/>
  <c r="J78" i="77"/>
  <c r="J88" i="77"/>
  <c r="Z49" i="79"/>
  <c r="J51" i="79"/>
  <c r="V54" i="79"/>
  <c r="T26" i="82"/>
  <c r="Z22" i="82"/>
  <c r="L16" i="77"/>
  <c r="L20" i="77"/>
  <c r="L24" i="77"/>
  <c r="N24" i="77" s="1"/>
  <c r="L28" i="77"/>
  <c r="N28" i="77" s="1"/>
  <c r="L32" i="77"/>
  <c r="N32" i="77" s="1"/>
  <c r="L36" i="77"/>
  <c r="J59" i="77"/>
  <c r="J63" i="77"/>
  <c r="J77" i="77"/>
  <c r="J87" i="77"/>
  <c r="F30" i="79"/>
  <c r="V31" i="79"/>
  <c r="V45" i="79"/>
  <c r="V48" i="79"/>
  <c r="F53" i="79"/>
  <c r="F59" i="79"/>
  <c r="J60" i="79"/>
  <c r="F66" i="79"/>
  <c r="R53" i="80"/>
  <c r="R17" i="80"/>
  <c r="R70" i="80"/>
  <c r="R37" i="80"/>
  <c r="R36" i="80"/>
  <c r="R32" i="80"/>
  <c r="R72" i="80"/>
  <c r="R59" i="80"/>
  <c r="R47" i="80"/>
  <c r="R27" i="80"/>
  <c r="R55" i="80"/>
  <c r="R54" i="80"/>
  <c r="R39" i="80"/>
  <c r="R38" i="80"/>
  <c r="R23" i="80"/>
  <c r="R18" i="80"/>
  <c r="R63" i="80"/>
  <c r="R62" i="80"/>
  <c r="R51" i="80"/>
  <c r="R50" i="80"/>
  <c r="R43" i="80"/>
  <c r="R42" i="80"/>
  <c r="R34" i="80"/>
  <c r="R57" i="80"/>
  <c r="R29" i="80"/>
  <c r="R25" i="80"/>
  <c r="R64" i="80"/>
  <c r="R52" i="80"/>
  <c r="R45" i="80"/>
  <c r="R44" i="80"/>
  <c r="D12" i="81"/>
  <c r="L13" i="81"/>
  <c r="N13" i="81" s="1"/>
  <c r="N43" i="84"/>
  <c r="X13" i="77"/>
  <c r="Z13" i="77" s="1"/>
  <c r="J68" i="77"/>
  <c r="J76" i="77"/>
  <c r="J22" i="79"/>
  <c r="J27" i="79"/>
  <c r="J30" i="79"/>
  <c r="F38" i="79"/>
  <c r="V39" i="79"/>
  <c r="J41" i="79"/>
  <c r="J47" i="79"/>
  <c r="F50" i="79"/>
  <c r="F55" i="79"/>
  <c r="N59" i="79"/>
  <c r="F62" i="79"/>
  <c r="T12" i="80"/>
  <c r="Z13" i="80"/>
  <c r="N31" i="80"/>
  <c r="Z43" i="80"/>
  <c r="X43" i="80"/>
  <c r="L61" i="80"/>
  <c r="N61" i="80" s="1"/>
  <c r="R18" i="82"/>
  <c r="N54" i="84"/>
  <c r="J41" i="77"/>
  <c r="J45" i="77"/>
  <c r="J49" i="77"/>
  <c r="J75" i="77"/>
  <c r="J52" i="79"/>
  <c r="J42" i="79"/>
  <c r="J43" i="79"/>
  <c r="J35" i="79"/>
  <c r="J31" i="79"/>
  <c r="J62" i="79"/>
  <c r="J44" i="79"/>
  <c r="J36" i="79"/>
  <c r="J61" i="79"/>
  <c r="J53" i="79"/>
  <c r="J45" i="79"/>
  <c r="J37" i="79"/>
  <c r="J48" i="79"/>
  <c r="H25" i="79"/>
  <c r="L25" i="79" s="1"/>
  <c r="J20" i="79"/>
  <c r="J38" i="79"/>
  <c r="V42" i="79"/>
  <c r="J50" i="79"/>
  <c r="V53" i="79"/>
  <c r="J55" i="79"/>
  <c r="H57" i="79"/>
  <c r="J59" i="79"/>
  <c r="T57" i="79"/>
  <c r="X60" i="79"/>
  <c r="Z60" i="79" s="1"/>
  <c r="R66" i="81"/>
  <c r="R65" i="81"/>
  <c r="R61" i="81"/>
  <c r="R46" i="81"/>
  <c r="R45" i="81"/>
  <c r="R17" i="81"/>
  <c r="R56" i="81"/>
  <c r="R36" i="81"/>
  <c r="R68" i="81"/>
  <c r="R67" i="81"/>
  <c r="R48" i="81"/>
  <c r="R47" i="81"/>
  <c r="R32" i="81"/>
  <c r="R31" i="81"/>
  <c r="R27" i="81"/>
  <c r="R62" i="81"/>
  <c r="R23" i="81"/>
  <c r="R18" i="81"/>
  <c r="R69" i="81"/>
  <c r="R57" i="81"/>
  <c r="R50" i="81"/>
  <c r="R49" i="81"/>
  <c r="R38" i="81"/>
  <c r="R37" i="81"/>
  <c r="R33" i="81"/>
  <c r="R22" i="81"/>
  <c r="R71" i="81"/>
  <c r="R63" i="81"/>
  <c r="R52" i="81"/>
  <c r="R51" i="81"/>
  <c r="R40" i="81"/>
  <c r="R39" i="81"/>
  <c r="R59" i="81"/>
  <c r="R58" i="81"/>
  <c r="R34" i="81"/>
  <c r="R75" i="81"/>
  <c r="R53" i="81"/>
  <c r="R42" i="81"/>
  <c r="R41" i="81"/>
  <c r="R29" i="81"/>
  <c r="R25" i="81"/>
  <c r="R64" i="81"/>
  <c r="R60" i="81"/>
  <c r="N40" i="81"/>
  <c r="N52" i="81"/>
  <c r="R54" i="81"/>
  <c r="Z18" i="82"/>
  <c r="X18" i="82"/>
  <c r="P12" i="83"/>
  <c r="X14" i="83"/>
  <c r="Z14" i="83" s="1"/>
  <c r="X43" i="84"/>
  <c r="Z43" i="84" s="1"/>
  <c r="N48" i="84"/>
  <c r="N26" i="85"/>
  <c r="L26" i="85"/>
  <c r="J58" i="77"/>
  <c r="J62" i="77"/>
  <c r="J74" i="77"/>
  <c r="J86" i="77"/>
  <c r="L12" i="79"/>
  <c r="N12" i="79" s="1"/>
  <c r="F19" i="79"/>
  <c r="F25" i="79"/>
  <c r="Z51" i="79"/>
  <c r="J58" i="79"/>
  <c r="V60" i="79"/>
  <c r="R22" i="80"/>
  <c r="R31" i="80"/>
  <c r="R33" i="80"/>
  <c r="R40" i="80"/>
  <c r="N49" i="80"/>
  <c r="L49" i="80"/>
  <c r="R61" i="80"/>
  <c r="T12" i="81"/>
  <c r="R30" i="81"/>
  <c r="N71" i="81"/>
  <c r="L71" i="81"/>
  <c r="V80" i="84"/>
  <c r="J67" i="77"/>
  <c r="J73" i="77"/>
  <c r="J85" i="77"/>
  <c r="P12" i="79"/>
  <c r="L18" i="79"/>
  <c r="J19" i="79"/>
  <c r="V22" i="79"/>
  <c r="J25" i="79"/>
  <c r="F32" i="79"/>
  <c r="V41" i="79"/>
  <c r="F46" i="79"/>
  <c r="V51" i="79"/>
  <c r="L58" i="79"/>
  <c r="R16" i="80"/>
  <c r="Z22" i="80"/>
  <c r="R24" i="80"/>
  <c r="R26" i="80"/>
  <c r="Z31" i="80"/>
  <c r="X31" i="80"/>
  <c r="R35" i="80"/>
  <c r="N37" i="80"/>
  <c r="Z61" i="80"/>
  <c r="R16" i="81"/>
  <c r="P20" i="81"/>
  <c r="Z46" i="81"/>
  <c r="R14" i="82"/>
  <c r="V54" i="84"/>
  <c r="Z58" i="84"/>
  <c r="Z17" i="85"/>
  <c r="X97" i="85"/>
  <c r="Z97" i="85" s="1"/>
  <c r="N23" i="86"/>
  <c r="L23" i="86"/>
  <c r="H20" i="81"/>
  <c r="J39" i="81"/>
  <c r="J51" i="81"/>
  <c r="J63" i="81"/>
  <c r="J71" i="81"/>
  <c r="V14" i="82"/>
  <c r="V16" i="82"/>
  <c r="V18" i="82"/>
  <c r="V20" i="82"/>
  <c r="V22" i="82"/>
  <c r="H20" i="84"/>
  <c r="J47" i="84"/>
  <c r="J59" i="84"/>
  <c r="Z19" i="85"/>
  <c r="X31" i="85"/>
  <c r="N92" i="85"/>
  <c r="J20" i="81"/>
  <c r="J22" i="81"/>
  <c r="J24" i="81"/>
  <c r="J28" i="81"/>
  <c r="J38" i="81"/>
  <c r="J50" i="81"/>
  <c r="J20" i="84"/>
  <c r="J22" i="84"/>
  <c r="J24" i="84"/>
  <c r="J28" i="84"/>
  <c r="J58" i="84"/>
  <c r="J66" i="84"/>
  <c r="J72" i="84"/>
  <c r="Z31" i="85"/>
  <c r="X58" i="85"/>
  <c r="X74" i="85"/>
  <c r="N80" i="85"/>
  <c r="Z86" i="85"/>
  <c r="X28" i="86"/>
  <c r="J23" i="81"/>
  <c r="J33" i="81"/>
  <c r="J37" i="81"/>
  <c r="J49" i="81"/>
  <c r="J57" i="81"/>
  <c r="J69" i="81"/>
  <c r="J23" i="84"/>
  <c r="J33" i="84"/>
  <c r="J37" i="84"/>
  <c r="J57" i="84"/>
  <c r="J63" i="84"/>
  <c r="P34" i="86"/>
  <c r="J18" i="81"/>
  <c r="J32" i="81"/>
  <c r="J48" i="81"/>
  <c r="J62" i="81"/>
  <c r="J68" i="81"/>
  <c r="D16" i="82"/>
  <c r="J67" i="84"/>
  <c r="J75" i="84"/>
  <c r="J76" i="84"/>
  <c r="J64" i="84"/>
  <c r="J65" i="84"/>
  <c r="J18" i="84"/>
  <c r="J32" i="84"/>
  <c r="J46" i="84"/>
  <c r="J56" i="84"/>
  <c r="L68" i="84"/>
  <c r="N68" i="84" s="1"/>
  <c r="J74" i="84"/>
  <c r="L77" i="84"/>
  <c r="D12" i="85"/>
  <c r="L18" i="85"/>
  <c r="N18" i="85" s="1"/>
  <c r="X21" i="85"/>
  <c r="Z21" i="85" s="1"/>
  <c r="Z26" i="85"/>
  <c r="N30" i="85"/>
  <c r="Z33" i="85"/>
  <c r="N57" i="85"/>
  <c r="Z58" i="85"/>
  <c r="Z74" i="85"/>
  <c r="N111" i="85"/>
  <c r="L20" i="86"/>
  <c r="N20" i="86" s="1"/>
  <c r="V28" i="86"/>
  <c r="J62" i="84"/>
  <c r="N77" i="84"/>
  <c r="P12" i="85"/>
  <c r="N67" i="85"/>
  <c r="N66" i="89"/>
  <c r="J66" i="89"/>
  <c r="X51" i="80"/>
  <c r="Z51" i="80" s="1"/>
  <c r="X63" i="80"/>
  <c r="Z63" i="80" s="1"/>
  <c r="X13" i="81"/>
  <c r="Z13" i="81" s="1"/>
  <c r="J36" i="81"/>
  <c r="J46" i="81"/>
  <c r="J56" i="81"/>
  <c r="X59" i="81"/>
  <c r="Z59" i="81" s="1"/>
  <c r="J66" i="81"/>
  <c r="H16" i="82"/>
  <c r="Z13" i="83"/>
  <c r="X13" i="84"/>
  <c r="J36" i="84"/>
  <c r="J44" i="84"/>
  <c r="J54" i="84"/>
  <c r="Z75" i="84"/>
  <c r="J77" i="84"/>
  <c r="Z28" i="85"/>
  <c r="N32" i="85"/>
  <c r="L67" i="85"/>
  <c r="J20" i="86"/>
  <c r="J17" i="81"/>
  <c r="J45" i="81"/>
  <c r="J55" i="81"/>
  <c r="J61" i="81"/>
  <c r="J65" i="81"/>
  <c r="J14" i="82"/>
  <c r="J16" i="82"/>
  <c r="J18" i="82"/>
  <c r="J20" i="82"/>
  <c r="Z13" i="84"/>
  <c r="J17" i="84"/>
  <c r="J43" i="84"/>
  <c r="J53" i="84"/>
  <c r="J61" i="84"/>
  <c r="J68" i="84"/>
  <c r="J71" i="84"/>
  <c r="X13" i="85"/>
  <c r="Z13" i="85" s="1"/>
  <c r="Z18" i="85"/>
  <c r="N22" i="85"/>
  <c r="Z57" i="85"/>
  <c r="J16" i="81"/>
  <c r="J26" i="81"/>
  <c r="J30" i="81"/>
  <c r="J44" i="81"/>
  <c r="J54" i="81"/>
  <c r="J16" i="84"/>
  <c r="J26" i="84"/>
  <c r="J30" i="84"/>
  <c r="J42" i="84"/>
  <c r="J52" i="84"/>
  <c r="Z77" i="84"/>
  <c r="J80" i="84"/>
  <c r="X15" i="85"/>
  <c r="Z25" i="85"/>
  <c r="J35" i="81"/>
  <c r="J43" i="81"/>
  <c r="V24" i="82"/>
  <c r="V26" i="82"/>
  <c r="J35" i="84"/>
  <c r="J41" i="84"/>
  <c r="J51" i="84"/>
  <c r="X68" i="84"/>
  <c r="Z68" i="84" s="1"/>
  <c r="Z15" i="85"/>
  <c r="D87" i="92"/>
  <c r="J42" i="81"/>
  <c r="J60" i="81"/>
  <c r="J40" i="84"/>
  <c r="J50" i="84"/>
  <c r="J60" i="84"/>
  <c r="Z62" i="84"/>
  <c r="J70" i="84"/>
  <c r="J73" i="84"/>
  <c r="J84" i="84"/>
  <c r="T12" i="85"/>
  <c r="N14" i="85"/>
  <c r="X27" i="85"/>
  <c r="R28" i="86"/>
  <c r="V26" i="88"/>
  <c r="R28" i="88"/>
  <c r="V33" i="88"/>
  <c r="R35" i="88"/>
  <c r="V40" i="88"/>
  <c r="V49" i="88"/>
  <c r="R55" i="88"/>
  <c r="V77" i="88"/>
  <c r="X40" i="89"/>
  <c r="Z40" i="89" s="1"/>
  <c r="L66" i="89"/>
  <c r="X42" i="92"/>
  <c r="Z42" i="92" s="1"/>
  <c r="Z18" i="99"/>
  <c r="T41" i="99"/>
  <c r="X20" i="88"/>
  <c r="P82" i="88"/>
  <c r="Z80" i="92"/>
  <c r="Z101" i="85"/>
  <c r="R26" i="86"/>
  <c r="R69" i="88"/>
  <c r="R46" i="88"/>
  <c r="R45" i="88"/>
  <c r="R17" i="88"/>
  <c r="R77" i="88"/>
  <c r="R76" i="88"/>
  <c r="R65" i="88"/>
  <c r="R64" i="88"/>
  <c r="R57" i="88"/>
  <c r="R56" i="88"/>
  <c r="R37" i="88"/>
  <c r="R36" i="88"/>
  <c r="X12" i="88"/>
  <c r="R48" i="88"/>
  <c r="R47" i="88"/>
  <c r="R32" i="88"/>
  <c r="R31" i="88"/>
  <c r="R27" i="88"/>
  <c r="R78" i="88"/>
  <c r="R70" i="88"/>
  <c r="R66" i="88"/>
  <c r="R59" i="88"/>
  <c r="R58" i="88"/>
  <c r="R82" i="88"/>
  <c r="R80" i="88"/>
  <c r="R50" i="88"/>
  <c r="R49" i="88"/>
  <c r="R60" i="88"/>
  <c r="R71" i="88"/>
  <c r="R67" i="88"/>
  <c r="R52" i="88"/>
  <c r="R51" i="88"/>
  <c r="R84" i="88"/>
  <c r="R43" i="88"/>
  <c r="R42" i="88"/>
  <c r="R34" i="88"/>
  <c r="R61" i="88"/>
  <c r="R54" i="88"/>
  <c r="R53" i="88"/>
  <c r="R29" i="88"/>
  <c r="R25" i="88"/>
  <c r="R73" i="88"/>
  <c r="R72" i="88"/>
  <c r="R68" i="88"/>
  <c r="R44" i="88"/>
  <c r="R20" i="88"/>
  <c r="L52" i="88"/>
  <c r="N52" i="88" s="1"/>
  <c r="V57" i="88"/>
  <c r="R62" i="88"/>
  <c r="V65" i="88"/>
  <c r="R38" i="89"/>
  <c r="F45" i="89"/>
  <c r="F53" i="89"/>
  <c r="N57" i="89"/>
  <c r="Z111" i="85"/>
  <c r="N15" i="86"/>
  <c r="R20" i="86"/>
  <c r="X23" i="86"/>
  <c r="V17" i="88"/>
  <c r="T20" i="88"/>
  <c r="R23" i="88"/>
  <c r="V37" i="88"/>
  <c r="J52" i="88"/>
  <c r="V62" i="88"/>
  <c r="F67" i="89"/>
  <c r="F66" i="89"/>
  <c r="F55" i="89"/>
  <c r="F54" i="89"/>
  <c r="F47" i="89"/>
  <c r="F46" i="89"/>
  <c r="F31" i="89"/>
  <c r="F27" i="89"/>
  <c r="F18" i="89"/>
  <c r="F61" i="89"/>
  <c r="F49" i="89"/>
  <c r="F48" i="89"/>
  <c r="F37" i="89"/>
  <c r="F33" i="89"/>
  <c r="F32" i="89"/>
  <c r="F69" i="89"/>
  <c r="F56" i="89"/>
  <c r="F28" i="89"/>
  <c r="F24" i="89"/>
  <c r="F23" i="89"/>
  <c r="F73" i="89"/>
  <c r="F51" i="89"/>
  <c r="F50" i="89"/>
  <c r="F39" i="89"/>
  <c r="F38" i="89"/>
  <c r="F22" i="89"/>
  <c r="F62" i="89"/>
  <c r="F58" i="89"/>
  <c r="F57" i="89"/>
  <c r="F34" i="89"/>
  <c r="D20" i="89"/>
  <c r="F20" i="89" s="1"/>
  <c r="F41" i="89"/>
  <c r="F40" i="89"/>
  <c r="F29" i="89"/>
  <c r="F25" i="89"/>
  <c r="F52" i="89"/>
  <c r="F63" i="89"/>
  <c r="F59" i="89"/>
  <c r="F43" i="89"/>
  <c r="F42" i="89"/>
  <c r="F35" i="89"/>
  <c r="F30" i="89"/>
  <c r="F26" i="89"/>
  <c r="F16" i="89"/>
  <c r="X57" i="89"/>
  <c r="L116" i="85"/>
  <c r="D12" i="88"/>
  <c r="L13" i="88"/>
  <c r="N13" i="88" s="1"/>
  <c r="R39" i="88"/>
  <c r="N41" i="88"/>
  <c r="Z46" i="88"/>
  <c r="X46" i="88"/>
  <c r="J48" i="89"/>
  <c r="J32" i="89"/>
  <c r="J18" i="89"/>
  <c r="J69" i="89"/>
  <c r="J61" i="89"/>
  <c r="J49" i="89"/>
  <c r="J37" i="89"/>
  <c r="J33" i="89"/>
  <c r="J23" i="89"/>
  <c r="J56" i="89"/>
  <c r="J50" i="89"/>
  <c r="J38" i="89"/>
  <c r="J28" i="89"/>
  <c r="J24" i="89"/>
  <c r="J22" i="89"/>
  <c r="J20" i="89"/>
  <c r="J73" i="89"/>
  <c r="J57" i="89"/>
  <c r="J51" i="89"/>
  <c r="J39" i="89"/>
  <c r="H20" i="89"/>
  <c r="J62" i="89"/>
  <c r="J58" i="89"/>
  <c r="J40" i="89"/>
  <c r="J34" i="89"/>
  <c r="J41" i="89"/>
  <c r="J29" i="89"/>
  <c r="J25" i="89"/>
  <c r="J52" i="89"/>
  <c r="J42" i="89"/>
  <c r="J63" i="89"/>
  <c r="J59" i="89"/>
  <c r="J43" i="89"/>
  <c r="J35" i="89"/>
  <c r="J64" i="89"/>
  <c r="J44" i="89"/>
  <c r="J30" i="89"/>
  <c r="J26" i="89"/>
  <c r="J16" i="89"/>
  <c r="J65" i="89"/>
  <c r="J53" i="89"/>
  <c r="J45" i="89"/>
  <c r="J17" i="89"/>
  <c r="F60" i="89"/>
  <c r="R25" i="86"/>
  <c r="R24" i="86"/>
  <c r="X12" i="86"/>
  <c r="R32" i="86"/>
  <c r="R15" i="86"/>
  <c r="R34" i="86"/>
  <c r="R21" i="86"/>
  <c r="R16" i="86"/>
  <c r="R30" i="86"/>
  <c r="L16" i="88"/>
  <c r="R73" i="89"/>
  <c r="R51" i="89"/>
  <c r="R40" i="89"/>
  <c r="R39" i="89"/>
  <c r="R62" i="89"/>
  <c r="R58" i="89"/>
  <c r="R34" i="89"/>
  <c r="R42" i="89"/>
  <c r="R41" i="89"/>
  <c r="R29" i="89"/>
  <c r="R25" i="89"/>
  <c r="R52" i="89"/>
  <c r="R64" i="89"/>
  <c r="R63" i="89"/>
  <c r="R59" i="89"/>
  <c r="R44" i="89"/>
  <c r="R43" i="89"/>
  <c r="R35" i="89"/>
  <c r="R16" i="89"/>
  <c r="R30" i="89"/>
  <c r="R26" i="89"/>
  <c r="R66" i="89"/>
  <c r="R65" i="89"/>
  <c r="R54" i="89"/>
  <c r="R53" i="89"/>
  <c r="R46" i="89"/>
  <c r="R45" i="89"/>
  <c r="R17" i="89"/>
  <c r="R60" i="89"/>
  <c r="R36" i="89"/>
  <c r="R67" i="89"/>
  <c r="R55" i="89"/>
  <c r="R48" i="89"/>
  <c r="R47" i="89"/>
  <c r="R32" i="89"/>
  <c r="R31" i="89"/>
  <c r="R27" i="89"/>
  <c r="R69" i="89"/>
  <c r="R23" i="89"/>
  <c r="R18" i="89"/>
  <c r="P20" i="89"/>
  <c r="R28" i="89"/>
  <c r="R49" i="89"/>
  <c r="Z57" i="89"/>
  <c r="J60" i="89"/>
  <c r="J67" i="89"/>
  <c r="V24" i="86"/>
  <c r="Z12" i="86"/>
  <c r="V32" i="86"/>
  <c r="V21" i="86"/>
  <c r="V20" i="86"/>
  <c r="V18" i="86"/>
  <c r="V16" i="86"/>
  <c r="V23" i="86"/>
  <c r="T18" i="86"/>
  <c r="H30" i="86"/>
  <c r="L21" i="86"/>
  <c r="N21" i="86" s="1"/>
  <c r="R41" i="88"/>
  <c r="T12" i="89"/>
  <c r="Z16" i="89"/>
  <c r="R20" i="89"/>
  <c r="J18" i="86"/>
  <c r="V22" i="86"/>
  <c r="V76" i="88"/>
  <c r="V64" i="88"/>
  <c r="V56" i="88"/>
  <c r="V48" i="88"/>
  <c r="V36" i="88"/>
  <c r="V32" i="88"/>
  <c r="Z12" i="88"/>
  <c r="V59" i="88"/>
  <c r="V47" i="88"/>
  <c r="V39" i="88"/>
  <c r="V31" i="88"/>
  <c r="V27" i="88"/>
  <c r="V23" i="88"/>
  <c r="V80" i="88"/>
  <c r="V78" i="88"/>
  <c r="V70" i="88"/>
  <c r="V66" i="88"/>
  <c r="V58" i="88"/>
  <c r="V50" i="88"/>
  <c r="V38" i="88"/>
  <c r="V22" i="88"/>
  <c r="V20" i="88"/>
  <c r="V18" i="88"/>
  <c r="V60" i="88"/>
  <c r="V52" i="88"/>
  <c r="V71" i="88"/>
  <c r="V67" i="88"/>
  <c r="V51" i="88"/>
  <c r="V84" i="88"/>
  <c r="V54" i="88"/>
  <c r="V42" i="88"/>
  <c r="V34" i="88"/>
  <c r="V73" i="88"/>
  <c r="V61" i="88"/>
  <c r="V53" i="88"/>
  <c r="V29" i="88"/>
  <c r="V25" i="88"/>
  <c r="V72" i="88"/>
  <c r="V68" i="88"/>
  <c r="V44" i="88"/>
  <c r="V16" i="88"/>
  <c r="V75" i="88"/>
  <c r="V63" i="88"/>
  <c r="V55" i="88"/>
  <c r="V35" i="88"/>
  <c r="N16" i="88"/>
  <c r="J16" i="88"/>
  <c r="X13" i="89"/>
  <c r="Z13" i="89" s="1"/>
  <c r="L54" i="89"/>
  <c r="N54" i="89" s="1"/>
  <c r="F65" i="89"/>
  <c r="X16" i="92"/>
  <c r="F65" i="94"/>
  <c r="F58" i="94"/>
  <c r="F59" i="94"/>
  <c r="F47" i="94"/>
  <c r="F46" i="94"/>
  <c r="F31" i="94"/>
  <c r="F27" i="94"/>
  <c r="F49" i="94"/>
  <c r="F48" i="94"/>
  <c r="F37" i="94"/>
  <c r="F33" i="94"/>
  <c r="F32" i="94"/>
  <c r="F44" i="94"/>
  <c r="F39" i="94"/>
  <c r="F17" i="94"/>
  <c r="F16" i="94"/>
  <c r="F61" i="94"/>
  <c r="F35" i="94"/>
  <c r="L12" i="94"/>
  <c r="F56" i="94"/>
  <c r="F53" i="94"/>
  <c r="F45" i="94"/>
  <c r="F26" i="94"/>
  <c r="F40" i="94"/>
  <c r="F29" i="94"/>
  <c r="F18" i="94"/>
  <c r="F62" i="94"/>
  <c r="F50" i="94"/>
  <c r="F36" i="94"/>
  <c r="F41" i="94"/>
  <c r="F24" i="94"/>
  <c r="F23" i="94"/>
  <c r="F22" i="94"/>
  <c r="F69" i="94"/>
  <c r="F57" i="94"/>
  <c r="F54" i="94"/>
  <c r="F30" i="94"/>
  <c r="D20" i="94"/>
  <c r="F51" i="94"/>
  <c r="F42" i="94"/>
  <c r="F34" i="94"/>
  <c r="F38" i="94"/>
  <c r="F28" i="94"/>
  <c r="F64" i="94"/>
  <c r="F25" i="94"/>
  <c r="F55" i="94"/>
  <c r="F60" i="94"/>
  <c r="F52" i="94"/>
  <c r="F43" i="94"/>
  <c r="D12" i="86"/>
  <c r="L13" i="86"/>
  <c r="X18" i="86"/>
  <c r="Z25" i="86"/>
  <c r="X75" i="88"/>
  <c r="J69" i="94"/>
  <c r="J51" i="94"/>
  <c r="J53" i="94"/>
  <c r="J54" i="94"/>
  <c r="J48" i="94"/>
  <c r="J32" i="94"/>
  <c r="J60" i="94"/>
  <c r="J56" i="94"/>
  <c r="J38" i="94"/>
  <c r="J28" i="94"/>
  <c r="J24" i="94"/>
  <c r="J49" i="94"/>
  <c r="J35" i="94"/>
  <c r="N12" i="94"/>
  <c r="J45" i="94"/>
  <c r="J40" i="94"/>
  <c r="J26" i="94"/>
  <c r="J29" i="94"/>
  <c r="J18" i="94"/>
  <c r="J62" i="94"/>
  <c r="J50" i="94"/>
  <c r="J46" i="94"/>
  <c r="J36" i="94"/>
  <c r="J23" i="94"/>
  <c r="J59" i="94"/>
  <c r="J41" i="94"/>
  <c r="J33" i="94"/>
  <c r="J22" i="94"/>
  <c r="J20" i="94"/>
  <c r="H20" i="94"/>
  <c r="J57" i="94"/>
  <c r="J47" i="94"/>
  <c r="J42" i="94"/>
  <c r="J30" i="94"/>
  <c r="J27" i="94"/>
  <c r="J37" i="94"/>
  <c r="J34" i="94"/>
  <c r="J64" i="94"/>
  <c r="J55" i="94"/>
  <c r="J52" i="94"/>
  <c r="J43" i="94"/>
  <c r="J25" i="94"/>
  <c r="J44" i="94"/>
  <c r="J58" i="94"/>
  <c r="J17" i="94"/>
  <c r="J39" i="94"/>
  <c r="J65" i="94"/>
  <c r="J16" i="94"/>
  <c r="N16" i="94"/>
  <c r="L16" i="94"/>
  <c r="N101" i="85"/>
  <c r="N13" i="86"/>
  <c r="R18" i="86"/>
  <c r="V25" i="86"/>
  <c r="Z13" i="88"/>
  <c r="R16" i="88"/>
  <c r="Z22" i="88"/>
  <c r="R24" i="88"/>
  <c r="V45" i="88"/>
  <c r="V69" i="88"/>
  <c r="R75" i="88"/>
  <c r="R24" i="89"/>
  <c r="F44" i="89"/>
  <c r="J54" i="89"/>
  <c r="T87" i="92"/>
  <c r="N46" i="92"/>
  <c r="Z72" i="92"/>
  <c r="X63" i="88"/>
  <c r="Z63" i="88" s="1"/>
  <c r="Z75" i="88"/>
  <c r="Z77" i="88"/>
  <c r="H20" i="88"/>
  <c r="J41" i="88"/>
  <c r="J51" i="88"/>
  <c r="J67" i="88"/>
  <c r="J71" i="88"/>
  <c r="F14" i="92"/>
  <c r="F16" i="92"/>
  <c r="F18" i="92"/>
  <c r="V26" i="92"/>
  <c r="J30" i="92"/>
  <c r="R31" i="92"/>
  <c r="J34" i="92"/>
  <c r="R35" i="92"/>
  <c r="R36" i="92"/>
  <c r="F45" i="92"/>
  <c r="R47" i="92"/>
  <c r="V48" i="92"/>
  <c r="J55" i="92"/>
  <c r="N58" i="92"/>
  <c r="J63" i="92"/>
  <c r="H83" i="92"/>
  <c r="F87" i="92"/>
  <c r="V33" i="93"/>
  <c r="J53" i="93"/>
  <c r="X40" i="94"/>
  <c r="T75" i="95"/>
  <c r="V20" i="95"/>
  <c r="L54" i="96"/>
  <c r="N54" i="96" s="1"/>
  <c r="J28" i="86"/>
  <c r="J30" i="86"/>
  <c r="J20" i="88"/>
  <c r="J22" i="88"/>
  <c r="J24" i="88"/>
  <c r="J28" i="88"/>
  <c r="J40" i="88"/>
  <c r="J50" i="88"/>
  <c r="J60" i="88"/>
  <c r="J80" i="88"/>
  <c r="H16" i="92"/>
  <c r="L16" i="92" s="1"/>
  <c r="F19" i="92"/>
  <c r="F20" i="92"/>
  <c r="F24" i="92"/>
  <c r="F28" i="92"/>
  <c r="J29" i="92"/>
  <c r="V35" i="92"/>
  <c r="Z36" i="92"/>
  <c r="R40" i="92"/>
  <c r="F44" i="92"/>
  <c r="J45" i="92"/>
  <c r="V47" i="92"/>
  <c r="N50" i="92"/>
  <c r="V52" i="92"/>
  <c r="L54" i="92"/>
  <c r="J58" i="92"/>
  <c r="V59" i="92"/>
  <c r="F73" i="92"/>
  <c r="F81" i="92"/>
  <c r="J84" i="92"/>
  <c r="R94" i="92"/>
  <c r="R57" i="93"/>
  <c r="L60" i="93"/>
  <c r="T67" i="94"/>
  <c r="Z23" i="94"/>
  <c r="Z40" i="94"/>
  <c r="R45" i="94"/>
  <c r="L41" i="95"/>
  <c r="N41" i="95" s="1"/>
  <c r="X73" i="95"/>
  <c r="R73" i="95"/>
  <c r="D87" i="96"/>
  <c r="J23" i="88"/>
  <c r="J33" i="88"/>
  <c r="J39" i="88"/>
  <c r="J49" i="88"/>
  <c r="J59" i="88"/>
  <c r="J14" i="92"/>
  <c r="J16" i="92"/>
  <c r="J18" i="92"/>
  <c r="J20" i="92"/>
  <c r="R21" i="92"/>
  <c r="J24" i="92"/>
  <c r="R25" i="92"/>
  <c r="J28" i="92"/>
  <c r="F33" i="92"/>
  <c r="V36" i="92"/>
  <c r="J39" i="92"/>
  <c r="V40" i="92"/>
  <c r="J50" i="92"/>
  <c r="V51" i="92"/>
  <c r="F54" i="92"/>
  <c r="V55" i="92"/>
  <c r="L58" i="92"/>
  <c r="R61" i="92"/>
  <c r="F65" i="92"/>
  <c r="J73" i="92"/>
  <c r="J81" i="92"/>
  <c r="L84" i="92"/>
  <c r="N84" i="92" s="1"/>
  <c r="J87" i="92"/>
  <c r="N49" i="93"/>
  <c r="V57" i="93"/>
  <c r="F60" i="93"/>
  <c r="R62" i="93"/>
  <c r="Z16" i="94"/>
  <c r="V20" i="94"/>
  <c r="R26" i="94"/>
  <c r="J41" i="95"/>
  <c r="L52" i="96"/>
  <c r="F52" i="96"/>
  <c r="J26" i="86"/>
  <c r="J18" i="88"/>
  <c r="J32" i="88"/>
  <c r="J38" i="88"/>
  <c r="J48" i="88"/>
  <c r="J58" i="88"/>
  <c r="J66" i="88"/>
  <c r="J70" i="88"/>
  <c r="J78" i="88"/>
  <c r="F89" i="92"/>
  <c r="F84" i="92"/>
  <c r="F75" i="92"/>
  <c r="F74" i="92"/>
  <c r="F63" i="92"/>
  <c r="F59" i="92"/>
  <c r="F58" i="92"/>
  <c r="F51" i="92"/>
  <c r="F50" i="92"/>
  <c r="F83" i="92"/>
  <c r="F77" i="92"/>
  <c r="F76" i="92"/>
  <c r="F94" i="92"/>
  <c r="F91" i="92"/>
  <c r="F78" i="92"/>
  <c r="F70" i="92"/>
  <c r="F66" i="92"/>
  <c r="F61" i="92"/>
  <c r="F79" i="92"/>
  <c r="F71" i="92"/>
  <c r="F67" i="92"/>
  <c r="F47" i="92"/>
  <c r="F46" i="92"/>
  <c r="F39" i="92"/>
  <c r="F38" i="92"/>
  <c r="J19" i="92"/>
  <c r="R30" i="92"/>
  <c r="J33" i="92"/>
  <c r="R34" i="92"/>
  <c r="F43" i="92"/>
  <c r="J44" i="92"/>
  <c r="R46" i="92"/>
  <c r="F49" i="92"/>
  <c r="N54" i="92"/>
  <c r="F57" i="92"/>
  <c r="J75" i="92"/>
  <c r="T75" i="93"/>
  <c r="N60" i="93"/>
  <c r="T12" i="96"/>
  <c r="H20" i="96"/>
  <c r="L20" i="96" s="1"/>
  <c r="J77" i="88"/>
  <c r="J76" i="92"/>
  <c r="J64" i="92"/>
  <c r="J52" i="92"/>
  <c r="J94" i="92"/>
  <c r="J91" i="92"/>
  <c r="J77" i="92"/>
  <c r="J69" i="92"/>
  <c r="J65" i="92"/>
  <c r="J53" i="92"/>
  <c r="J78" i="92"/>
  <c r="J70" i="92"/>
  <c r="J61" i="92"/>
  <c r="J79" i="92"/>
  <c r="J71" i="92"/>
  <c r="J67" i="92"/>
  <c r="J80" i="92"/>
  <c r="J72" i="92"/>
  <c r="J62" i="92"/>
  <c r="J48" i="92"/>
  <c r="F23" i="92"/>
  <c r="F27" i="92"/>
  <c r="J38" i="92"/>
  <c r="F42" i="92"/>
  <c r="J43" i="92"/>
  <c r="R45" i="92"/>
  <c r="J49" i="92"/>
  <c r="J54" i="92"/>
  <c r="J57" i="92"/>
  <c r="R58" i="92"/>
  <c r="F60" i="92"/>
  <c r="N12" i="93"/>
  <c r="V20" i="93"/>
  <c r="F41" i="93"/>
  <c r="N43" i="93"/>
  <c r="N47" i="93"/>
  <c r="X49" i="93"/>
  <c r="Z49" i="93" s="1"/>
  <c r="J65" i="93"/>
  <c r="N73" i="93"/>
  <c r="L73" i="93"/>
  <c r="N22" i="94"/>
  <c r="L32" i="95"/>
  <c r="N32" i="95" s="1"/>
  <c r="X68" i="95"/>
  <c r="Z68" i="95" s="1"/>
  <c r="X13" i="96"/>
  <c r="Z13" i="96" s="1"/>
  <c r="J46" i="88"/>
  <c r="J64" i="88"/>
  <c r="J76" i="88"/>
  <c r="L12" i="92"/>
  <c r="R20" i="92"/>
  <c r="J23" i="92"/>
  <c r="R24" i="92"/>
  <c r="J27" i="92"/>
  <c r="R28" i="92"/>
  <c r="R29" i="92"/>
  <c r="F32" i="92"/>
  <c r="F37" i="92"/>
  <c r="L38" i="92"/>
  <c r="N38" i="92" s="1"/>
  <c r="R39" i="92"/>
  <c r="V45" i="92"/>
  <c r="V46" i="92"/>
  <c r="F48" i="92"/>
  <c r="R50" i="92"/>
  <c r="F53" i="92"/>
  <c r="J60" i="92"/>
  <c r="R65" i="92"/>
  <c r="R67" i="92"/>
  <c r="R69" i="92"/>
  <c r="R49" i="93"/>
  <c r="R48" i="93"/>
  <c r="R28" i="93"/>
  <c r="R24" i="93"/>
  <c r="P20" i="93"/>
  <c r="R68" i="93"/>
  <c r="R67" i="93"/>
  <c r="R63" i="93"/>
  <c r="R58" i="93"/>
  <c r="R51" i="93"/>
  <c r="R50" i="93"/>
  <c r="R39" i="93"/>
  <c r="R38" i="93"/>
  <c r="R34" i="93"/>
  <c r="R70" i="93"/>
  <c r="R69" i="93"/>
  <c r="R29" i="93"/>
  <c r="R25" i="93"/>
  <c r="R64" i="93"/>
  <c r="R52" i="93"/>
  <c r="R41" i="93"/>
  <c r="R40" i="93"/>
  <c r="R71" i="93"/>
  <c r="R60" i="93"/>
  <c r="R59" i="93"/>
  <c r="R35" i="93"/>
  <c r="R73" i="93"/>
  <c r="R43" i="93"/>
  <c r="R42" i="93"/>
  <c r="R30" i="93"/>
  <c r="R26" i="93"/>
  <c r="R65" i="93"/>
  <c r="R61" i="93"/>
  <c r="R54" i="93"/>
  <c r="R53" i="93"/>
  <c r="R45" i="93"/>
  <c r="R44" i="93"/>
  <c r="R36" i="93"/>
  <c r="R17" i="93"/>
  <c r="X12" i="93"/>
  <c r="Z12" i="93" s="1"/>
  <c r="R77" i="93"/>
  <c r="R56" i="93"/>
  <c r="R55" i="93"/>
  <c r="R32" i="93"/>
  <c r="R31" i="93"/>
  <c r="R27" i="93"/>
  <c r="N41" i="93"/>
  <c r="J43" i="93"/>
  <c r="Z60" i="93"/>
  <c r="J73" i="93"/>
  <c r="N48" i="94"/>
  <c r="V68" i="95"/>
  <c r="L40" i="89"/>
  <c r="N40" i="89" s="1"/>
  <c r="X46" i="89"/>
  <c r="X54" i="89"/>
  <c r="Z54" i="89" s="1"/>
  <c r="X66" i="89"/>
  <c r="N12" i="92"/>
  <c r="J32" i="92"/>
  <c r="R33" i="92"/>
  <c r="F36" i="92"/>
  <c r="J37" i="92"/>
  <c r="V39" i="92"/>
  <c r="F41" i="92"/>
  <c r="J42" i="92"/>
  <c r="R54" i="92"/>
  <c r="F56" i="92"/>
  <c r="V58" i="92"/>
  <c r="F62" i="92"/>
  <c r="F64" i="92"/>
  <c r="V65" i="92"/>
  <c r="V69" i="92"/>
  <c r="L85" i="92"/>
  <c r="V67" i="93"/>
  <c r="V63" i="93"/>
  <c r="V51" i="93"/>
  <c r="V39" i="93"/>
  <c r="V70" i="93"/>
  <c r="V58" i="93"/>
  <c r="V50" i="93"/>
  <c r="V38" i="93"/>
  <c r="V34" i="93"/>
  <c r="V69" i="93"/>
  <c r="V41" i="93"/>
  <c r="V29" i="93"/>
  <c r="V25" i="93"/>
  <c r="V64" i="93"/>
  <c r="V60" i="93"/>
  <c r="V52" i="93"/>
  <c r="V40" i="93"/>
  <c r="V75" i="93"/>
  <c r="V73" i="93"/>
  <c r="V71" i="93"/>
  <c r="V59" i="93"/>
  <c r="V43" i="93"/>
  <c r="V35" i="93"/>
  <c r="V54" i="93"/>
  <c r="V42" i="93"/>
  <c r="V30" i="93"/>
  <c r="V26" i="93"/>
  <c r="V65" i="93"/>
  <c r="V61" i="93"/>
  <c r="V53" i="93"/>
  <c r="V45" i="93"/>
  <c r="V17" i="93"/>
  <c r="V56" i="93"/>
  <c r="V44" i="93"/>
  <c r="V36" i="93"/>
  <c r="V32" i="93"/>
  <c r="V77" i="93"/>
  <c r="V55" i="93"/>
  <c r="V47" i="93"/>
  <c r="V31" i="93"/>
  <c r="V27" i="93"/>
  <c r="V23" i="93"/>
  <c r="V66" i="93"/>
  <c r="V62" i="93"/>
  <c r="V46" i="93"/>
  <c r="Z14" i="93"/>
  <c r="Z17" i="93"/>
  <c r="F30" i="93"/>
  <c r="R37" i="93"/>
  <c r="R47" i="93"/>
  <c r="X22" i="94"/>
  <c r="Z22" i="94" s="1"/>
  <c r="Z32" i="94"/>
  <c r="L44" i="94"/>
  <c r="N44" i="94" s="1"/>
  <c r="X41" i="88"/>
  <c r="Z41" i="88" s="1"/>
  <c r="J62" i="88"/>
  <c r="L63" i="88"/>
  <c r="J74" i="88"/>
  <c r="L13" i="89"/>
  <c r="R55" i="92"/>
  <c r="R78" i="92"/>
  <c r="R70" i="92"/>
  <c r="R66" i="92"/>
  <c r="R80" i="92"/>
  <c r="R79" i="92"/>
  <c r="R72" i="92"/>
  <c r="R71" i="92"/>
  <c r="R87" i="92"/>
  <c r="R85" i="92"/>
  <c r="R62" i="92"/>
  <c r="R84" i="92"/>
  <c r="R81" i="92"/>
  <c r="R74" i="92"/>
  <c r="R73" i="92"/>
  <c r="R83" i="92"/>
  <c r="R68" i="92"/>
  <c r="R89" i="92"/>
  <c r="R76" i="92"/>
  <c r="R75" i="92"/>
  <c r="R64" i="92"/>
  <c r="R63" i="92"/>
  <c r="R59" i="92"/>
  <c r="R52" i="92"/>
  <c r="R51" i="92"/>
  <c r="R19" i="92"/>
  <c r="F22" i="92"/>
  <c r="F26" i="92"/>
  <c r="V33" i="92"/>
  <c r="J41" i="92"/>
  <c r="R43" i="92"/>
  <c r="R44" i="92"/>
  <c r="R49" i="92"/>
  <c r="V50" i="92"/>
  <c r="F52" i="92"/>
  <c r="J56" i="92"/>
  <c r="R57" i="92"/>
  <c r="L72" i="92"/>
  <c r="L80" i="92"/>
  <c r="J83" i="92"/>
  <c r="F85" i="92"/>
  <c r="X22" i="93"/>
  <c r="V37" i="93"/>
  <c r="Z47" i="93"/>
  <c r="J54" i="93"/>
  <c r="R55" i="94"/>
  <c r="R54" i="94"/>
  <c r="R40" i="94"/>
  <c r="R39" i="94"/>
  <c r="R64" i="94"/>
  <c r="R57" i="94"/>
  <c r="R42" i="94"/>
  <c r="R41" i="94"/>
  <c r="R29" i="94"/>
  <c r="R25" i="94"/>
  <c r="R56" i="94"/>
  <c r="R53" i="94"/>
  <c r="R50" i="94"/>
  <c r="R36" i="94"/>
  <c r="R22" i="94"/>
  <c r="R20" i="94"/>
  <c r="R62" i="94"/>
  <c r="R33" i="94"/>
  <c r="P20" i="94"/>
  <c r="R59" i="94"/>
  <c r="R47" i="94"/>
  <c r="R30" i="94"/>
  <c r="R27" i="94"/>
  <c r="R24" i="94"/>
  <c r="R69" i="94"/>
  <c r="R37" i="94"/>
  <c r="R51" i="94"/>
  <c r="R34" i="94"/>
  <c r="R52" i="94"/>
  <c r="R48" i="94"/>
  <c r="R44" i="94"/>
  <c r="R43" i="94"/>
  <c r="R38" i="94"/>
  <c r="R16" i="94"/>
  <c r="R65" i="94"/>
  <c r="R60" i="94"/>
  <c r="R61" i="94"/>
  <c r="R58" i="94"/>
  <c r="R31" i="94"/>
  <c r="R28" i="94"/>
  <c r="R17" i="94"/>
  <c r="R49" i="94"/>
  <c r="R35" i="94"/>
  <c r="X12" i="94"/>
  <c r="X46" i="94"/>
  <c r="J21" i="86"/>
  <c r="J35" i="88"/>
  <c r="J55" i="88"/>
  <c r="J73" i="88"/>
  <c r="N13" i="89"/>
  <c r="V78" i="92"/>
  <c r="V70" i="92"/>
  <c r="V66" i="92"/>
  <c r="V61" i="92"/>
  <c r="V80" i="92"/>
  <c r="V72" i="92"/>
  <c r="V87" i="92"/>
  <c r="V85" i="92"/>
  <c r="V79" i="92"/>
  <c r="V71" i="92"/>
  <c r="V67" i="92"/>
  <c r="V84" i="92"/>
  <c r="V74" i="92"/>
  <c r="V83" i="92"/>
  <c r="V81" i="92"/>
  <c r="V73" i="92"/>
  <c r="V57" i="92"/>
  <c r="V76" i="92"/>
  <c r="V68" i="92"/>
  <c r="V64" i="92"/>
  <c r="V94" i="92"/>
  <c r="V91" i="92"/>
  <c r="V89" i="92"/>
  <c r="V75" i="92"/>
  <c r="V63" i="92"/>
  <c r="V54" i="92"/>
  <c r="V42" i="92"/>
  <c r="V14" i="92"/>
  <c r="V16" i="92"/>
  <c r="V18" i="92"/>
  <c r="J22" i="92"/>
  <c r="R23" i="92"/>
  <c r="J26" i="92"/>
  <c r="R27" i="92"/>
  <c r="F31" i="92"/>
  <c r="F35" i="92"/>
  <c r="J36" i="92"/>
  <c r="R38" i="92"/>
  <c r="V43" i="92"/>
  <c r="Z44" i="92"/>
  <c r="V49" i="92"/>
  <c r="R53" i="92"/>
  <c r="R60" i="92"/>
  <c r="V62" i="92"/>
  <c r="F68" i="92"/>
  <c r="F72" i="92"/>
  <c r="F80" i="92"/>
  <c r="F73" i="93"/>
  <c r="F44" i="93"/>
  <c r="F43" i="93"/>
  <c r="F36" i="93"/>
  <c r="L12" i="93"/>
  <c r="F77" i="93"/>
  <c r="F55" i="93"/>
  <c r="F54" i="93"/>
  <c r="F31" i="93"/>
  <c r="F27" i="93"/>
  <c r="F66" i="93"/>
  <c r="F62" i="93"/>
  <c r="F46" i="93"/>
  <c r="F45" i="93"/>
  <c r="F18" i="93"/>
  <c r="F17" i="93"/>
  <c r="F57" i="93"/>
  <c r="F56" i="93"/>
  <c r="F37" i="93"/>
  <c r="F33" i="93"/>
  <c r="F32" i="93"/>
  <c r="F48" i="93"/>
  <c r="F47" i="93"/>
  <c r="F28" i="93"/>
  <c r="F24" i="93"/>
  <c r="F23" i="93"/>
  <c r="F67" i="93"/>
  <c r="F63" i="93"/>
  <c r="F22" i="93"/>
  <c r="F58" i="93"/>
  <c r="F50" i="93"/>
  <c r="F49" i="93"/>
  <c r="F38" i="93"/>
  <c r="F34" i="93"/>
  <c r="D20" i="93"/>
  <c r="F20" i="93" s="1"/>
  <c r="F69" i="93"/>
  <c r="F68" i="93"/>
  <c r="F29" i="93"/>
  <c r="F25" i="93"/>
  <c r="F64" i="93"/>
  <c r="F52" i="93"/>
  <c r="F51" i="93"/>
  <c r="F40" i="93"/>
  <c r="F39" i="93"/>
  <c r="F71" i="93"/>
  <c r="F70" i="93"/>
  <c r="F59" i="93"/>
  <c r="F35" i="93"/>
  <c r="R22" i="93"/>
  <c r="N68" i="93"/>
  <c r="V59" i="94"/>
  <c r="V55" i="94"/>
  <c r="V47" i="94"/>
  <c r="V61" i="94"/>
  <c r="V64" i="94"/>
  <c r="V62" i="94"/>
  <c r="V50" i="94"/>
  <c r="V42" i="94"/>
  <c r="V34" i="94"/>
  <c r="V52" i="94"/>
  <c r="V44" i="94"/>
  <c r="V33" i="94"/>
  <c r="V41" i="94"/>
  <c r="V30" i="94"/>
  <c r="V27" i="94"/>
  <c r="V24" i="94"/>
  <c r="V69" i="94"/>
  <c r="V57" i="94"/>
  <c r="V37" i="94"/>
  <c r="V54" i="94"/>
  <c r="V51" i="94"/>
  <c r="V48" i="94"/>
  <c r="V38" i="94"/>
  <c r="V16" i="94"/>
  <c r="V65" i="94"/>
  <c r="V43" i="94"/>
  <c r="V60" i="94"/>
  <c r="V25" i="94"/>
  <c r="V58" i="94"/>
  <c r="V31" i="94"/>
  <c r="V28" i="94"/>
  <c r="V17" i="94"/>
  <c r="V49" i="94"/>
  <c r="V39" i="94"/>
  <c r="V35" i="94"/>
  <c r="V32" i="94"/>
  <c r="Z12" i="94"/>
  <c r="V67" i="94"/>
  <c r="V46" i="94"/>
  <c r="V45" i="94"/>
  <c r="V40" i="94"/>
  <c r="V26" i="94"/>
  <c r="V23" i="94"/>
  <c r="N42" i="94"/>
  <c r="R46" i="94"/>
  <c r="V53" i="94"/>
  <c r="J16" i="86"/>
  <c r="J44" i="88"/>
  <c r="J54" i="88"/>
  <c r="J68" i="88"/>
  <c r="J72" i="88"/>
  <c r="J31" i="92"/>
  <c r="J35" i="92"/>
  <c r="J47" i="92"/>
  <c r="X48" i="92"/>
  <c r="J68" i="92"/>
  <c r="N72" i="92"/>
  <c r="J74" i="92"/>
  <c r="N80" i="92"/>
  <c r="J85" i="92"/>
  <c r="J77" i="93"/>
  <c r="J55" i="93"/>
  <c r="J45" i="93"/>
  <c r="J31" i="93"/>
  <c r="J27" i="93"/>
  <c r="J17" i="93"/>
  <c r="J66" i="93"/>
  <c r="J62" i="93"/>
  <c r="J56" i="93"/>
  <c r="J46" i="93"/>
  <c r="J32" i="93"/>
  <c r="J18" i="93"/>
  <c r="J57" i="93"/>
  <c r="J47" i="93"/>
  <c r="J37" i="93"/>
  <c r="J33" i="93"/>
  <c r="J23" i="93"/>
  <c r="J48" i="93"/>
  <c r="J28" i="93"/>
  <c r="J24" i="93"/>
  <c r="J22" i="93"/>
  <c r="J67" i="93"/>
  <c r="J63" i="93"/>
  <c r="J49" i="93"/>
  <c r="H20" i="93"/>
  <c r="J68" i="93"/>
  <c r="J58" i="93"/>
  <c r="J50" i="93"/>
  <c r="J38" i="93"/>
  <c r="J34" i="93"/>
  <c r="J69" i="93"/>
  <c r="J51" i="93"/>
  <c r="J39" i="93"/>
  <c r="J29" i="93"/>
  <c r="J25" i="93"/>
  <c r="J70" i="93"/>
  <c r="J64" i="93"/>
  <c r="J52" i="93"/>
  <c r="J40" i="93"/>
  <c r="J71" i="93"/>
  <c r="J59" i="93"/>
  <c r="J41" i="93"/>
  <c r="J35" i="93"/>
  <c r="J60" i="93"/>
  <c r="J42" i="93"/>
  <c r="J30" i="93"/>
  <c r="J26" i="93"/>
  <c r="N15" i="93"/>
  <c r="Z22" i="93"/>
  <c r="J44" i="93"/>
  <c r="Z46" i="94"/>
  <c r="L13" i="95"/>
  <c r="N13" i="95" s="1"/>
  <c r="D12" i="95"/>
  <c r="N16" i="95"/>
  <c r="N38" i="94"/>
  <c r="P83" i="92"/>
  <c r="P87" i="92" s="1"/>
  <c r="L64" i="94"/>
  <c r="N64" i="94" s="1"/>
  <c r="J16" i="95"/>
  <c r="R32" i="95"/>
  <c r="J43" i="95"/>
  <c r="F23" i="96"/>
  <c r="Z61" i="94"/>
  <c r="L16" i="95"/>
  <c r="N23" i="95"/>
  <c r="Z32" i="95"/>
  <c r="R34" i="95"/>
  <c r="R36" i="95"/>
  <c r="Z41" i="95"/>
  <c r="X56" i="95"/>
  <c r="R67" i="95"/>
  <c r="T83" i="92"/>
  <c r="L14" i="93"/>
  <c r="N14" i="93" s="1"/>
  <c r="V67" i="95"/>
  <c r="J71" i="95"/>
  <c r="L39" i="93"/>
  <c r="N39" i="93" s="1"/>
  <c r="X45" i="93"/>
  <c r="Z45" i="93" s="1"/>
  <c r="L51" i="93"/>
  <c r="N51" i="93" s="1"/>
  <c r="Z44" i="94"/>
  <c r="Z52" i="94"/>
  <c r="X55" i="94"/>
  <c r="Z55" i="94" s="1"/>
  <c r="V25" i="95"/>
  <c r="N47" i="95"/>
  <c r="J53" i="95"/>
  <c r="Z56" i="95"/>
  <c r="V63" i="95"/>
  <c r="L13" i="94"/>
  <c r="X52" i="94"/>
  <c r="R77" i="95"/>
  <c r="R68" i="95"/>
  <c r="R58" i="95"/>
  <c r="R57" i="95"/>
  <c r="R37" i="95"/>
  <c r="R33" i="95"/>
  <c r="R22" i="95"/>
  <c r="R64" i="95"/>
  <c r="R49" i="95"/>
  <c r="R48" i="95"/>
  <c r="R28" i="95"/>
  <c r="R24" i="95"/>
  <c r="P20" i="95"/>
  <c r="R20" i="95" s="1"/>
  <c r="R60" i="95"/>
  <c r="R59" i="95"/>
  <c r="R70" i="95"/>
  <c r="R69" i="95"/>
  <c r="R51" i="95"/>
  <c r="R50" i="95"/>
  <c r="R39" i="95"/>
  <c r="R65" i="95"/>
  <c r="R61" i="95"/>
  <c r="R29" i="95"/>
  <c r="R25" i="95"/>
  <c r="R52" i="95"/>
  <c r="R41" i="95"/>
  <c r="R40" i="95"/>
  <c r="R71" i="95"/>
  <c r="R35" i="95"/>
  <c r="R66" i="95"/>
  <c r="R62" i="95"/>
  <c r="R43" i="95"/>
  <c r="R42" i="95"/>
  <c r="R30" i="95"/>
  <c r="R26" i="95"/>
  <c r="L14" i="95"/>
  <c r="N14" i="95" s="1"/>
  <c r="R16" i="95"/>
  <c r="R18" i="95"/>
  <c r="R23" i="95"/>
  <c r="V29" i="95"/>
  <c r="J33" i="95"/>
  <c r="N51" i="95"/>
  <c r="F79" i="96"/>
  <c r="F78" i="96"/>
  <c r="F67" i="96"/>
  <c r="F63" i="96"/>
  <c r="F62" i="96"/>
  <c r="F55" i="96"/>
  <c r="F54" i="96"/>
  <c r="F31" i="96"/>
  <c r="F27" i="96"/>
  <c r="F74" i="96"/>
  <c r="F46" i="96"/>
  <c r="F45" i="96"/>
  <c r="F81" i="96"/>
  <c r="F80" i="96"/>
  <c r="F69" i="96"/>
  <c r="F68" i="96"/>
  <c r="F57" i="96"/>
  <c r="F56" i="96"/>
  <c r="F37" i="96"/>
  <c r="F33" i="96"/>
  <c r="F32" i="96"/>
  <c r="F64" i="96"/>
  <c r="F83" i="96"/>
  <c r="F82" i="96"/>
  <c r="F75" i="96"/>
  <c r="F71" i="96"/>
  <c r="F70" i="96"/>
  <c r="F59" i="96"/>
  <c r="F58" i="96"/>
  <c r="F47" i="96"/>
  <c r="F38" i="96"/>
  <c r="F34" i="96"/>
  <c r="F65" i="96"/>
  <c r="F49" i="96"/>
  <c r="F48" i="96"/>
  <c r="F29" i="96"/>
  <c r="F25" i="96"/>
  <c r="F87" i="96"/>
  <c r="F85" i="96"/>
  <c r="F76" i="96"/>
  <c r="F72" i="96"/>
  <c r="F60" i="96"/>
  <c r="F40" i="96"/>
  <c r="F39" i="96"/>
  <c r="F89" i="96"/>
  <c r="F51" i="96"/>
  <c r="F50" i="96"/>
  <c r="F35" i="96"/>
  <c r="F44" i="96"/>
  <c r="F24" i="96"/>
  <c r="F61" i="96"/>
  <c r="F42" i="96"/>
  <c r="F26" i="96"/>
  <c r="F17" i="96"/>
  <c r="F73" i="96"/>
  <c r="F53" i="96"/>
  <c r="F28" i="96"/>
  <c r="F22" i="96"/>
  <c r="F77" i="96"/>
  <c r="F30" i="96"/>
  <c r="F18" i="96"/>
  <c r="F36" i="96"/>
  <c r="F66" i="96"/>
  <c r="L12" i="96"/>
  <c r="N12" i="96" s="1"/>
  <c r="P12" i="98"/>
  <c r="X13" i="98"/>
  <c r="N13" i="94"/>
  <c r="V75" i="95"/>
  <c r="V73" i="95"/>
  <c r="V71" i="95"/>
  <c r="V64" i="95"/>
  <c r="V60" i="95"/>
  <c r="V48" i="95"/>
  <c r="V28" i="95"/>
  <c r="V24" i="95"/>
  <c r="V70" i="95"/>
  <c r="V59" i="95"/>
  <c r="V51" i="95"/>
  <c r="V39" i="95"/>
  <c r="V69" i="95"/>
  <c r="V50" i="95"/>
  <c r="V38" i="95"/>
  <c r="V34" i="95"/>
  <c r="V65" i="95"/>
  <c r="V61" i="95"/>
  <c r="V41" i="95"/>
  <c r="V52" i="95"/>
  <c r="V40" i="95"/>
  <c r="V16" i="95"/>
  <c r="V43" i="95"/>
  <c r="V35" i="95"/>
  <c r="V77" i="95"/>
  <c r="V66" i="95"/>
  <c r="V62" i="95"/>
  <c r="V54" i="95"/>
  <c r="V42" i="95"/>
  <c r="V30" i="95"/>
  <c r="V53" i="95"/>
  <c r="V45" i="95"/>
  <c r="V17" i="95"/>
  <c r="J67" i="95"/>
  <c r="J73" i="95"/>
  <c r="J54" i="95"/>
  <c r="J44" i="95"/>
  <c r="J36" i="95"/>
  <c r="J63" i="95"/>
  <c r="J55" i="95"/>
  <c r="J45" i="95"/>
  <c r="J31" i="95"/>
  <c r="J27" i="95"/>
  <c r="J56" i="95"/>
  <c r="J46" i="95"/>
  <c r="J32" i="95"/>
  <c r="J18" i="95"/>
  <c r="J68" i="95"/>
  <c r="J57" i="95"/>
  <c r="J47" i="95"/>
  <c r="J64" i="95"/>
  <c r="J58" i="95"/>
  <c r="J48" i="95"/>
  <c r="J28" i="95"/>
  <c r="J24" i="95"/>
  <c r="J22" i="95"/>
  <c r="J69" i="95"/>
  <c r="J59" i="95"/>
  <c r="J49" i="95"/>
  <c r="H20" i="95"/>
  <c r="J60" i="95"/>
  <c r="J50" i="95"/>
  <c r="J38" i="95"/>
  <c r="J34" i="95"/>
  <c r="J70" i="95"/>
  <c r="J65" i="95"/>
  <c r="J61" i="95"/>
  <c r="J51" i="95"/>
  <c r="J39" i="95"/>
  <c r="J29" i="95"/>
  <c r="J25" i="95"/>
  <c r="V18" i="95"/>
  <c r="R27" i="95"/>
  <c r="R31" i="95"/>
  <c r="R45" i="95"/>
  <c r="R47" i="95"/>
  <c r="J66" i="95"/>
  <c r="J77" i="95"/>
  <c r="R83" i="96"/>
  <c r="R75" i="96"/>
  <c r="R71" i="96"/>
  <c r="R59" i="96"/>
  <c r="R48" i="96"/>
  <c r="R47" i="96"/>
  <c r="R85" i="96"/>
  <c r="R39" i="96"/>
  <c r="R38" i="96"/>
  <c r="R34" i="96"/>
  <c r="R65" i="96"/>
  <c r="R50" i="96"/>
  <c r="R49" i="96"/>
  <c r="R29" i="96"/>
  <c r="R25" i="96"/>
  <c r="R76" i="96"/>
  <c r="R72" i="96"/>
  <c r="R60" i="96"/>
  <c r="R89" i="96"/>
  <c r="R52" i="96"/>
  <c r="R51" i="96"/>
  <c r="R35" i="96"/>
  <c r="R66" i="96"/>
  <c r="R43" i="96"/>
  <c r="R42" i="96"/>
  <c r="R30" i="96"/>
  <c r="R26" i="96"/>
  <c r="R78" i="96"/>
  <c r="R77" i="96"/>
  <c r="R73" i="96"/>
  <c r="R62" i="96"/>
  <c r="R61" i="96"/>
  <c r="R54" i="96"/>
  <c r="R53" i="96"/>
  <c r="R45" i="96"/>
  <c r="R44" i="96"/>
  <c r="R36" i="96"/>
  <c r="X12" i="96"/>
  <c r="R80" i="96"/>
  <c r="R79" i="96"/>
  <c r="R68" i="96"/>
  <c r="R67" i="96"/>
  <c r="R63" i="96"/>
  <c r="R56" i="96"/>
  <c r="R55" i="96"/>
  <c r="R32" i="96"/>
  <c r="R31" i="96"/>
  <c r="R27" i="96"/>
  <c r="R22" i="96"/>
  <c r="R28" i="96"/>
  <c r="R40" i="96"/>
  <c r="R18" i="96"/>
  <c r="R58" i="96"/>
  <c r="R82" i="96"/>
  <c r="R70" i="96"/>
  <c r="R64" i="96"/>
  <c r="R23" i="96"/>
  <c r="R41" i="96"/>
  <c r="R16" i="96"/>
  <c r="R74" i="96"/>
  <c r="P20" i="96"/>
  <c r="F43" i="96"/>
  <c r="T12" i="98"/>
  <c r="Z13" i="98"/>
  <c r="X85" i="92"/>
  <c r="Z85" i="92" s="1"/>
  <c r="N13" i="93"/>
  <c r="L22" i="93"/>
  <c r="N22" i="93" s="1"/>
  <c r="N40" i="94"/>
  <c r="L61" i="94"/>
  <c r="N61" i="94" s="1"/>
  <c r="X12" i="95"/>
  <c r="V23" i="95"/>
  <c r="V27" i="95"/>
  <c r="V31" i="95"/>
  <c r="J35" i="95"/>
  <c r="J37" i="95"/>
  <c r="L39" i="95"/>
  <c r="N39" i="95" s="1"/>
  <c r="Z45" i="95"/>
  <c r="Z47" i="95"/>
  <c r="V49" i="95"/>
  <c r="R53" i="95"/>
  <c r="V58" i="95"/>
  <c r="J62" i="95"/>
  <c r="L70" i="95"/>
  <c r="R17" i="96"/>
  <c r="R24" i="96"/>
  <c r="F41" i="96"/>
  <c r="R69" i="96"/>
  <c r="Z12" i="95"/>
  <c r="X23" i="95"/>
  <c r="Z23" i="95" s="1"/>
  <c r="V33" i="95"/>
  <c r="V47" i="95"/>
  <c r="R55" i="95"/>
  <c r="Z14" i="95"/>
  <c r="V55" i="95"/>
  <c r="V57" i="95"/>
  <c r="L16" i="96"/>
  <c r="N16" i="96" s="1"/>
  <c r="N78" i="96"/>
  <c r="N43" i="96"/>
  <c r="N52" i="96"/>
  <c r="J54" i="96"/>
  <c r="N62" i="96"/>
  <c r="J78" i="96"/>
  <c r="F55" i="98"/>
  <c r="X49" i="101"/>
  <c r="Z49" i="101"/>
  <c r="L78" i="96"/>
  <c r="Z32" i="98"/>
  <c r="Z16" i="96"/>
  <c r="J36" i="96"/>
  <c r="Z52" i="96"/>
  <c r="N58" i="96"/>
  <c r="X70" i="96"/>
  <c r="X82" i="96"/>
  <c r="L23" i="98"/>
  <c r="F23" i="98"/>
  <c r="X48" i="96"/>
  <c r="Z48" i="96" s="1"/>
  <c r="Z70" i="96"/>
  <c r="Z82" i="96"/>
  <c r="J74" i="98"/>
  <c r="J62" i="98"/>
  <c r="J75" i="98"/>
  <c r="J69" i="98"/>
  <c r="J63" i="98"/>
  <c r="J57" i="98"/>
  <c r="J49" i="98"/>
  <c r="J39" i="98"/>
  <c r="J29" i="98"/>
  <c r="J25" i="98"/>
  <c r="J76" i="98"/>
  <c r="J64" i="98"/>
  <c r="J50" i="98"/>
  <c r="J40" i="98"/>
  <c r="J79" i="98"/>
  <c r="J65" i="98"/>
  <c r="J60" i="98"/>
  <c r="J71" i="98"/>
  <c r="J67" i="98"/>
  <c r="J45" i="98"/>
  <c r="J31" i="98"/>
  <c r="J27" i="98"/>
  <c r="J61" i="98"/>
  <c r="J55" i="98"/>
  <c r="J37" i="98"/>
  <c r="J33" i="98"/>
  <c r="J23" i="98"/>
  <c r="J43" i="98"/>
  <c r="J83" i="98"/>
  <c r="J32" i="98"/>
  <c r="J58" i="98"/>
  <c r="J56" i="98"/>
  <c r="J47" i="98"/>
  <c r="J41" i="98"/>
  <c r="J35" i="98"/>
  <c r="J18" i="98"/>
  <c r="J51" i="98"/>
  <c r="J44" i="98"/>
  <c r="J72" i="98"/>
  <c r="J30" i="98"/>
  <c r="J70" i="98"/>
  <c r="J68" i="98"/>
  <c r="J54" i="98"/>
  <c r="J52" i="98"/>
  <c r="J28" i="98"/>
  <c r="J66" i="98"/>
  <c r="J59" i="98"/>
  <c r="J48" i="98"/>
  <c r="J38" i="98"/>
  <c r="J22" i="98"/>
  <c r="H20" i="98"/>
  <c r="J20" i="98" s="1"/>
  <c r="J42" i="98"/>
  <c r="J16" i="98"/>
  <c r="L12" i="98"/>
  <c r="N12" i="98" s="1"/>
  <c r="J73" i="98"/>
  <c r="J36" i="98"/>
  <c r="J26" i="98"/>
  <c r="L13" i="96"/>
  <c r="N13" i="96" s="1"/>
  <c r="N22" i="96"/>
  <c r="J53" i="96"/>
  <c r="Z58" i="96"/>
  <c r="J67" i="96"/>
  <c r="F16" i="98"/>
  <c r="L56" i="95"/>
  <c r="N56" i="95" s="1"/>
  <c r="J80" i="96"/>
  <c r="J74" i="96"/>
  <c r="J68" i="96"/>
  <c r="J56" i="96"/>
  <c r="J46" i="96"/>
  <c r="J32" i="96"/>
  <c r="J18" i="96"/>
  <c r="J81" i="96"/>
  <c r="J69" i="96"/>
  <c r="J57" i="96"/>
  <c r="J37" i="96"/>
  <c r="J33" i="96"/>
  <c r="J23" i="96"/>
  <c r="J82" i="96"/>
  <c r="J70" i="96"/>
  <c r="J64" i="96"/>
  <c r="J58" i="96"/>
  <c r="J28" i="96"/>
  <c r="J24" i="96"/>
  <c r="J22" i="96"/>
  <c r="J20" i="96"/>
  <c r="J83" i="96"/>
  <c r="J75" i="96"/>
  <c r="J71" i="96"/>
  <c r="J59" i="96"/>
  <c r="J47" i="96"/>
  <c r="J48" i="96"/>
  <c r="J38" i="96"/>
  <c r="J34" i="96"/>
  <c r="J85" i="96"/>
  <c r="J65" i="96"/>
  <c r="J49" i="96"/>
  <c r="J39" i="96"/>
  <c r="J29" i="96"/>
  <c r="J25" i="96"/>
  <c r="J76" i="96"/>
  <c r="J72" i="96"/>
  <c r="J60" i="96"/>
  <c r="J50" i="96"/>
  <c r="J40" i="96"/>
  <c r="J89" i="96"/>
  <c r="J51" i="96"/>
  <c r="J41" i="96"/>
  <c r="J35" i="96"/>
  <c r="J66" i="96"/>
  <c r="J52" i="96"/>
  <c r="J42" i="96"/>
  <c r="J30" i="96"/>
  <c r="J26" i="96"/>
  <c r="J16" i="96"/>
  <c r="J17" i="96"/>
  <c r="X22" i="96"/>
  <c r="Z22" i="96" s="1"/>
  <c r="J55" i="96"/>
  <c r="J61" i="96"/>
  <c r="J79" i="96"/>
  <c r="N16" i="98"/>
  <c r="Z65" i="98"/>
  <c r="H18" i="99"/>
  <c r="J44" i="96"/>
  <c r="J63" i="96"/>
  <c r="J24" i="98"/>
  <c r="J34" i="98"/>
  <c r="N79" i="98"/>
  <c r="H78" i="98"/>
  <c r="N78" i="98" s="1"/>
  <c r="N55" i="98"/>
  <c r="F35" i="99"/>
  <c r="F34" i="99"/>
  <c r="F30" i="99"/>
  <c r="F29" i="99"/>
  <c r="F37" i="99"/>
  <c r="F36" i="99"/>
  <c r="F25" i="99"/>
  <c r="F31" i="99"/>
  <c r="F39" i="99"/>
  <c r="F43" i="99"/>
  <c r="F32" i="99"/>
  <c r="D18" i="99"/>
  <c r="L12" i="99"/>
  <c r="F27" i="99"/>
  <c r="F23" i="99"/>
  <c r="F33" i="99"/>
  <c r="N23" i="98"/>
  <c r="Z43" i="98"/>
  <c r="N59" i="98"/>
  <c r="F66" i="98"/>
  <c r="N12" i="99"/>
  <c r="F28" i="98"/>
  <c r="N52" i="98"/>
  <c r="L52" i="98"/>
  <c r="X55" i="98"/>
  <c r="F61" i="98"/>
  <c r="F68" i="98"/>
  <c r="F70" i="98"/>
  <c r="X79" i="98"/>
  <c r="Z79" i="98" s="1"/>
  <c r="P12" i="99"/>
  <c r="X16" i="99"/>
  <c r="X20" i="99"/>
  <c r="F22" i="99"/>
  <c r="F24" i="99"/>
  <c r="F28" i="99"/>
  <c r="V29" i="99"/>
  <c r="F30" i="98"/>
  <c r="F33" i="98"/>
  <c r="F72" i="98"/>
  <c r="F18" i="99"/>
  <c r="F26" i="99"/>
  <c r="L14" i="98"/>
  <c r="N14" i="98" s="1"/>
  <c r="X16" i="98"/>
  <c r="Z16" i="98" s="1"/>
  <c r="X39" i="98"/>
  <c r="Z39" i="98" s="1"/>
  <c r="F41" i="98"/>
  <c r="F51" i="98"/>
  <c r="Z55" i="98"/>
  <c r="X75" i="98"/>
  <c r="Z75" i="98" s="1"/>
  <c r="T78" i="98"/>
  <c r="L13" i="99"/>
  <c r="X19" i="100"/>
  <c r="Z29" i="100"/>
  <c r="Z31" i="100"/>
  <c r="Z23" i="98"/>
  <c r="F25" i="98"/>
  <c r="F35" i="98"/>
  <c r="N41" i="98"/>
  <c r="F47" i="98"/>
  <c r="J36" i="99"/>
  <c r="J30" i="99"/>
  <c r="J37" i="99"/>
  <c r="J25" i="99"/>
  <c r="J41" i="99"/>
  <c r="J39" i="99"/>
  <c r="J31" i="99"/>
  <c r="J21" i="99"/>
  <c r="J26" i="99"/>
  <c r="J22" i="99"/>
  <c r="J20" i="99"/>
  <c r="J18" i="99"/>
  <c r="J16" i="99"/>
  <c r="J43" i="99"/>
  <c r="J32" i="99"/>
  <c r="J48" i="99"/>
  <c r="J45" i="99"/>
  <c r="J27" i="99"/>
  <c r="J23" i="99"/>
  <c r="J34" i="99"/>
  <c r="J28" i="99"/>
  <c r="J24" i="99"/>
  <c r="F21" i="99"/>
  <c r="V22" i="99"/>
  <c r="V24" i="99"/>
  <c r="Z19" i="100"/>
  <c r="Z40" i="100"/>
  <c r="F32" i="98"/>
  <c r="L50" i="98"/>
  <c r="F56" i="98"/>
  <c r="F58" i="98"/>
  <c r="F65" i="98"/>
  <c r="N13" i="99"/>
  <c r="L34" i="99"/>
  <c r="D43" i="100"/>
  <c r="X14" i="98"/>
  <c r="Z14" i="98" s="1"/>
  <c r="F27" i="98"/>
  <c r="F37" i="98"/>
  <c r="F40" i="98"/>
  <c r="N65" i="98"/>
  <c r="X34" i="99"/>
  <c r="D12" i="101"/>
  <c r="L13" i="101"/>
  <c r="L26" i="102"/>
  <c r="N26" i="102" s="1"/>
  <c r="F74" i="98"/>
  <c r="F73" i="98"/>
  <c r="F62" i="98"/>
  <c r="F38" i="98"/>
  <c r="F34" i="98"/>
  <c r="D20" i="98"/>
  <c r="F20" i="98" s="1"/>
  <c r="F69" i="98"/>
  <c r="F57" i="98"/>
  <c r="F49" i="98"/>
  <c r="F48" i="98"/>
  <c r="F29" i="98"/>
  <c r="F76" i="98"/>
  <c r="F75" i="98"/>
  <c r="F64" i="98"/>
  <c r="F63" i="98"/>
  <c r="F83" i="98"/>
  <c r="F53" i="98"/>
  <c r="F52" i="98"/>
  <c r="F60" i="98"/>
  <c r="F59" i="98"/>
  <c r="F44" i="98"/>
  <c r="F43" i="98"/>
  <c r="F36" i="98"/>
  <c r="F54" i="98"/>
  <c r="F46" i="98"/>
  <c r="F45" i="98"/>
  <c r="F18" i="98"/>
  <c r="X22" i="98"/>
  <c r="Z22" i="98" s="1"/>
  <c r="F67" i="98"/>
  <c r="L79" i="98"/>
  <c r="V26" i="99"/>
  <c r="V48" i="99"/>
  <c r="V45" i="99"/>
  <c r="V43" i="99"/>
  <c r="V32" i="99"/>
  <c r="Z12" i="99"/>
  <c r="V27" i="99"/>
  <c r="V23" i="99"/>
  <c r="V34" i="99"/>
  <c r="V36" i="99"/>
  <c r="V28" i="99"/>
  <c r="V35" i="99"/>
  <c r="V30" i="99"/>
  <c r="V20" i="99"/>
  <c r="V18" i="99"/>
  <c r="V16" i="99"/>
  <c r="L16" i="99"/>
  <c r="L20" i="99"/>
  <c r="V74" i="102"/>
  <c r="V73" i="102"/>
  <c r="V45" i="102"/>
  <c r="V76" i="102"/>
  <c r="V68" i="102"/>
  <c r="V48" i="102"/>
  <c r="V56" i="102"/>
  <c r="V51" i="102"/>
  <c r="V50" i="102"/>
  <c r="V33" i="102"/>
  <c r="V29" i="102"/>
  <c r="V61" i="102"/>
  <c r="V60" i="102"/>
  <c r="V20" i="102"/>
  <c r="V67" i="102"/>
  <c r="V39" i="102"/>
  <c r="V35" i="102"/>
  <c r="V65" i="102"/>
  <c r="V47" i="102"/>
  <c r="V34" i="102"/>
  <c r="V30" i="102"/>
  <c r="V26" i="102"/>
  <c r="V70" i="102"/>
  <c r="V57" i="102"/>
  <c r="V53" i="102"/>
  <c r="V52" i="102"/>
  <c r="V46" i="102"/>
  <c r="V41" i="102"/>
  <c r="V25" i="102"/>
  <c r="V21" i="102"/>
  <c r="V62" i="102"/>
  <c r="V40" i="102"/>
  <c r="V36" i="102"/>
  <c r="T23" i="102"/>
  <c r="V23" i="102" s="1"/>
  <c r="V77" i="102"/>
  <c r="V31" i="102"/>
  <c r="V27" i="102"/>
  <c r="V43" i="102"/>
  <c r="V42" i="102"/>
  <c r="V66" i="102"/>
  <c r="V63" i="102"/>
  <c r="V58" i="102"/>
  <c r="V55" i="102"/>
  <c r="V54" i="102"/>
  <c r="V49" i="102"/>
  <c r="V37" i="102"/>
  <c r="V84" i="102"/>
  <c r="V71" i="102"/>
  <c r="V64" i="102"/>
  <c r="V59" i="102"/>
  <c r="V32" i="102"/>
  <c r="V28" i="102"/>
  <c r="V72" i="102"/>
  <c r="V69" i="102"/>
  <c r="V44" i="102"/>
  <c r="V38" i="102"/>
  <c r="V75" i="102"/>
  <c r="V80" i="102"/>
  <c r="V19" i="102"/>
  <c r="N13" i="98"/>
  <c r="F24" i="98"/>
  <c r="Z41" i="98"/>
  <c r="F71" i="98"/>
  <c r="F79" i="98"/>
  <c r="F16" i="99"/>
  <c r="F20" i="99"/>
  <c r="J33" i="99"/>
  <c r="V39" i="99"/>
  <c r="J15" i="100"/>
  <c r="P17" i="100"/>
  <c r="R19" i="100"/>
  <c r="R20" i="100"/>
  <c r="J26" i="100"/>
  <c r="R31" i="100"/>
  <c r="F34" i="100"/>
  <c r="V41" i="100"/>
  <c r="R45" i="100"/>
  <c r="Z14" i="101"/>
  <c r="N23" i="101"/>
  <c r="L42" i="101"/>
  <c r="V47" i="101"/>
  <c r="Z55" i="101"/>
  <c r="X13" i="102"/>
  <c r="Z13" i="102" s="1"/>
  <c r="D78" i="98"/>
  <c r="L78" i="98" s="1"/>
  <c r="F36" i="100"/>
  <c r="F35" i="100"/>
  <c r="F45" i="100"/>
  <c r="F40" i="100"/>
  <c r="L14" i="100"/>
  <c r="T17" i="100"/>
  <c r="V20" i="100"/>
  <c r="F22" i="100"/>
  <c r="R23" i="100"/>
  <c r="R26" i="100"/>
  <c r="F28" i="100"/>
  <c r="V30" i="100"/>
  <c r="F33" i="100"/>
  <c r="F37" i="100"/>
  <c r="J46" i="101"/>
  <c r="J36" i="101"/>
  <c r="J18" i="101"/>
  <c r="J53" i="101"/>
  <c r="J47" i="101"/>
  <c r="J37" i="101"/>
  <c r="J29" i="101"/>
  <c r="J23" i="101"/>
  <c r="J49" i="101"/>
  <c r="J39" i="101"/>
  <c r="H20" i="101"/>
  <c r="J54" i="101"/>
  <c r="J50" i="101"/>
  <c r="J40" i="101"/>
  <c r="J55" i="101"/>
  <c r="J41" i="101"/>
  <c r="J25" i="101"/>
  <c r="J56" i="101"/>
  <c r="J42" i="101"/>
  <c r="J58" i="101"/>
  <c r="J63" i="101"/>
  <c r="J33" i="101"/>
  <c r="J27" i="101"/>
  <c r="J17" i="101"/>
  <c r="J68" i="101"/>
  <c r="J65" i="101"/>
  <c r="J45" i="101"/>
  <c r="J35" i="101"/>
  <c r="Z23" i="101"/>
  <c r="J44" i="101"/>
  <c r="J48" i="101"/>
  <c r="J52" i="101"/>
  <c r="J50" i="100"/>
  <c r="J47" i="100"/>
  <c r="J32" i="100"/>
  <c r="J37" i="100"/>
  <c r="J27" i="100"/>
  <c r="J23" i="100"/>
  <c r="J30" i="100"/>
  <c r="J22" i="100"/>
  <c r="J28" i="100"/>
  <c r="J43" i="100"/>
  <c r="N22" i="101"/>
  <c r="V23" i="101"/>
  <c r="Z27" i="101"/>
  <c r="V38" i="101"/>
  <c r="X23" i="102"/>
  <c r="P82" i="102"/>
  <c r="D12" i="104"/>
  <c r="L13" i="104"/>
  <c r="V40" i="101"/>
  <c r="V48" i="101"/>
  <c r="L33" i="105"/>
  <c r="N33" i="105" s="1"/>
  <c r="X29" i="99"/>
  <c r="R29" i="100"/>
  <c r="R28" i="100"/>
  <c r="R24" i="100"/>
  <c r="R22" i="100"/>
  <c r="V28" i="100"/>
  <c r="R43" i="100"/>
  <c r="V18" i="101"/>
  <c r="V26" i="101"/>
  <c r="J28" i="101"/>
  <c r="V32" i="101"/>
  <c r="Z14" i="102"/>
  <c r="Z16" i="102"/>
  <c r="Z59" i="102"/>
  <c r="V37" i="100"/>
  <c r="V36" i="100"/>
  <c r="V50" i="100"/>
  <c r="V47" i="100"/>
  <c r="V45" i="100"/>
  <c r="V31" i="100"/>
  <c r="V19" i="100"/>
  <c r="V17" i="100"/>
  <c r="V15" i="100"/>
  <c r="V34" i="100"/>
  <c r="V26" i="100"/>
  <c r="V14" i="100"/>
  <c r="J21" i="100"/>
  <c r="V22" i="100"/>
  <c r="F24" i="100"/>
  <c r="R25" i="100"/>
  <c r="F31" i="100"/>
  <c r="R33" i="100"/>
  <c r="J36" i="100"/>
  <c r="R37" i="100"/>
  <c r="J41" i="100"/>
  <c r="R47" i="100"/>
  <c r="Z22" i="101"/>
  <c r="X79" i="102"/>
  <c r="X12" i="100"/>
  <c r="H17" i="100"/>
  <c r="L17" i="100" s="1"/>
  <c r="J19" i="100"/>
  <c r="J20" i="100"/>
  <c r="J24" i="100"/>
  <c r="V25" i="100"/>
  <c r="R32" i="100"/>
  <c r="Z33" i="100"/>
  <c r="J40" i="100"/>
  <c r="L41" i="100"/>
  <c r="N41" i="100" s="1"/>
  <c r="V43" i="100"/>
  <c r="N12" i="101"/>
  <c r="Z16" i="101"/>
  <c r="V22" i="101"/>
  <c r="V24" i="101"/>
  <c r="J30" i="101"/>
  <c r="L47" i="101"/>
  <c r="R52" i="103"/>
  <c r="R57" i="103"/>
  <c r="R54" i="103"/>
  <c r="R30" i="103"/>
  <c r="R29" i="103"/>
  <c r="R18" i="103"/>
  <c r="R16" i="103"/>
  <c r="R14" i="103"/>
  <c r="R41" i="103"/>
  <c r="R40" i="103"/>
  <c r="R24" i="103"/>
  <c r="R20" i="103"/>
  <c r="P16" i="103"/>
  <c r="R32" i="103"/>
  <c r="R31" i="103"/>
  <c r="R43" i="103"/>
  <c r="R42" i="103"/>
  <c r="R45" i="103"/>
  <c r="R44" i="103"/>
  <c r="R36" i="103"/>
  <c r="R35" i="103"/>
  <c r="R39" i="103"/>
  <c r="R28" i="103"/>
  <c r="R27" i="103"/>
  <c r="R22" i="103"/>
  <c r="R46" i="103"/>
  <c r="R37" i="103"/>
  <c r="R50" i="103"/>
  <c r="R25" i="103"/>
  <c r="R48" i="103"/>
  <c r="R38" i="103"/>
  <c r="R33" i="103"/>
  <c r="R23" i="103"/>
  <c r="R26" i="103"/>
  <c r="R21" i="103"/>
  <c r="X12" i="103"/>
  <c r="R19" i="103"/>
  <c r="J17" i="100"/>
  <c r="J31" i="100"/>
  <c r="J35" i="100"/>
  <c r="X41" i="100"/>
  <c r="P40" i="100"/>
  <c r="X40" i="100" s="1"/>
  <c r="J45" i="100"/>
  <c r="X36" i="101"/>
  <c r="N15" i="102"/>
  <c r="N47" i="102"/>
  <c r="L47" i="102"/>
  <c r="X19" i="103"/>
  <c r="Z19" i="103" s="1"/>
  <c r="V54" i="101"/>
  <c r="V50" i="101"/>
  <c r="V42" i="101"/>
  <c r="V30" i="101"/>
  <c r="V59" i="101"/>
  <c r="V41" i="101"/>
  <c r="V25" i="101"/>
  <c r="V58" i="101"/>
  <c r="V56" i="101"/>
  <c r="V51" i="101"/>
  <c r="V43" i="101"/>
  <c r="V31" i="101"/>
  <c r="V27" i="101"/>
  <c r="V34" i="101"/>
  <c r="V63" i="101"/>
  <c r="V45" i="101"/>
  <c r="V33" i="101"/>
  <c r="V17" i="101"/>
  <c r="V52" i="101"/>
  <c r="V44" i="101"/>
  <c r="V36" i="101"/>
  <c r="V28" i="101"/>
  <c r="Z12" i="101"/>
  <c r="V46" i="101"/>
  <c r="V53" i="101"/>
  <c r="V49" i="101"/>
  <c r="V37" i="101"/>
  <c r="V29" i="101"/>
  <c r="T20" i="101"/>
  <c r="V55" i="101"/>
  <c r="V39" i="101"/>
  <c r="Z41" i="100"/>
  <c r="Z36" i="101"/>
  <c r="L59" i="101"/>
  <c r="D58" i="101"/>
  <c r="X17" i="102"/>
  <c r="Z17" i="102" s="1"/>
  <c r="N53" i="102"/>
  <c r="L53" i="102"/>
  <c r="P20" i="101"/>
  <c r="R24" i="101"/>
  <c r="R48" i="101"/>
  <c r="R49" i="101"/>
  <c r="Z59" i="101"/>
  <c r="H12" i="102"/>
  <c r="F26" i="102"/>
  <c r="F27" i="102"/>
  <c r="F31" i="102"/>
  <c r="F47" i="102"/>
  <c r="F53" i="102"/>
  <c r="R59" i="102"/>
  <c r="Z61" i="102"/>
  <c r="R64" i="102"/>
  <c r="R75" i="102"/>
  <c r="Z80" i="102"/>
  <c r="T79" i="102"/>
  <c r="Z79" i="102" s="1"/>
  <c r="F43" i="103"/>
  <c r="R32" i="104"/>
  <c r="R38" i="104"/>
  <c r="T12" i="106"/>
  <c r="Z13" i="106"/>
  <c r="X13" i="106"/>
  <c r="R18" i="101"/>
  <c r="R23" i="101"/>
  <c r="R46" i="101"/>
  <c r="R47" i="101"/>
  <c r="H58" i="101"/>
  <c r="N58" i="101" s="1"/>
  <c r="F21" i="102"/>
  <c r="R37" i="102"/>
  <c r="F52" i="102"/>
  <c r="R58" i="102"/>
  <c r="F62" i="102"/>
  <c r="R63" i="102"/>
  <c r="V41" i="103"/>
  <c r="V40" i="103"/>
  <c r="V32" i="103"/>
  <c r="V24" i="103"/>
  <c r="V20" i="103"/>
  <c r="V43" i="103"/>
  <c r="V31" i="103"/>
  <c r="V42" i="103"/>
  <c r="V34" i="103"/>
  <c r="V45" i="103"/>
  <c r="V33" i="103"/>
  <c r="V44" i="103"/>
  <c r="V35" i="103"/>
  <c r="V50" i="103"/>
  <c r="V48" i="103"/>
  <c r="V46" i="103"/>
  <c r="V38" i="103"/>
  <c r="V26" i="103"/>
  <c r="V22" i="103"/>
  <c r="V57" i="103"/>
  <c r="V54" i="103"/>
  <c r="V52" i="103"/>
  <c r="V30" i="103"/>
  <c r="V19" i="103"/>
  <c r="D54" i="103"/>
  <c r="H12" i="104"/>
  <c r="N13" i="104"/>
  <c r="X24" i="104"/>
  <c r="Z42" i="104"/>
  <c r="X50" i="104"/>
  <c r="L62" i="104"/>
  <c r="N62" i="104" s="1"/>
  <c r="R45" i="105"/>
  <c r="R29" i="105"/>
  <c r="R47" i="105"/>
  <c r="R40" i="105"/>
  <c r="R24" i="105"/>
  <c r="R19" i="105"/>
  <c r="R31" i="105"/>
  <c r="R30" i="105"/>
  <c r="R23" i="105"/>
  <c r="R51" i="105"/>
  <c r="R41" i="105"/>
  <c r="R25" i="105"/>
  <c r="P21" i="105"/>
  <c r="R33" i="105"/>
  <c r="R32" i="105"/>
  <c r="R42" i="105"/>
  <c r="R35" i="105"/>
  <c r="R34" i="105"/>
  <c r="R26" i="105"/>
  <c r="R37" i="105"/>
  <c r="R36" i="105"/>
  <c r="R17" i="105"/>
  <c r="X12" i="105"/>
  <c r="Z12" i="105" s="1"/>
  <c r="R39" i="105"/>
  <c r="R38" i="105"/>
  <c r="R44" i="105"/>
  <c r="R27" i="105"/>
  <c r="R43" i="105"/>
  <c r="R72" i="102"/>
  <c r="R71" i="102"/>
  <c r="R67" i="102"/>
  <c r="R62" i="102"/>
  <c r="R55" i="102"/>
  <c r="R54" i="102"/>
  <c r="R43" i="102"/>
  <c r="R74" i="102"/>
  <c r="R73" i="102"/>
  <c r="R80" i="102"/>
  <c r="R77" i="102"/>
  <c r="R69" i="102"/>
  <c r="R65" i="102"/>
  <c r="R57" i="102"/>
  <c r="R42" i="102"/>
  <c r="R48" i="102"/>
  <c r="H50" i="103"/>
  <c r="L50" i="103" s="1"/>
  <c r="N16" i="103"/>
  <c r="N28" i="103"/>
  <c r="R77" i="104"/>
  <c r="R76" i="104"/>
  <c r="R78" i="104"/>
  <c r="R70" i="104"/>
  <c r="R66" i="104"/>
  <c r="R65" i="104"/>
  <c r="R60" i="104"/>
  <c r="R62" i="104"/>
  <c r="R61" i="104"/>
  <c r="R85" i="104"/>
  <c r="R63" i="104"/>
  <c r="R56" i="104"/>
  <c r="R55" i="104"/>
  <c r="R44" i="104"/>
  <c r="R43" i="104"/>
  <c r="R72" i="104"/>
  <c r="R30" i="104"/>
  <c r="X12" i="104"/>
  <c r="R57" i="104"/>
  <c r="R51" i="104"/>
  <c r="R68" i="104"/>
  <c r="R58" i="104"/>
  <c r="R52" i="104"/>
  <c r="R39" i="104"/>
  <c r="R35" i="104"/>
  <c r="R34" i="104"/>
  <c r="R27" i="104"/>
  <c r="R73" i="104"/>
  <c r="R46" i="104"/>
  <c r="R45" i="104"/>
  <c r="R18" i="104"/>
  <c r="R53" i="104"/>
  <c r="R36" i="104"/>
  <c r="R31" i="104"/>
  <c r="R64" i="104"/>
  <c r="R54" i="104"/>
  <c r="R40" i="104"/>
  <c r="R19" i="104"/>
  <c r="R79" i="104"/>
  <c r="R71" i="104"/>
  <c r="R48" i="104"/>
  <c r="R47" i="104"/>
  <c r="R28" i="104"/>
  <c r="R74" i="104"/>
  <c r="R59" i="104"/>
  <c r="R37" i="104"/>
  <c r="R75" i="104"/>
  <c r="R33" i="104"/>
  <c r="R24" i="104"/>
  <c r="R50" i="104"/>
  <c r="N54" i="104"/>
  <c r="R67" i="104"/>
  <c r="R31" i="102"/>
  <c r="N61" i="102"/>
  <c r="R68" i="102"/>
  <c r="V65" i="104"/>
  <c r="V60" i="104"/>
  <c r="V81" i="104"/>
  <c r="V79" i="104"/>
  <c r="V71" i="104"/>
  <c r="V67" i="104"/>
  <c r="V72" i="104"/>
  <c r="V68" i="104"/>
  <c r="V74" i="104"/>
  <c r="V58" i="104"/>
  <c r="V46" i="104"/>
  <c r="V38" i="104"/>
  <c r="V57" i="104"/>
  <c r="V52" i="104"/>
  <c r="V51" i="104"/>
  <c r="V35" i="104"/>
  <c r="V78" i="104"/>
  <c r="V73" i="104"/>
  <c r="V70" i="104"/>
  <c r="V39" i="104"/>
  <c r="V34" i="104"/>
  <c r="V27" i="104"/>
  <c r="V18" i="104"/>
  <c r="V45" i="104"/>
  <c r="V66" i="104"/>
  <c r="V54" i="104"/>
  <c r="V53" i="104"/>
  <c r="V36" i="104"/>
  <c r="V31" i="104"/>
  <c r="V76" i="104"/>
  <c r="V64" i="104"/>
  <c r="V61" i="104"/>
  <c r="V48" i="104"/>
  <c r="V40" i="104"/>
  <c r="V19" i="104"/>
  <c r="V62" i="104"/>
  <c r="V47" i="104"/>
  <c r="V28" i="104"/>
  <c r="V59" i="104"/>
  <c r="V37" i="104"/>
  <c r="V25" i="104"/>
  <c r="V55" i="104"/>
  <c r="V42" i="104"/>
  <c r="V41" i="104"/>
  <c r="V32" i="104"/>
  <c r="V24" i="104"/>
  <c r="V20" i="104"/>
  <c r="V85" i="104"/>
  <c r="V63" i="104"/>
  <c r="V44" i="104"/>
  <c r="V43" i="104"/>
  <c r="V30" i="104"/>
  <c r="Z12" i="104"/>
  <c r="Z24" i="104"/>
  <c r="R26" i="104"/>
  <c r="R81" i="104"/>
  <c r="R17" i="101"/>
  <c r="R33" i="101"/>
  <c r="R34" i="101"/>
  <c r="R63" i="101"/>
  <c r="X12" i="102"/>
  <c r="Z12" i="102" s="1"/>
  <c r="F19" i="102"/>
  <c r="F20" i="102"/>
  <c r="R23" i="102"/>
  <c r="R25" i="102"/>
  <c r="R36" i="102"/>
  <c r="R40" i="102"/>
  <c r="R41" i="102"/>
  <c r="F45" i="102"/>
  <c r="R53" i="102"/>
  <c r="F60" i="102"/>
  <c r="F76" i="102"/>
  <c r="L16" i="103"/>
  <c r="X18" i="103"/>
  <c r="Z18" i="103" s="1"/>
  <c r="Z28" i="103"/>
  <c r="N30" i="103"/>
  <c r="L32" i="103"/>
  <c r="F42" i="103"/>
  <c r="V26" i="104"/>
  <c r="R41" i="104"/>
  <c r="V50" i="104"/>
  <c r="R26" i="101"/>
  <c r="R27" i="101"/>
  <c r="P58" i="101"/>
  <c r="X58" i="101" s="1"/>
  <c r="R21" i="102"/>
  <c r="R26" i="102"/>
  <c r="F29" i="102"/>
  <c r="F33" i="102"/>
  <c r="R46" i="102"/>
  <c r="R47" i="102"/>
  <c r="R52" i="102"/>
  <c r="L61" i="102"/>
  <c r="F67" i="102"/>
  <c r="R70" i="102"/>
  <c r="T16" i="103"/>
  <c r="V23" i="103"/>
  <c r="V28" i="103"/>
  <c r="F32" i="103"/>
  <c r="F44" i="103"/>
  <c r="N18" i="104"/>
  <c r="R20" i="104"/>
  <c r="V33" i="104"/>
  <c r="R49" i="104"/>
  <c r="Z54" i="104"/>
  <c r="Z56" i="104"/>
  <c r="L66" i="104"/>
  <c r="R43" i="101"/>
  <c r="R51" i="101"/>
  <c r="R58" i="101"/>
  <c r="R30" i="102"/>
  <c r="R34" i="102"/>
  <c r="R35" i="102"/>
  <c r="F38" i="102"/>
  <c r="F56" i="102"/>
  <c r="F59" i="102"/>
  <c r="F64" i="102"/>
  <c r="N72" i="102"/>
  <c r="V16" i="103"/>
  <c r="R29" i="104"/>
  <c r="V49" i="104"/>
  <c r="V56" i="104"/>
  <c r="N66" i="104"/>
  <c r="R56" i="101"/>
  <c r="R59" i="101"/>
  <c r="R39" i="102"/>
  <c r="F44" i="102"/>
  <c r="F55" i="102"/>
  <c r="R61" i="102"/>
  <c r="F69" i="102"/>
  <c r="F75" i="102"/>
  <c r="V25" i="103"/>
  <c r="V29" i="104"/>
  <c r="R20" i="102"/>
  <c r="R51" i="102"/>
  <c r="R60" i="102"/>
  <c r="L19" i="103"/>
  <c r="N19" i="103" s="1"/>
  <c r="P22" i="104"/>
  <c r="N13" i="101"/>
  <c r="R30" i="101"/>
  <c r="R50" i="101"/>
  <c r="R54" i="101"/>
  <c r="R55" i="101"/>
  <c r="L13" i="102"/>
  <c r="L17" i="102"/>
  <c r="N17" i="102" s="1"/>
  <c r="D23" i="102"/>
  <c r="R29" i="102"/>
  <c r="R33" i="102"/>
  <c r="F37" i="102"/>
  <c r="R45" i="102"/>
  <c r="R50" i="102"/>
  <c r="R56" i="102"/>
  <c r="F63" i="102"/>
  <c r="L64" i="102"/>
  <c r="N64" i="102" s="1"/>
  <c r="R76" i="102"/>
  <c r="N80" i="102"/>
  <c r="F46" i="103"/>
  <c r="F45" i="103"/>
  <c r="F37" i="103"/>
  <c r="F36" i="103"/>
  <c r="L12" i="103"/>
  <c r="F50" i="103"/>
  <c r="F48" i="103"/>
  <c r="F39" i="103"/>
  <c r="F38" i="103"/>
  <c r="F27" i="103"/>
  <c r="F23" i="103"/>
  <c r="F52" i="103"/>
  <c r="F40" i="103"/>
  <c r="F24" i="103"/>
  <c r="F20" i="103"/>
  <c r="F19" i="103"/>
  <c r="F57" i="103"/>
  <c r="F54" i="103"/>
  <c r="F31" i="103"/>
  <c r="F30" i="103"/>
  <c r="F18" i="103"/>
  <c r="F16" i="103"/>
  <c r="F14" i="103"/>
  <c r="F35" i="103"/>
  <c r="F34" i="103"/>
  <c r="V37" i="103"/>
  <c r="F41" i="103"/>
  <c r="R22" i="104"/>
  <c r="X77" i="104"/>
  <c r="R39" i="101"/>
  <c r="F80" i="102"/>
  <c r="F84" i="102"/>
  <c r="F79" i="102"/>
  <c r="F70" i="102"/>
  <c r="F66" i="102"/>
  <c r="F58" i="102"/>
  <c r="F50" i="102"/>
  <c r="F49" i="102"/>
  <c r="F73" i="102"/>
  <c r="F72" i="102"/>
  <c r="R19" i="102"/>
  <c r="F25" i="102"/>
  <c r="R38" i="102"/>
  <c r="F41" i="102"/>
  <c r="F42" i="102"/>
  <c r="R44" i="102"/>
  <c r="F48" i="102"/>
  <c r="F54" i="102"/>
  <c r="X59" i="102"/>
  <c r="X64" i="102"/>
  <c r="Z64" i="102" s="1"/>
  <c r="F74" i="102"/>
  <c r="Z76" i="102"/>
  <c r="V14" i="103"/>
  <c r="N18" i="103"/>
  <c r="L34" i="103"/>
  <c r="V39" i="103"/>
  <c r="L43" i="103"/>
  <c r="N43" i="103" s="1"/>
  <c r="T22" i="104"/>
  <c r="R25" i="104"/>
  <c r="N46" i="104"/>
  <c r="Z77" i="104"/>
  <c r="Z39" i="105"/>
  <c r="X39" i="105"/>
  <c r="X81" i="104"/>
  <c r="L31" i="105"/>
  <c r="N31" i="105" s="1"/>
  <c r="J80" i="106"/>
  <c r="J62" i="106"/>
  <c r="J54" i="106"/>
  <c r="J64" i="106"/>
  <c r="J83" i="106"/>
  <c r="J57" i="106"/>
  <c r="J87" i="106"/>
  <c r="J65" i="106"/>
  <c r="J59" i="106"/>
  <c r="J47" i="106"/>
  <c r="J33" i="106"/>
  <c r="J29" i="106"/>
  <c r="J25" i="106"/>
  <c r="J23" i="106"/>
  <c r="J76" i="106"/>
  <c r="J66" i="106"/>
  <c r="J50" i="106"/>
  <c r="J30" i="106"/>
  <c r="J26" i="106"/>
  <c r="J79" i="106"/>
  <c r="J53" i="106"/>
  <c r="J41" i="106"/>
  <c r="J45" i="106"/>
  <c r="J19" i="106"/>
  <c r="J77" i="106"/>
  <c r="J69" i="106"/>
  <c r="J38" i="106"/>
  <c r="J32" i="106"/>
  <c r="J74" i="106"/>
  <c r="J60" i="106"/>
  <c r="J27" i="106"/>
  <c r="J67" i="106"/>
  <c r="J51" i="106"/>
  <c r="J42" i="106"/>
  <c r="J24" i="106"/>
  <c r="H21" i="106"/>
  <c r="J21" i="106" s="1"/>
  <c r="J63" i="106"/>
  <c r="J46" i="106"/>
  <c r="J36" i="106"/>
  <c r="J78" i="106"/>
  <c r="J72" i="106"/>
  <c r="J55" i="106"/>
  <c r="J43" i="106"/>
  <c r="J39" i="106"/>
  <c r="J70" i="106"/>
  <c r="J75" i="106"/>
  <c r="J61" i="106"/>
  <c r="J52" i="106"/>
  <c r="J28" i="106"/>
  <c r="J81" i="106"/>
  <c r="J68" i="106"/>
  <c r="J49" i="106"/>
  <c r="J18" i="106"/>
  <c r="J71" i="106"/>
  <c r="J35" i="106"/>
  <c r="J32" i="103"/>
  <c r="J42" i="103"/>
  <c r="X62" i="104"/>
  <c r="Z62" i="104" s="1"/>
  <c r="V40" i="105"/>
  <c r="V24" i="105"/>
  <c r="V31" i="105"/>
  <c r="V23" i="105"/>
  <c r="V19" i="105"/>
  <c r="V30" i="105"/>
  <c r="T21" i="105"/>
  <c r="V51" i="105"/>
  <c r="V41" i="105"/>
  <c r="V33" i="105"/>
  <c r="V25" i="105"/>
  <c r="V32" i="105"/>
  <c r="V35" i="105"/>
  <c r="V42" i="105"/>
  <c r="V34" i="105"/>
  <c r="V26" i="105"/>
  <c r="V37" i="105"/>
  <c r="V17" i="105"/>
  <c r="V43" i="105"/>
  <c r="V39" i="105"/>
  <c r="V27" i="105"/>
  <c r="V47" i="105"/>
  <c r="V45" i="105"/>
  <c r="V29" i="105"/>
  <c r="N23" i="105"/>
  <c r="Z35" i="105"/>
  <c r="X37" i="105"/>
  <c r="X41" i="106"/>
  <c r="Z41" i="106" s="1"/>
  <c r="J41" i="103"/>
  <c r="Z37" i="105"/>
  <c r="D91" i="108"/>
  <c r="L16" i="104"/>
  <c r="D12" i="105"/>
  <c r="L13" i="105"/>
  <c r="F79" i="106"/>
  <c r="F78" i="106"/>
  <c r="F81" i="106"/>
  <c r="F80" i="106"/>
  <c r="F73" i="106"/>
  <c r="F69" i="106"/>
  <c r="F64" i="106"/>
  <c r="F63" i="106"/>
  <c r="F56" i="106"/>
  <c r="F55" i="106"/>
  <c r="F83" i="106"/>
  <c r="F74" i="106"/>
  <c r="F70" i="106"/>
  <c r="F58" i="106"/>
  <c r="F57" i="106"/>
  <c r="F46" i="106"/>
  <c r="F45" i="106"/>
  <c r="F38" i="106"/>
  <c r="F75" i="106"/>
  <c r="F71" i="106"/>
  <c r="F39" i="106"/>
  <c r="F35" i="106"/>
  <c r="F34" i="106"/>
  <c r="F72" i="106"/>
  <c r="F68" i="106"/>
  <c r="F67" i="106"/>
  <c r="F52" i="106"/>
  <c r="F51" i="106"/>
  <c r="F40" i="106"/>
  <c r="F36" i="106"/>
  <c r="F66" i="106"/>
  <c r="F59" i="106"/>
  <c r="F50" i="106"/>
  <c r="F29" i="106"/>
  <c r="F62" i="106"/>
  <c r="F19" i="106"/>
  <c r="F77" i="106"/>
  <c r="F54" i="106"/>
  <c r="F41" i="106"/>
  <c r="F32" i="106"/>
  <c r="F60" i="106"/>
  <c r="F27" i="106"/>
  <c r="F42" i="106"/>
  <c r="F30" i="106"/>
  <c r="F65" i="106"/>
  <c r="F24" i="106"/>
  <c r="F23" i="106"/>
  <c r="D21" i="106"/>
  <c r="F21" i="106" s="1"/>
  <c r="F87" i="106"/>
  <c r="F33" i="106"/>
  <c r="F25" i="106"/>
  <c r="F47" i="106"/>
  <c r="F43" i="106"/>
  <c r="F48" i="106"/>
  <c r="F44" i="106"/>
  <c r="F37" i="106"/>
  <c r="F31" i="106"/>
  <c r="F76" i="106"/>
  <c r="F53" i="106"/>
  <c r="F49" i="106"/>
  <c r="F17" i="106"/>
  <c r="J40" i="106"/>
  <c r="J28" i="103"/>
  <c r="X45" i="103"/>
  <c r="Z45" i="103" s="1"/>
  <c r="J52" i="103"/>
  <c r="X13" i="104"/>
  <c r="L44" i="104"/>
  <c r="X48" i="104"/>
  <c r="Z48" i="104" s="1"/>
  <c r="H12" i="105"/>
  <c r="N13" i="105"/>
  <c r="V36" i="105"/>
  <c r="V38" i="105"/>
  <c r="L12" i="106"/>
  <c r="N12" i="106" s="1"/>
  <c r="J58" i="106"/>
  <c r="J23" i="103"/>
  <c r="J27" i="103"/>
  <c r="J39" i="103"/>
  <c r="Z13" i="104"/>
  <c r="Z73" i="104"/>
  <c r="N15" i="105"/>
  <c r="V44" i="105"/>
  <c r="J17" i="106"/>
  <c r="J56" i="106"/>
  <c r="J38" i="103"/>
  <c r="J48" i="103"/>
  <c r="N42" i="104"/>
  <c r="Z58" i="104"/>
  <c r="L77" i="104"/>
  <c r="N77" i="104" s="1"/>
  <c r="Z14" i="106"/>
  <c r="Z51" i="106"/>
  <c r="Z67" i="106"/>
  <c r="Z41" i="108"/>
  <c r="Z24" i="106"/>
  <c r="R24" i="106"/>
  <c r="N41" i="106"/>
  <c r="Z47" i="106"/>
  <c r="R54" i="106"/>
  <c r="N59" i="106"/>
  <c r="R69" i="106"/>
  <c r="R74" i="106"/>
  <c r="X74" i="108"/>
  <c r="Z74" i="108" s="1"/>
  <c r="R19" i="106"/>
  <c r="R29" i="106"/>
  <c r="R35" i="106"/>
  <c r="R41" i="106"/>
  <c r="X45" i="106"/>
  <c r="Z45" i="106" s="1"/>
  <c r="R71" i="106"/>
  <c r="N24" i="108"/>
  <c r="L55" i="106"/>
  <c r="R87" i="106"/>
  <c r="R65" i="106"/>
  <c r="R60" i="106"/>
  <c r="R67" i="106"/>
  <c r="R66" i="106"/>
  <c r="R51" i="106"/>
  <c r="R50" i="106"/>
  <c r="R30" i="106"/>
  <c r="R26" i="106"/>
  <c r="R80" i="106"/>
  <c r="R79" i="106"/>
  <c r="R31" i="106"/>
  <c r="R27" i="106"/>
  <c r="R83" i="106"/>
  <c r="R64" i="106"/>
  <c r="R57" i="106"/>
  <c r="R56" i="106"/>
  <c r="R45" i="106"/>
  <c r="R44" i="106"/>
  <c r="R18" i="106"/>
  <c r="R37" i="106"/>
  <c r="N43" i="106"/>
  <c r="R53" i="106"/>
  <c r="N55" i="106"/>
  <c r="R68" i="106"/>
  <c r="R76" i="106"/>
  <c r="R81" i="106"/>
  <c r="J80" i="108"/>
  <c r="J72" i="108"/>
  <c r="J68" i="108"/>
  <c r="J62" i="108"/>
  <c r="J52" i="108"/>
  <c r="J40" i="108"/>
  <c r="J36" i="108"/>
  <c r="N12" i="108"/>
  <c r="J63" i="108"/>
  <c r="J53" i="108"/>
  <c r="J41" i="108"/>
  <c r="J31" i="108"/>
  <c r="J27" i="108"/>
  <c r="J17" i="108"/>
  <c r="J82" i="108"/>
  <c r="J76" i="108"/>
  <c r="J70" i="108"/>
  <c r="J58" i="108"/>
  <c r="J46" i="108"/>
  <c r="J38" i="108"/>
  <c r="J24" i="108"/>
  <c r="J77" i="108"/>
  <c r="J71" i="108"/>
  <c r="J66" i="108"/>
  <c r="J59" i="108"/>
  <c r="J45" i="108"/>
  <c r="J74" i="108"/>
  <c r="J54" i="108"/>
  <c r="J50" i="108"/>
  <c r="J23" i="108"/>
  <c r="J86" i="108"/>
  <c r="J78" i="108"/>
  <c r="J69" i="108"/>
  <c r="J55" i="108"/>
  <c r="J30" i="108"/>
  <c r="J18" i="108"/>
  <c r="J67" i="108"/>
  <c r="J60" i="108"/>
  <c r="J56" i="108"/>
  <c r="J51" i="108"/>
  <c r="J33" i="108"/>
  <c r="J75" i="108"/>
  <c r="J64" i="108"/>
  <c r="J47" i="108"/>
  <c r="J42" i="108"/>
  <c r="J39" i="108"/>
  <c r="J34" i="108"/>
  <c r="J28" i="108"/>
  <c r="J25" i="108"/>
  <c r="J79" i="108"/>
  <c r="J57" i="108"/>
  <c r="J43" i="108"/>
  <c r="J19" i="108"/>
  <c r="J37" i="108"/>
  <c r="J73" i="108"/>
  <c r="J61" i="108"/>
  <c r="J48" i="108"/>
  <c r="J44" i="108"/>
  <c r="J49" i="108"/>
  <c r="J32" i="108"/>
  <c r="J29" i="108"/>
  <c r="H21" i="108"/>
  <c r="J65" i="108"/>
  <c r="L15" i="106"/>
  <c r="N15" i="106" s="1"/>
  <c r="R34" i="106"/>
  <c r="L47" i="106"/>
  <c r="N47" i="106" s="1"/>
  <c r="R48" i="106"/>
  <c r="R49" i="106"/>
  <c r="R52" i="106"/>
  <c r="R58" i="106"/>
  <c r="N63" i="106"/>
  <c r="F88" i="108"/>
  <c r="X12" i="106"/>
  <c r="R17" i="106"/>
  <c r="R28" i="106"/>
  <c r="Z49" i="106"/>
  <c r="X53" i="106"/>
  <c r="Z53" i="106" s="1"/>
  <c r="R61" i="106"/>
  <c r="R75" i="106"/>
  <c r="R74" i="108"/>
  <c r="R73" i="108"/>
  <c r="R69" i="108"/>
  <c r="R37" i="108"/>
  <c r="R86" i="108"/>
  <c r="R64" i="108"/>
  <c r="R57" i="108"/>
  <c r="R56" i="108"/>
  <c r="R45" i="108"/>
  <c r="R44" i="108"/>
  <c r="R32" i="108"/>
  <c r="R28" i="108"/>
  <c r="R76" i="108"/>
  <c r="R75" i="108"/>
  <c r="R79" i="108"/>
  <c r="R71" i="108"/>
  <c r="R67" i="108"/>
  <c r="R39" i="108"/>
  <c r="R35" i="108"/>
  <c r="R51" i="108"/>
  <c r="R46" i="108"/>
  <c r="R30" i="108"/>
  <c r="R27" i="108"/>
  <c r="R24" i="108"/>
  <c r="R18" i="108"/>
  <c r="R36" i="108"/>
  <c r="R33" i="108"/>
  <c r="R60" i="108"/>
  <c r="R47" i="108"/>
  <c r="R82" i="108"/>
  <c r="R72" i="108"/>
  <c r="R42" i="108"/>
  <c r="R34" i="108"/>
  <c r="R25" i="108"/>
  <c r="R52" i="108"/>
  <c r="R43" i="108"/>
  <c r="R19" i="108"/>
  <c r="R70" i="108"/>
  <c r="R31" i="108"/>
  <c r="R61" i="108"/>
  <c r="R68" i="108"/>
  <c r="R65" i="108"/>
  <c r="R62" i="108"/>
  <c r="R58" i="108"/>
  <c r="R53" i="108"/>
  <c r="R49" i="108"/>
  <c r="R48" i="108"/>
  <c r="R26" i="108"/>
  <c r="R40" i="108"/>
  <c r="R29" i="108"/>
  <c r="P21" i="108"/>
  <c r="R77" i="108"/>
  <c r="R66" i="108"/>
  <c r="R59" i="108"/>
  <c r="R17" i="108"/>
  <c r="R78" i="108"/>
  <c r="R63" i="108"/>
  <c r="R55" i="108"/>
  <c r="R41" i="108"/>
  <c r="R38" i="108"/>
  <c r="R25" i="106"/>
  <c r="R33" i="106"/>
  <c r="R39" i="106"/>
  <c r="R55" i="106"/>
  <c r="R70" i="106"/>
  <c r="R72" i="106"/>
  <c r="L83" i="106"/>
  <c r="J35" i="108"/>
  <c r="R36" i="106"/>
  <c r="R43" i="106"/>
  <c r="R47" i="106"/>
  <c r="R63" i="106"/>
  <c r="R78" i="106"/>
  <c r="X80" i="106"/>
  <c r="X55" i="108"/>
  <c r="Z55" i="108" s="1"/>
  <c r="R46" i="106"/>
  <c r="X67" i="106"/>
  <c r="P21" i="106"/>
  <c r="R23" i="106"/>
  <c r="R42" i="106"/>
  <c r="Z23" i="108"/>
  <c r="Z47" i="108"/>
  <c r="Z14" i="108"/>
  <c r="X23" i="108"/>
  <c r="F35" i="108"/>
  <c r="F53" i="108"/>
  <c r="F65" i="108"/>
  <c r="Z18" i="109"/>
  <c r="X13" i="110"/>
  <c r="Z13" i="110" s="1"/>
  <c r="N19" i="110"/>
  <c r="F57" i="108"/>
  <c r="P37" i="109"/>
  <c r="X16" i="109"/>
  <c r="L19" i="109"/>
  <c r="N19" i="109" s="1"/>
  <c r="F26" i="109"/>
  <c r="L29" i="110"/>
  <c r="N29" i="110" s="1"/>
  <c r="F61" i="108"/>
  <c r="F80" i="108"/>
  <c r="F72" i="108"/>
  <c r="F68" i="108"/>
  <c r="F52" i="108"/>
  <c r="F51" i="108"/>
  <c r="F40" i="108"/>
  <c r="F36" i="108"/>
  <c r="L12" i="108"/>
  <c r="F75" i="108"/>
  <c r="F74" i="108"/>
  <c r="F19" i="108"/>
  <c r="F31" i="108"/>
  <c r="F34" i="108"/>
  <c r="L47" i="108"/>
  <c r="N47" i="108" s="1"/>
  <c r="X53" i="108"/>
  <c r="Z53" i="108" s="1"/>
  <c r="Z66" i="108"/>
  <c r="F70" i="108"/>
  <c r="F79" i="108"/>
  <c r="R16" i="109"/>
  <c r="F19" i="109"/>
  <c r="R35" i="109"/>
  <c r="Z19" i="110"/>
  <c r="V24" i="110"/>
  <c r="Z48" i="110"/>
  <c r="N34" i="108"/>
  <c r="Z16" i="109"/>
  <c r="J69" i="110"/>
  <c r="J63" i="110"/>
  <c r="J47" i="110"/>
  <c r="J35" i="110"/>
  <c r="J31" i="110"/>
  <c r="J50" i="110"/>
  <c r="J51" i="110"/>
  <c r="J53" i="110"/>
  <c r="J41" i="110"/>
  <c r="J33" i="110"/>
  <c r="J59" i="110"/>
  <c r="J60" i="110"/>
  <c r="J54" i="110"/>
  <c r="J65" i="110"/>
  <c r="J61" i="110"/>
  <c r="J55" i="110"/>
  <c r="J45" i="110"/>
  <c r="J25" i="110"/>
  <c r="J21" i="110"/>
  <c r="J19" i="110"/>
  <c r="J15" i="110"/>
  <c r="J64" i="110"/>
  <c r="J56" i="110"/>
  <c r="J46" i="110"/>
  <c r="J44" i="110"/>
  <c r="J48" i="110"/>
  <c r="J40" i="110"/>
  <c r="J30" i="110"/>
  <c r="J27" i="110"/>
  <c r="J24" i="110"/>
  <c r="J36" i="110"/>
  <c r="J52" i="110"/>
  <c r="J58" i="110"/>
  <c r="J22" i="110"/>
  <c r="J49" i="110"/>
  <c r="J42" i="110"/>
  <c r="J37" i="110"/>
  <c r="J28" i="110"/>
  <c r="J57" i="110"/>
  <c r="J38" i="110"/>
  <c r="J34" i="110"/>
  <c r="J29" i="110"/>
  <c r="J23" i="110"/>
  <c r="J43" i="110"/>
  <c r="J39" i="110"/>
  <c r="J32" i="110"/>
  <c r="J20" i="110"/>
  <c r="F82" i="108"/>
  <c r="L12" i="110"/>
  <c r="N12" i="110" s="1"/>
  <c r="T12" i="108"/>
  <c r="X15" i="108"/>
  <c r="Z15" i="108" s="1"/>
  <c r="F24" i="108"/>
  <c r="F33" i="108"/>
  <c r="F56" i="108"/>
  <c r="F60" i="108"/>
  <c r="F67" i="108"/>
  <c r="X14" i="109"/>
  <c r="F18" i="109"/>
  <c r="V15" i="110"/>
  <c r="X49" i="108"/>
  <c r="Z49" i="108" s="1"/>
  <c r="F78" i="108"/>
  <c r="F29" i="109"/>
  <c r="F33" i="109"/>
  <c r="F41" i="109"/>
  <c r="F34" i="109"/>
  <c r="F21" i="109"/>
  <c r="F25" i="109"/>
  <c r="F35" i="109"/>
  <c r="F44" i="109"/>
  <c r="F30" i="109"/>
  <c r="F22" i="109"/>
  <c r="F31" i="109"/>
  <c r="F23" i="109"/>
  <c r="R14" i="109"/>
  <c r="F37" i="109"/>
  <c r="L14" i="108"/>
  <c r="N14" i="108" s="1"/>
  <c r="F23" i="108"/>
  <c r="F41" i="108"/>
  <c r="F46" i="108"/>
  <c r="X47" i="108"/>
  <c r="N55" i="108"/>
  <c r="L59" i="108"/>
  <c r="N59" i="108" s="1"/>
  <c r="F69" i="108"/>
  <c r="N78" i="108"/>
  <c r="F86" i="108"/>
  <c r="Z19" i="109"/>
  <c r="T33" i="109"/>
  <c r="T37" i="109" s="1"/>
  <c r="R41" i="109"/>
  <c r="N13" i="110"/>
  <c r="L17" i="108"/>
  <c r="N17" i="108" s="1"/>
  <c r="Z34" i="108"/>
  <c r="F38" i="108"/>
  <c r="F45" i="108"/>
  <c r="F50" i="108"/>
  <c r="F54" i="108"/>
  <c r="F59" i="108"/>
  <c r="F63" i="108"/>
  <c r="F66" i="108"/>
  <c r="N74" i="108"/>
  <c r="L12" i="109"/>
  <c r="D16" i="109"/>
  <c r="L18" i="109"/>
  <c r="N18" i="109" s="1"/>
  <c r="R21" i="109"/>
  <c r="F27" i="109"/>
  <c r="X34" i="109"/>
  <c r="Z34" i="109" s="1"/>
  <c r="H17" i="110"/>
  <c r="L21" i="108"/>
  <c r="N66" i="108"/>
  <c r="R32" i="110"/>
  <c r="X12" i="110"/>
  <c r="Z12" i="110" s="1"/>
  <c r="R53" i="110"/>
  <c r="R65" i="110"/>
  <c r="R55" i="110"/>
  <c r="R54" i="110"/>
  <c r="R34" i="110"/>
  <c r="R30" i="110"/>
  <c r="R19" i="110"/>
  <c r="R15" i="110"/>
  <c r="R64" i="110"/>
  <c r="R61" i="110"/>
  <c r="R63" i="110"/>
  <c r="R56" i="110"/>
  <c r="R69" i="110"/>
  <c r="R26" i="110"/>
  <c r="R22" i="110"/>
  <c r="R57" i="110"/>
  <c r="R50" i="110"/>
  <c r="R49" i="110"/>
  <c r="R45" i="110"/>
  <c r="R36" i="110"/>
  <c r="R52" i="110"/>
  <c r="R33" i="110"/>
  <c r="R60" i="110"/>
  <c r="R58" i="110"/>
  <c r="R41" i="110"/>
  <c r="R46" i="110"/>
  <c r="R42" i="110"/>
  <c r="R25" i="110"/>
  <c r="R37" i="110"/>
  <c r="R31" i="110"/>
  <c r="R28" i="110"/>
  <c r="R38" i="110"/>
  <c r="P17" i="110"/>
  <c r="R29" i="110"/>
  <c r="R23" i="110"/>
  <c r="R47" i="110"/>
  <c r="R43" i="110"/>
  <c r="R39" i="110"/>
  <c r="R20" i="110"/>
  <c r="R44" i="110"/>
  <c r="R59" i="110"/>
  <c r="R40" i="110"/>
  <c r="R51" i="110"/>
  <c r="R48" i="110"/>
  <c r="R35" i="110"/>
  <c r="R27" i="110"/>
  <c r="R24" i="110"/>
  <c r="F21" i="108"/>
  <c r="X41" i="108"/>
  <c r="L53" i="108"/>
  <c r="F62" i="108"/>
  <c r="X78" i="108"/>
  <c r="Z78" i="108" s="1"/>
  <c r="R39" i="109"/>
  <c r="R34" i="109"/>
  <c r="R31" i="109"/>
  <c r="R44" i="109"/>
  <c r="R30" i="109"/>
  <c r="R22" i="109"/>
  <c r="R37" i="109"/>
  <c r="R26" i="109"/>
  <c r="X12" i="109"/>
  <c r="R27" i="109"/>
  <c r="R23" i="109"/>
  <c r="R19" i="109"/>
  <c r="R33" i="109"/>
  <c r="H37" i="109"/>
  <c r="N16" i="109"/>
  <c r="R18" i="109"/>
  <c r="V51" i="110"/>
  <c r="V39" i="110"/>
  <c r="V27" i="110"/>
  <c r="V23" i="110"/>
  <c r="V60" i="110"/>
  <c r="V65" i="110"/>
  <c r="V59" i="110"/>
  <c r="V55" i="110"/>
  <c r="V61" i="110"/>
  <c r="V45" i="110"/>
  <c r="V25" i="110"/>
  <c r="V21" i="110"/>
  <c r="V69" i="110"/>
  <c r="V57" i="110"/>
  <c r="V49" i="110"/>
  <c r="V37" i="110"/>
  <c r="V52" i="110"/>
  <c r="V40" i="110"/>
  <c r="V33" i="110"/>
  <c r="V58" i="110"/>
  <c r="V56" i="110"/>
  <c r="V54" i="110"/>
  <c r="V46" i="110"/>
  <c r="V42" i="110"/>
  <c r="V41" i="110"/>
  <c r="V22" i="110"/>
  <c r="V38" i="110"/>
  <c r="V31" i="110"/>
  <c r="V28" i="110"/>
  <c r="V17" i="110"/>
  <c r="V29" i="110"/>
  <c r="T17" i="110"/>
  <c r="V50" i="110"/>
  <c r="V20" i="110"/>
  <c r="V47" i="110"/>
  <c r="V44" i="110"/>
  <c r="V43" i="110"/>
  <c r="V34" i="110"/>
  <c r="V19" i="110"/>
  <c r="V53" i="110"/>
  <c r="V26" i="110"/>
  <c r="V32" i="110"/>
  <c r="V48" i="110"/>
  <c r="V36" i="110"/>
  <c r="V64" i="110"/>
  <c r="J26" i="110"/>
  <c r="F26" i="110"/>
  <c r="F38" i="110"/>
  <c r="F39" i="110"/>
  <c r="F43" i="110"/>
  <c r="F50" i="110"/>
  <c r="J30" i="109"/>
  <c r="J26" i="109"/>
  <c r="V34" i="109"/>
  <c r="V41" i="109"/>
  <c r="D17" i="110"/>
  <c r="L42" i="110"/>
  <c r="F47" i="110"/>
  <c r="F28" i="110"/>
  <c r="L38" i="110"/>
  <c r="N38" i="110" s="1"/>
  <c r="F42" i="110"/>
  <c r="F37" i="110"/>
  <c r="F46" i="110"/>
  <c r="F22" i="110"/>
  <c r="F25" i="110"/>
  <c r="F31" i="110"/>
  <c r="F52" i="110"/>
  <c r="X65" i="110"/>
  <c r="V14" i="109"/>
  <c r="V16" i="109"/>
  <c r="V18" i="109"/>
  <c r="N30" i="109"/>
  <c r="V31" i="109"/>
  <c r="Z29" i="110"/>
  <c r="F36" i="110"/>
  <c r="F41" i="110"/>
  <c r="X44" i="110"/>
  <c r="Z44" i="110" s="1"/>
  <c r="Z65" i="110"/>
  <c r="T63" i="110"/>
  <c r="V63" i="110" s="1"/>
  <c r="V19" i="109"/>
  <c r="V23" i="109"/>
  <c r="X20" i="110"/>
  <c r="Z20" i="110" s="1"/>
  <c r="F33" i="110"/>
  <c r="X42" i="110"/>
  <c r="Z42" i="110" s="1"/>
  <c r="Z12" i="109"/>
  <c r="J25" i="109"/>
  <c r="V26" i="109"/>
  <c r="V27" i="109"/>
  <c r="J29" i="109"/>
  <c r="J35" i="109"/>
  <c r="F24" i="110"/>
  <c r="F27" i="110"/>
  <c r="F40" i="110"/>
  <c r="L48" i="110"/>
  <c r="D63" i="110"/>
  <c r="L63" i="110" s="1"/>
  <c r="N63" i="110" s="1"/>
  <c r="L64" i="110"/>
  <c r="N64" i="110" s="1"/>
  <c r="N34" i="109"/>
  <c r="X35" i="109"/>
  <c r="Z35" i="109" s="1"/>
  <c r="V37" i="109"/>
  <c r="F65" i="110"/>
  <c r="F56" i="110"/>
  <c r="F55" i="110"/>
  <c r="F19" i="110"/>
  <c r="F17" i="110"/>
  <c r="F15" i="110"/>
  <c r="F69" i="110"/>
  <c r="F64" i="110"/>
  <c r="F57" i="110"/>
  <c r="F49" i="110"/>
  <c r="F48" i="110"/>
  <c r="F58" i="110"/>
  <c r="F59" i="110"/>
  <c r="F54" i="110"/>
  <c r="F34" i="110"/>
  <c r="F30" i="110"/>
  <c r="F29" i="110"/>
  <c r="F61" i="110"/>
  <c r="F60" i="110"/>
  <c r="F45" i="110"/>
  <c r="F44" i="110"/>
  <c r="F20" i="110"/>
  <c r="F21" i="110"/>
  <c r="F51" i="110"/>
  <c r="F32" i="110"/>
  <c r="X48" i="110"/>
  <c r="Z52" i="110"/>
  <c r="T41" i="109" l="1"/>
  <c r="X87" i="92"/>
  <c r="P91" i="92"/>
  <c r="P86" i="102"/>
  <c r="V70" i="80"/>
  <c r="V36" i="80"/>
  <c r="V32" i="80"/>
  <c r="V59" i="80"/>
  <c r="V55" i="80"/>
  <c r="V47" i="80"/>
  <c r="V39" i="80"/>
  <c r="V27" i="80"/>
  <c r="V23" i="80"/>
  <c r="V54" i="80"/>
  <c r="V38" i="80"/>
  <c r="V22" i="80"/>
  <c r="V18" i="80"/>
  <c r="V61" i="80"/>
  <c r="V49" i="80"/>
  <c r="V41" i="80"/>
  <c r="V33" i="80"/>
  <c r="T20" i="80"/>
  <c r="V20" i="80" s="1"/>
  <c r="V60" i="80"/>
  <c r="V56" i="80"/>
  <c r="V48" i="80"/>
  <c r="V40" i="80"/>
  <c r="V62" i="80"/>
  <c r="V50" i="80"/>
  <c r="V57" i="80"/>
  <c r="V45" i="80"/>
  <c r="V29" i="80"/>
  <c r="V25" i="80"/>
  <c r="V66" i="80"/>
  <c r="V64" i="80"/>
  <c r="V52" i="80"/>
  <c r="V44" i="80"/>
  <c r="V16" i="80"/>
  <c r="V35" i="80"/>
  <c r="V31" i="80"/>
  <c r="V43" i="80"/>
  <c r="V34" i="80"/>
  <c r="V17" i="80"/>
  <c r="V58" i="80"/>
  <c r="V37" i="80"/>
  <c r="V51" i="80"/>
  <c r="V46" i="80"/>
  <c r="V63" i="80"/>
  <c r="V53" i="80"/>
  <c r="V42" i="80"/>
  <c r="V26" i="80"/>
  <c r="V24" i="80"/>
  <c r="V30" i="80"/>
  <c r="V28" i="80"/>
  <c r="L18" i="52"/>
  <c r="D27" i="52"/>
  <c r="X21" i="105"/>
  <c r="P49" i="105"/>
  <c r="R120" i="85"/>
  <c r="R103" i="85"/>
  <c r="R102" i="85"/>
  <c r="R113" i="85"/>
  <c r="R112" i="85"/>
  <c r="R114" i="85"/>
  <c r="R116" i="85"/>
  <c r="R98" i="85"/>
  <c r="R50" i="85"/>
  <c r="R46" i="85"/>
  <c r="R42" i="85"/>
  <c r="R38" i="85"/>
  <c r="R106" i="85"/>
  <c r="R90" i="85"/>
  <c r="R64" i="85"/>
  <c r="R60" i="85"/>
  <c r="R99" i="85"/>
  <c r="R92" i="85"/>
  <c r="R91" i="85"/>
  <c r="R80" i="85"/>
  <c r="R79" i="85"/>
  <c r="R51" i="85"/>
  <c r="R110" i="85"/>
  <c r="R70" i="85"/>
  <c r="R107" i="85"/>
  <c r="R104" i="85"/>
  <c r="R94" i="85"/>
  <c r="R93" i="85"/>
  <c r="R82" i="85"/>
  <c r="R81" i="85"/>
  <c r="R65" i="85"/>
  <c r="R61" i="85"/>
  <c r="R52" i="85"/>
  <c r="R48" i="85"/>
  <c r="R44" i="85"/>
  <c r="R40" i="85"/>
  <c r="R111" i="85"/>
  <c r="R100" i="85"/>
  <c r="R95" i="85"/>
  <c r="R84" i="85"/>
  <c r="R83" i="85"/>
  <c r="R72" i="85"/>
  <c r="R71" i="85"/>
  <c r="R36" i="85"/>
  <c r="R109" i="85"/>
  <c r="R97" i="85"/>
  <c r="R96" i="85"/>
  <c r="R68" i="85"/>
  <c r="R57" i="85"/>
  <c r="X12" i="85"/>
  <c r="R108" i="85"/>
  <c r="R101" i="85"/>
  <c r="R77" i="85"/>
  <c r="R89" i="85"/>
  <c r="R67" i="85"/>
  <c r="R53" i="85"/>
  <c r="R105" i="85"/>
  <c r="R75" i="85"/>
  <c r="R59" i="85"/>
  <c r="R73" i="85"/>
  <c r="R69" i="85"/>
  <c r="R63" i="85"/>
  <c r="R87" i="85"/>
  <c r="R85" i="85"/>
  <c r="R78" i="85"/>
  <c r="R76" i="85"/>
  <c r="R74" i="85"/>
  <c r="R58" i="85"/>
  <c r="R88" i="85"/>
  <c r="R39" i="85"/>
  <c r="R86" i="85"/>
  <c r="R62" i="85"/>
  <c r="R43" i="85"/>
  <c r="R41" i="85"/>
  <c r="R37" i="85"/>
  <c r="R49" i="85"/>
  <c r="R45" i="85"/>
  <c r="P55" i="85"/>
  <c r="R55" i="85" s="1"/>
  <c r="R66" i="85"/>
  <c r="R47" i="85"/>
  <c r="X16" i="59"/>
  <c r="P62" i="59"/>
  <c r="H122" i="36"/>
  <c r="D67" i="110"/>
  <c r="L17" i="110"/>
  <c r="Z17" i="110"/>
  <c r="T67" i="110"/>
  <c r="P67" i="110"/>
  <c r="X17" i="110"/>
  <c r="V86" i="108"/>
  <c r="V76" i="108"/>
  <c r="V64" i="108"/>
  <c r="V56" i="108"/>
  <c r="V44" i="108"/>
  <c r="V32" i="108"/>
  <c r="V28" i="108"/>
  <c r="V24" i="108"/>
  <c r="V75" i="108"/>
  <c r="V59" i="108"/>
  <c r="V47" i="108"/>
  <c r="V23" i="108"/>
  <c r="V21" i="108"/>
  <c r="V19" i="108"/>
  <c r="V78" i="108"/>
  <c r="V62" i="108"/>
  <c r="V50" i="108"/>
  <c r="V30" i="108"/>
  <c r="V26" i="108"/>
  <c r="V69" i="108"/>
  <c r="V36" i="108"/>
  <c r="V33" i="108"/>
  <c r="V82" i="108"/>
  <c r="V67" i="108"/>
  <c r="V60" i="108"/>
  <c r="V34" i="108"/>
  <c r="V72" i="108"/>
  <c r="V57" i="108"/>
  <c r="V43" i="108"/>
  <c r="V42" i="108"/>
  <c r="V39" i="108"/>
  <c r="V25" i="108"/>
  <c r="V52" i="108"/>
  <c r="V79" i="108"/>
  <c r="V70" i="108"/>
  <c r="V31" i="108"/>
  <c r="V61" i="108"/>
  <c r="V53" i="108"/>
  <c r="V49" i="108"/>
  <c r="V68" i="108"/>
  <c r="V65" i="108"/>
  <c r="V58" i="108"/>
  <c r="V48" i="108"/>
  <c r="V37" i="108"/>
  <c r="T21" i="108"/>
  <c r="V73" i="108"/>
  <c r="V66" i="108"/>
  <c r="V45" i="108"/>
  <c r="V40" i="108"/>
  <c r="V35" i="108"/>
  <c r="V29" i="108"/>
  <c r="V17" i="108"/>
  <c r="V77" i="108"/>
  <c r="V80" i="108"/>
  <c r="V74" i="108"/>
  <c r="V71" i="108"/>
  <c r="V55" i="108"/>
  <c r="V54" i="108"/>
  <c r="V41" i="108"/>
  <c r="V46" i="108"/>
  <c r="V27" i="108"/>
  <c r="V18" i="108"/>
  <c r="V51" i="108"/>
  <c r="V38" i="108"/>
  <c r="V63" i="108"/>
  <c r="X21" i="108"/>
  <c r="P84" i="108"/>
  <c r="P67" i="94"/>
  <c r="X20" i="94"/>
  <c r="Z20" i="94" s="1"/>
  <c r="V50" i="96"/>
  <c r="V38" i="96"/>
  <c r="V34" i="96"/>
  <c r="V65" i="96"/>
  <c r="V49" i="96"/>
  <c r="V41" i="96"/>
  <c r="V29" i="96"/>
  <c r="V25" i="96"/>
  <c r="V76" i="96"/>
  <c r="V72" i="96"/>
  <c r="V60" i="96"/>
  <c r="V52" i="96"/>
  <c r="V40" i="96"/>
  <c r="V16" i="96"/>
  <c r="V89" i="96"/>
  <c r="V51" i="96"/>
  <c r="V78" i="96"/>
  <c r="V66" i="96"/>
  <c r="V62" i="96"/>
  <c r="V54" i="96"/>
  <c r="V42" i="96"/>
  <c r="V30" i="96"/>
  <c r="V26" i="96"/>
  <c r="V77" i="96"/>
  <c r="V73" i="96"/>
  <c r="V61" i="96"/>
  <c r="V53" i="96"/>
  <c r="V45" i="96"/>
  <c r="V80" i="96"/>
  <c r="V68" i="96"/>
  <c r="V56" i="96"/>
  <c r="V44" i="96"/>
  <c r="V36" i="96"/>
  <c r="V32" i="96"/>
  <c r="V79" i="96"/>
  <c r="V67" i="96"/>
  <c r="V63" i="96"/>
  <c r="V55" i="96"/>
  <c r="V31" i="96"/>
  <c r="V27" i="96"/>
  <c r="V23" i="96"/>
  <c r="V82" i="96"/>
  <c r="V74" i="96"/>
  <c r="V70" i="96"/>
  <c r="V58" i="96"/>
  <c r="V46" i="96"/>
  <c r="V22" i="96"/>
  <c r="V18" i="96"/>
  <c r="V28" i="96"/>
  <c r="V75" i="96"/>
  <c r="V47" i="96"/>
  <c r="V85" i="96"/>
  <c r="V64" i="96"/>
  <c r="V43" i="96"/>
  <c r="Z12" i="96"/>
  <c r="V48" i="96"/>
  <c r="T20" i="96"/>
  <c r="V20" i="96" s="1"/>
  <c r="V39" i="96"/>
  <c r="V33" i="96"/>
  <c r="V83" i="96"/>
  <c r="V69" i="96"/>
  <c r="V24" i="96"/>
  <c r="V17" i="96"/>
  <c r="V71" i="96"/>
  <c r="V57" i="96"/>
  <c r="V59" i="96"/>
  <c r="V81" i="96"/>
  <c r="V37" i="96"/>
  <c r="V35" i="96"/>
  <c r="H67" i="94"/>
  <c r="P86" i="88"/>
  <c r="X12" i="80"/>
  <c r="Z12" i="80" s="1"/>
  <c r="F25" i="83"/>
  <c r="F24" i="83"/>
  <c r="F23" i="83"/>
  <c r="F21" i="83"/>
  <c r="D21" i="83"/>
  <c r="F27" i="83"/>
  <c r="F31" i="83"/>
  <c r="L12" i="83"/>
  <c r="F18" i="83"/>
  <c r="F17" i="83"/>
  <c r="F19" i="83"/>
  <c r="H58" i="61"/>
  <c r="L16" i="56"/>
  <c r="D71" i="56"/>
  <c r="T71" i="58"/>
  <c r="Z16" i="58"/>
  <c r="X16" i="64"/>
  <c r="P93" i="64"/>
  <c r="T35" i="55"/>
  <c r="D100" i="51"/>
  <c r="R87" i="33"/>
  <c r="R65" i="33"/>
  <c r="R64" i="33"/>
  <c r="R49" i="33"/>
  <c r="R48" i="33"/>
  <c r="R44" i="33"/>
  <c r="R93" i="33"/>
  <c r="R86" i="33"/>
  <c r="R80" i="33"/>
  <c r="R79" i="33"/>
  <c r="R56" i="33"/>
  <c r="R55" i="33"/>
  <c r="R40" i="33"/>
  <c r="R35" i="33"/>
  <c r="R85" i="33"/>
  <c r="R74" i="33"/>
  <c r="R67" i="33"/>
  <c r="R66" i="33"/>
  <c r="R84" i="33"/>
  <c r="R81" i="33"/>
  <c r="R58" i="33"/>
  <c r="R57" i="33"/>
  <c r="R45" i="33"/>
  <c r="R41" i="33"/>
  <c r="R83" i="33"/>
  <c r="R68" i="33"/>
  <c r="R32" i="33"/>
  <c r="R75" i="33"/>
  <c r="R46" i="33"/>
  <c r="R42" i="33"/>
  <c r="R70" i="33"/>
  <c r="R69" i="33"/>
  <c r="R61" i="33"/>
  <c r="R72" i="33"/>
  <c r="R71" i="33"/>
  <c r="R47" i="33"/>
  <c r="R43" i="33"/>
  <c r="R88" i="33"/>
  <c r="R78" i="33"/>
  <c r="R77" i="33"/>
  <c r="R73" i="33"/>
  <c r="R54" i="33"/>
  <c r="R53" i="33"/>
  <c r="R30" i="33"/>
  <c r="R62" i="33"/>
  <c r="R50" i="33"/>
  <c r="P37" i="33"/>
  <c r="R37" i="33" s="1"/>
  <c r="R52" i="33"/>
  <c r="R34" i="33"/>
  <c r="R89" i="33"/>
  <c r="R39" i="33"/>
  <c r="R76" i="33"/>
  <c r="R63" i="33"/>
  <c r="R59" i="33"/>
  <c r="R51" i="33"/>
  <c r="R33" i="33"/>
  <c r="R31" i="33"/>
  <c r="X12" i="33"/>
  <c r="R60" i="33"/>
  <c r="R122" i="24"/>
  <c r="R121" i="24"/>
  <c r="R114" i="24"/>
  <c r="R113" i="24"/>
  <c r="R106" i="24"/>
  <c r="R105" i="24"/>
  <c r="R117" i="24"/>
  <c r="R109" i="24"/>
  <c r="R129" i="24"/>
  <c r="R118" i="24"/>
  <c r="R111" i="24"/>
  <c r="R110" i="24"/>
  <c r="R95" i="24"/>
  <c r="R94" i="24"/>
  <c r="R120" i="24"/>
  <c r="R90" i="24"/>
  <c r="R51" i="24"/>
  <c r="R116" i="24"/>
  <c r="R108" i="24"/>
  <c r="R85" i="24"/>
  <c r="R81" i="24"/>
  <c r="R101" i="24"/>
  <c r="R96" i="24"/>
  <c r="R72" i="24"/>
  <c r="R68" i="24"/>
  <c r="R64" i="24"/>
  <c r="R60" i="24"/>
  <c r="R56" i="24"/>
  <c r="R52" i="24"/>
  <c r="R102" i="24"/>
  <c r="R97" i="24"/>
  <c r="R91" i="24"/>
  <c r="R123" i="24"/>
  <c r="R86" i="24"/>
  <c r="R82" i="24"/>
  <c r="R73" i="24"/>
  <c r="R69" i="24"/>
  <c r="R65" i="24"/>
  <c r="R61" i="24"/>
  <c r="R57" i="24"/>
  <c r="R53" i="24"/>
  <c r="R92" i="24"/>
  <c r="X12" i="24"/>
  <c r="R103" i="24"/>
  <c r="R98" i="24"/>
  <c r="R93" i="24"/>
  <c r="R88" i="24"/>
  <c r="R87" i="24"/>
  <c r="R83" i="24"/>
  <c r="R119" i="24"/>
  <c r="R115" i="24"/>
  <c r="R79" i="24"/>
  <c r="R74" i="24"/>
  <c r="R70" i="24"/>
  <c r="R66" i="24"/>
  <c r="R62" i="24"/>
  <c r="R58" i="24"/>
  <c r="R54" i="24"/>
  <c r="R125" i="24"/>
  <c r="R112" i="24"/>
  <c r="R89" i="24"/>
  <c r="R78" i="24"/>
  <c r="R104" i="24"/>
  <c r="R71" i="24"/>
  <c r="R67" i="24"/>
  <c r="R63" i="24"/>
  <c r="R59" i="24"/>
  <c r="R55" i="24"/>
  <c r="R84" i="24"/>
  <c r="R107" i="24"/>
  <c r="R100" i="24"/>
  <c r="R80" i="24"/>
  <c r="P76" i="24"/>
  <c r="R76" i="24" s="1"/>
  <c r="R99" i="24"/>
  <c r="J271" i="18"/>
  <c r="J267" i="18"/>
  <c r="J259" i="18"/>
  <c r="J243" i="18"/>
  <c r="J227" i="18"/>
  <c r="J217" i="18"/>
  <c r="J209" i="18"/>
  <c r="J191" i="18"/>
  <c r="J187" i="18"/>
  <c r="J270" i="18"/>
  <c r="J260" i="18"/>
  <c r="J254" i="18"/>
  <c r="J228" i="18"/>
  <c r="J218" i="18"/>
  <c r="J210" i="18"/>
  <c r="J269" i="18"/>
  <c r="J261" i="18"/>
  <c r="J249" i="18"/>
  <c r="J237" i="18"/>
  <c r="J229" i="18"/>
  <c r="J219" i="18"/>
  <c r="J201" i="18"/>
  <c r="J197" i="18"/>
  <c r="J262" i="18"/>
  <c r="J250" i="18"/>
  <c r="J244" i="18"/>
  <c r="J238" i="18"/>
  <c r="J230" i="18"/>
  <c r="J220" i="18"/>
  <c r="J202" i="18"/>
  <c r="J192" i="18"/>
  <c r="J188" i="18"/>
  <c r="J279" i="18"/>
  <c r="J263" i="18"/>
  <c r="J255" i="18"/>
  <c r="J251" i="18"/>
  <c r="J239" i="18"/>
  <c r="J231" i="18"/>
  <c r="J221" i="18"/>
  <c r="J211" i="18"/>
  <c r="J203" i="18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127" i="18"/>
  <c r="J278" i="18"/>
  <c r="J232" i="18"/>
  <c r="J222" i="18"/>
  <c r="J212" i="18"/>
  <c r="J204" i="18"/>
  <c r="J198" i="18"/>
  <c r="J184" i="18"/>
  <c r="J283" i="18"/>
  <c r="J277" i="18"/>
  <c r="J245" i="18"/>
  <c r="J233" i="18"/>
  <c r="J213" i="18"/>
  <c r="J205" i="18"/>
  <c r="J193" i="18"/>
  <c r="J189" i="18"/>
  <c r="J185" i="18"/>
  <c r="J183" i="18"/>
  <c r="J276" i="18"/>
  <c r="J264" i="18"/>
  <c r="J256" i="18"/>
  <c r="J252" i="18"/>
  <c r="J240" i="18"/>
  <c r="J234" i="18"/>
  <c r="J194" i="18"/>
  <c r="H181" i="18"/>
  <c r="J181" i="18" s="1"/>
  <c r="J176" i="18"/>
  <c r="J172" i="18"/>
  <c r="J168" i="18"/>
  <c r="J164" i="18"/>
  <c r="J160" i="18"/>
  <c r="J156" i="18"/>
  <c r="J152" i="18"/>
  <c r="J148" i="18"/>
  <c r="J144" i="18"/>
  <c r="J140" i="18"/>
  <c r="J275" i="18"/>
  <c r="J257" i="18"/>
  <c r="J235" i="18"/>
  <c r="J223" i="18"/>
  <c r="J199" i="18"/>
  <c r="J195" i="18"/>
  <c r="J274" i="18"/>
  <c r="J258" i="18"/>
  <c r="J246" i="18"/>
  <c r="J224" i="18"/>
  <c r="J214" i="18"/>
  <c r="J206" i="18"/>
  <c r="J190" i="18"/>
  <c r="J186" i="18"/>
  <c r="J272" i="18"/>
  <c r="J266" i="18"/>
  <c r="J248" i="18"/>
  <c r="J242" i="18"/>
  <c r="J236" i="18"/>
  <c r="J226" i="18"/>
  <c r="J216" i="18"/>
  <c r="J208" i="18"/>
  <c r="J200" i="18"/>
  <c r="J196" i="18"/>
  <c r="J241" i="18"/>
  <c r="J174" i="18"/>
  <c r="J158" i="18"/>
  <c r="J149" i="18"/>
  <c r="J130" i="18"/>
  <c r="J126" i="18"/>
  <c r="J124" i="18"/>
  <c r="J169" i="18"/>
  <c r="J138" i="18"/>
  <c r="J207" i="18"/>
  <c r="J178" i="18"/>
  <c r="J162" i="18"/>
  <c r="J153" i="18"/>
  <c r="J273" i="18"/>
  <c r="J253" i="18"/>
  <c r="J225" i="18"/>
  <c r="J173" i="18"/>
  <c r="J142" i="18"/>
  <c r="J265" i="18"/>
  <c r="J137" i="18"/>
  <c r="J133" i="18"/>
  <c r="J129" i="18"/>
  <c r="J247" i="18"/>
  <c r="J166" i="18"/>
  <c r="J157" i="18"/>
  <c r="J146" i="18"/>
  <c r="J125" i="18"/>
  <c r="J123" i="18"/>
  <c r="J177" i="18"/>
  <c r="J161" i="18"/>
  <c r="J215" i="18"/>
  <c r="J150" i="18"/>
  <c r="J141" i="18"/>
  <c r="J170" i="18"/>
  <c r="J165" i="18"/>
  <c r="J145" i="18"/>
  <c r="J154" i="18"/>
  <c r="J136" i="18"/>
  <c r="J134" i="18"/>
  <c r="J132" i="18"/>
  <c r="J128" i="18"/>
  <c r="X18" i="43"/>
  <c r="P27" i="43"/>
  <c r="H27" i="44"/>
  <c r="N18" i="44"/>
  <c r="H27" i="43"/>
  <c r="N18" i="43"/>
  <c r="P27" i="53"/>
  <c r="X18" i="53"/>
  <c r="D27" i="50"/>
  <c r="L18" i="50"/>
  <c r="D27" i="41"/>
  <c r="L18" i="41"/>
  <c r="H27" i="38"/>
  <c r="N18" i="38"/>
  <c r="L18" i="34"/>
  <c r="D27" i="34"/>
  <c r="L18" i="28"/>
  <c r="D27" i="28"/>
  <c r="H27" i="19"/>
  <c r="N18" i="19"/>
  <c r="X18" i="10"/>
  <c r="P27" i="10"/>
  <c r="H27" i="4"/>
  <c r="N18" i="4"/>
  <c r="L18" i="10"/>
  <c r="D27" i="10"/>
  <c r="H27" i="7"/>
  <c r="N18" i="7"/>
  <c r="Z18" i="5"/>
  <c r="T27" i="5"/>
  <c r="V62" i="89"/>
  <c r="V58" i="89"/>
  <c r="V42" i="89"/>
  <c r="V34" i="89"/>
  <c r="V41" i="89"/>
  <c r="V29" i="89"/>
  <c r="V25" i="89"/>
  <c r="V64" i="89"/>
  <c r="V52" i="89"/>
  <c r="V44" i="89"/>
  <c r="V16" i="89"/>
  <c r="V63" i="89"/>
  <c r="V59" i="89"/>
  <c r="V43" i="89"/>
  <c r="V35" i="89"/>
  <c r="V66" i="89"/>
  <c r="V54" i="89"/>
  <c r="V46" i="89"/>
  <c r="V30" i="89"/>
  <c r="V26" i="89"/>
  <c r="V65" i="89"/>
  <c r="V53" i="89"/>
  <c r="V45" i="89"/>
  <c r="V17" i="89"/>
  <c r="V60" i="89"/>
  <c r="V48" i="89"/>
  <c r="V36" i="89"/>
  <c r="V32" i="89"/>
  <c r="V69" i="89"/>
  <c r="V67" i="89"/>
  <c r="V55" i="89"/>
  <c r="V47" i="89"/>
  <c r="V31" i="89"/>
  <c r="V27" i="89"/>
  <c r="V23" i="89"/>
  <c r="V50" i="89"/>
  <c r="V38" i="89"/>
  <c r="V22" i="89"/>
  <c r="V18" i="89"/>
  <c r="V61" i="89"/>
  <c r="V57" i="89"/>
  <c r="V49" i="89"/>
  <c r="V37" i="89"/>
  <c r="V33" i="89"/>
  <c r="T20" i="89"/>
  <c r="V20" i="89" s="1"/>
  <c r="V24" i="89"/>
  <c r="V56" i="89"/>
  <c r="V73" i="89"/>
  <c r="V39" i="89"/>
  <c r="V28" i="89"/>
  <c r="V51" i="89"/>
  <c r="V40" i="89"/>
  <c r="T26" i="6"/>
  <c r="Z22" i="6"/>
  <c r="H27" i="47"/>
  <c r="N18" i="47"/>
  <c r="H27" i="32"/>
  <c r="N18" i="32"/>
  <c r="P75" i="93"/>
  <c r="X20" i="93"/>
  <c r="Z20" i="93" s="1"/>
  <c r="F61" i="88"/>
  <c r="F53" i="88"/>
  <c r="F52" i="88"/>
  <c r="F29" i="88"/>
  <c r="F25" i="88"/>
  <c r="F72" i="88"/>
  <c r="F68" i="88"/>
  <c r="F44" i="88"/>
  <c r="F43" i="88"/>
  <c r="F55" i="88"/>
  <c r="F54" i="88"/>
  <c r="F35" i="88"/>
  <c r="F74" i="88"/>
  <c r="F73" i="88"/>
  <c r="F62" i="88"/>
  <c r="F69" i="88"/>
  <c r="F45" i="88"/>
  <c r="F76" i="88"/>
  <c r="F75" i="88"/>
  <c r="F64" i="88"/>
  <c r="F63" i="88"/>
  <c r="F56" i="88"/>
  <c r="F47" i="88"/>
  <c r="F46" i="88"/>
  <c r="F31" i="88"/>
  <c r="F27" i="88"/>
  <c r="F78" i="88"/>
  <c r="F77" i="88"/>
  <c r="F70" i="88"/>
  <c r="F66" i="88"/>
  <c r="F65" i="88"/>
  <c r="F58" i="88"/>
  <c r="F57" i="88"/>
  <c r="F38" i="88"/>
  <c r="F37" i="88"/>
  <c r="F18" i="88"/>
  <c r="F49" i="88"/>
  <c r="F48" i="88"/>
  <c r="F33" i="88"/>
  <c r="F32" i="88"/>
  <c r="F60" i="88"/>
  <c r="F59" i="88"/>
  <c r="F40" i="88"/>
  <c r="F39" i="88"/>
  <c r="F28" i="88"/>
  <c r="F24" i="88"/>
  <c r="F23" i="88"/>
  <c r="F67" i="88"/>
  <c r="F51" i="88"/>
  <c r="F30" i="88"/>
  <c r="F80" i="88"/>
  <c r="F26" i="88"/>
  <c r="F16" i="88"/>
  <c r="F71" i="88"/>
  <c r="F22" i="88"/>
  <c r="F50" i="88"/>
  <c r="F41" i="88"/>
  <c r="F36" i="88"/>
  <c r="F34" i="88"/>
  <c r="F84" i="88"/>
  <c r="D20" i="88"/>
  <c r="L12" i="88"/>
  <c r="N12" i="88" s="1"/>
  <c r="F17" i="88"/>
  <c r="F42" i="88"/>
  <c r="F20" i="88"/>
  <c r="T45" i="99"/>
  <c r="Z41" i="99"/>
  <c r="J57" i="79"/>
  <c r="V104" i="75"/>
  <c r="V102" i="75"/>
  <c r="V94" i="75"/>
  <c r="V78" i="75"/>
  <c r="V70" i="75"/>
  <c r="V46" i="75"/>
  <c r="V42" i="75"/>
  <c r="V38" i="75"/>
  <c r="V34" i="75"/>
  <c r="V89" i="75"/>
  <c r="V81" i="75"/>
  <c r="V65" i="75"/>
  <c r="V96" i="75"/>
  <c r="V88" i="75"/>
  <c r="V80" i="75"/>
  <c r="V72" i="75"/>
  <c r="V60" i="75"/>
  <c r="V56" i="75"/>
  <c r="V109" i="75"/>
  <c r="V95" i="75"/>
  <c r="V91" i="75"/>
  <c r="V83" i="75"/>
  <c r="V47" i="75"/>
  <c r="V43" i="75"/>
  <c r="V39" i="75"/>
  <c r="V35" i="75"/>
  <c r="V97" i="75"/>
  <c r="V73" i="75"/>
  <c r="V61" i="75"/>
  <c r="V57" i="75"/>
  <c r="V100" i="75"/>
  <c r="V92" i="75"/>
  <c r="V84" i="75"/>
  <c r="V76" i="75"/>
  <c r="V99" i="75"/>
  <c r="V75" i="75"/>
  <c r="V67" i="75"/>
  <c r="V63" i="75"/>
  <c r="V68" i="75"/>
  <c r="V64" i="75"/>
  <c r="T51" i="75"/>
  <c r="V53" i="75"/>
  <c r="V49" i="75"/>
  <c r="V37" i="75"/>
  <c r="V105" i="75"/>
  <c r="V87" i="75"/>
  <c r="V74" i="75"/>
  <c r="V98" i="75"/>
  <c r="V85" i="75"/>
  <c r="V54" i="75"/>
  <c r="V66" i="75"/>
  <c r="V79" i="75"/>
  <c r="V58" i="75"/>
  <c r="V44" i="75"/>
  <c r="V90" i="75"/>
  <c r="V86" i="75"/>
  <c r="V62" i="75"/>
  <c r="V48" i="75"/>
  <c r="V40" i="75"/>
  <c r="V71" i="75"/>
  <c r="V69" i="75"/>
  <c r="V36" i="75"/>
  <c r="V51" i="75"/>
  <c r="V93" i="75"/>
  <c r="V59" i="75"/>
  <c r="V41" i="75"/>
  <c r="V82" i="75"/>
  <c r="V77" i="75"/>
  <c r="V55" i="75"/>
  <c r="V101" i="75"/>
  <c r="V45" i="75"/>
  <c r="N16" i="68"/>
  <c r="H58" i="68"/>
  <c r="V116" i="24"/>
  <c r="V108" i="24"/>
  <c r="V125" i="24"/>
  <c r="V123" i="24"/>
  <c r="V115" i="24"/>
  <c r="V107" i="24"/>
  <c r="V100" i="24"/>
  <c r="V129" i="24"/>
  <c r="V118" i="24"/>
  <c r="V120" i="24"/>
  <c r="V121" i="24"/>
  <c r="V113" i="24"/>
  <c r="V105" i="24"/>
  <c r="V97" i="24"/>
  <c r="V110" i="24"/>
  <c r="V85" i="24"/>
  <c r="V81" i="24"/>
  <c r="V102" i="24"/>
  <c r="V101" i="24"/>
  <c r="V96" i="24"/>
  <c r="V72" i="24"/>
  <c r="V68" i="24"/>
  <c r="V64" i="24"/>
  <c r="V60" i="24"/>
  <c r="V56" i="24"/>
  <c r="V52" i="24"/>
  <c r="V111" i="24"/>
  <c r="V91" i="24"/>
  <c r="V86" i="24"/>
  <c r="V82" i="24"/>
  <c r="V114" i="24"/>
  <c r="V73" i="24"/>
  <c r="V69" i="24"/>
  <c r="V65" i="24"/>
  <c r="V61" i="24"/>
  <c r="V57" i="24"/>
  <c r="V53" i="24"/>
  <c r="V93" i="24"/>
  <c r="V92" i="24"/>
  <c r="V88" i="24"/>
  <c r="Z12" i="24"/>
  <c r="V117" i="24"/>
  <c r="V109" i="24"/>
  <c r="V106" i="24"/>
  <c r="V103" i="24"/>
  <c r="V98" i="24"/>
  <c r="V87" i="24"/>
  <c r="V83" i="24"/>
  <c r="V79" i="24"/>
  <c r="V119" i="24"/>
  <c r="V78" i="24"/>
  <c r="V74" i="24"/>
  <c r="V70" i="24"/>
  <c r="V66" i="24"/>
  <c r="V62" i="24"/>
  <c r="V58" i="24"/>
  <c r="V54" i="24"/>
  <c r="V112" i="24"/>
  <c r="V89" i="24"/>
  <c r="T76" i="24"/>
  <c r="V76" i="24" s="1"/>
  <c r="V104" i="24"/>
  <c r="V99" i="24"/>
  <c r="V95" i="24"/>
  <c r="V94" i="24"/>
  <c r="V84" i="24"/>
  <c r="V80" i="24"/>
  <c r="V90" i="24"/>
  <c r="V122" i="24"/>
  <c r="V67" i="24"/>
  <c r="V55" i="24"/>
  <c r="V63" i="24"/>
  <c r="V51" i="24"/>
  <c r="V71" i="24"/>
  <c r="V59" i="24"/>
  <c r="Z16" i="9"/>
  <c r="T90" i="9"/>
  <c r="X253" i="12"/>
  <c r="L18" i="113"/>
  <c r="D27" i="113"/>
  <c r="T27" i="113"/>
  <c r="Z18" i="113"/>
  <c r="T27" i="53"/>
  <c r="Z18" i="53"/>
  <c r="H27" i="50"/>
  <c r="N18" i="50"/>
  <c r="H27" i="49"/>
  <c r="N18" i="49"/>
  <c r="L18" i="44"/>
  <c r="D27" i="44"/>
  <c r="T27" i="41"/>
  <c r="Z18" i="41"/>
  <c r="D27" i="25"/>
  <c r="L18" i="25"/>
  <c r="T27" i="28"/>
  <c r="Z18" i="28"/>
  <c r="H27" i="20"/>
  <c r="N18" i="20"/>
  <c r="L18" i="14"/>
  <c r="D27" i="14"/>
  <c r="X18" i="16"/>
  <c r="P27" i="16"/>
  <c r="H27" i="16"/>
  <c r="N18" i="16"/>
  <c r="X18" i="13"/>
  <c r="P27" i="13"/>
  <c r="L18" i="4"/>
  <c r="D27" i="4"/>
  <c r="H27" i="8"/>
  <c r="N18" i="8"/>
  <c r="L18" i="8"/>
  <c r="D27" i="8"/>
  <c r="P27" i="5"/>
  <c r="X18" i="5"/>
  <c r="D82" i="102"/>
  <c r="Z87" i="92"/>
  <c r="T91" i="92"/>
  <c r="V68" i="81"/>
  <c r="V56" i="81"/>
  <c r="V48" i="81"/>
  <c r="V36" i="81"/>
  <c r="V32" i="81"/>
  <c r="V67" i="81"/>
  <c r="V47" i="81"/>
  <c r="V31" i="81"/>
  <c r="V27" i="81"/>
  <c r="V23" i="81"/>
  <c r="V62" i="81"/>
  <c r="V50" i="81"/>
  <c r="V38" i="81"/>
  <c r="V22" i="81"/>
  <c r="V18" i="81"/>
  <c r="V71" i="81"/>
  <c r="V69" i="81"/>
  <c r="V57" i="81"/>
  <c r="V49" i="81"/>
  <c r="V37" i="81"/>
  <c r="V33" i="81"/>
  <c r="T20" i="81"/>
  <c r="V20" i="81" s="1"/>
  <c r="V52" i="81"/>
  <c r="V40" i="81"/>
  <c r="V28" i="81"/>
  <c r="V24" i="81"/>
  <c r="V63" i="81"/>
  <c r="V59" i="81"/>
  <c r="V51" i="81"/>
  <c r="V58" i="81"/>
  <c r="V42" i="81"/>
  <c r="V34" i="81"/>
  <c r="V75" i="81"/>
  <c r="V53" i="81"/>
  <c r="V41" i="81"/>
  <c r="V29" i="81"/>
  <c r="V25" i="81"/>
  <c r="V64" i="81"/>
  <c r="V60" i="81"/>
  <c r="V44" i="81"/>
  <c r="V16" i="81"/>
  <c r="V55" i="81"/>
  <c r="V43" i="81"/>
  <c r="V35" i="81"/>
  <c r="V30" i="81"/>
  <c r="V54" i="81"/>
  <c r="V65" i="81"/>
  <c r="V45" i="81"/>
  <c r="V39" i="81"/>
  <c r="V17" i="81"/>
  <c r="V61" i="81"/>
  <c r="V46" i="81"/>
  <c r="V66" i="81"/>
  <c r="V26" i="81"/>
  <c r="P100" i="77"/>
  <c r="L16" i="55"/>
  <c r="D31" i="55"/>
  <c r="F82" i="21"/>
  <c r="F46" i="21"/>
  <c r="F42" i="21"/>
  <c r="D28" i="21"/>
  <c r="F28" i="21" s="1"/>
  <c r="F93" i="21"/>
  <c r="F89" i="21"/>
  <c r="F77" i="21"/>
  <c r="F76" i="21"/>
  <c r="F69" i="21"/>
  <c r="F68" i="21"/>
  <c r="F57" i="21"/>
  <c r="F56" i="21"/>
  <c r="F37" i="21"/>
  <c r="F33" i="21"/>
  <c r="F84" i="21"/>
  <c r="F83" i="21"/>
  <c r="F48" i="21"/>
  <c r="F47" i="21"/>
  <c r="F95" i="21"/>
  <c r="F94" i="21"/>
  <c r="F79" i="21"/>
  <c r="F78" i="21"/>
  <c r="F71" i="21"/>
  <c r="F70" i="21"/>
  <c r="F59" i="21"/>
  <c r="F58" i="21"/>
  <c r="F43" i="21"/>
  <c r="F90" i="21"/>
  <c r="F50" i="21"/>
  <c r="F49" i="21"/>
  <c r="F38" i="21"/>
  <c r="F34" i="21"/>
  <c r="F97" i="21"/>
  <c r="F96" i="21"/>
  <c r="F85" i="21"/>
  <c r="F73" i="21"/>
  <c r="F72" i="21"/>
  <c r="F61" i="21"/>
  <c r="F60" i="21"/>
  <c r="F25" i="21"/>
  <c r="F24" i="21"/>
  <c r="F80" i="21"/>
  <c r="F52" i="21"/>
  <c r="F51" i="21"/>
  <c r="F44" i="21"/>
  <c r="L12" i="21"/>
  <c r="F99" i="21"/>
  <c r="F98" i="21"/>
  <c r="F91" i="21"/>
  <c r="F87" i="21"/>
  <c r="F86" i="21"/>
  <c r="F63" i="21"/>
  <c r="F62" i="21"/>
  <c r="F39" i="21"/>
  <c r="F35" i="21"/>
  <c r="F74" i="21"/>
  <c r="F54" i="21"/>
  <c r="F53" i="21"/>
  <c r="F26" i="21"/>
  <c r="F81" i="21"/>
  <c r="F65" i="21"/>
  <c r="F64" i="21"/>
  <c r="F45" i="21"/>
  <c r="F41" i="21"/>
  <c r="F40" i="21"/>
  <c r="F105" i="21"/>
  <c r="F75" i="21"/>
  <c r="F67" i="21"/>
  <c r="F66" i="21"/>
  <c r="F55" i="21"/>
  <c r="F30" i="21"/>
  <c r="F92" i="21"/>
  <c r="F32" i="21"/>
  <c r="F88" i="21"/>
  <c r="F36" i="21"/>
  <c r="F31" i="21"/>
  <c r="F101" i="21"/>
  <c r="D127" i="24"/>
  <c r="H27" i="31"/>
  <c r="N18" i="31"/>
  <c r="H41" i="109"/>
  <c r="X33" i="109"/>
  <c r="Z33" i="109" s="1"/>
  <c r="R21" i="108"/>
  <c r="T83" i="104"/>
  <c r="N20" i="101"/>
  <c r="H61" i="101"/>
  <c r="V70" i="98"/>
  <c r="V66" i="98"/>
  <c r="V58" i="98"/>
  <c r="V83" i="98"/>
  <c r="V53" i="98"/>
  <c r="V45" i="98"/>
  <c r="V17" i="98"/>
  <c r="V60" i="98"/>
  <c r="V44" i="98"/>
  <c r="V36" i="98"/>
  <c r="V32" i="98"/>
  <c r="V71" i="98"/>
  <c r="V67" i="98"/>
  <c r="V55" i="98"/>
  <c r="V72" i="98"/>
  <c r="V68" i="98"/>
  <c r="V56" i="98"/>
  <c r="V75" i="98"/>
  <c r="V63" i="98"/>
  <c r="V47" i="98"/>
  <c r="V39" i="98"/>
  <c r="V79" i="98"/>
  <c r="V69" i="98"/>
  <c r="V65" i="98"/>
  <c r="V57" i="98"/>
  <c r="V49" i="98"/>
  <c r="V41" i="98"/>
  <c r="V29" i="98"/>
  <c r="V25" i="98"/>
  <c r="V74" i="98"/>
  <c r="V51" i="98"/>
  <c r="V35" i="98"/>
  <c r="V48" i="98"/>
  <c r="V54" i="98"/>
  <c r="V52" i="98"/>
  <c r="V22" i="98"/>
  <c r="T20" i="98"/>
  <c r="V20" i="98" s="1"/>
  <c r="V16" i="98"/>
  <c r="V59" i="98"/>
  <c r="V33" i="98"/>
  <c r="V30" i="98"/>
  <c r="V28" i="98"/>
  <c r="V23" i="98"/>
  <c r="V78" i="98"/>
  <c r="V61" i="98"/>
  <c r="V38" i="98"/>
  <c r="V73" i="98"/>
  <c r="V42" i="98"/>
  <c r="V26" i="98"/>
  <c r="V46" i="98"/>
  <c r="V43" i="98"/>
  <c r="V31" i="98"/>
  <c r="V64" i="98"/>
  <c r="V50" i="98"/>
  <c r="V34" i="98"/>
  <c r="V24" i="98"/>
  <c r="V18" i="98"/>
  <c r="V76" i="98"/>
  <c r="V40" i="98"/>
  <c r="V62" i="98"/>
  <c r="V27" i="98"/>
  <c r="V37" i="98"/>
  <c r="T79" i="93"/>
  <c r="F16" i="86"/>
  <c r="F15" i="86"/>
  <c r="F26" i="86"/>
  <c r="F25" i="86"/>
  <c r="F32" i="86"/>
  <c r="F28" i="86"/>
  <c r="F24" i="86"/>
  <c r="F21" i="86"/>
  <c r="F18" i="86"/>
  <c r="D18" i="86"/>
  <c r="L12" i="86"/>
  <c r="N12" i="86" s="1"/>
  <c r="F22" i="86"/>
  <c r="F23" i="86"/>
  <c r="F20" i="86"/>
  <c r="D67" i="94"/>
  <c r="L20" i="94"/>
  <c r="N20" i="94" s="1"/>
  <c r="H73" i="81"/>
  <c r="R71" i="76"/>
  <c r="R37" i="76"/>
  <c r="R33" i="76"/>
  <c r="R52" i="76"/>
  <c r="R59" i="76"/>
  <c r="R43" i="76"/>
  <c r="R38" i="76"/>
  <c r="R34" i="76"/>
  <c r="R54" i="76"/>
  <c r="R53" i="76"/>
  <c r="R61" i="76"/>
  <c r="R60" i="76"/>
  <c r="R56" i="76"/>
  <c r="R55" i="76"/>
  <c r="R40" i="76"/>
  <c r="R39" i="76"/>
  <c r="R35" i="76"/>
  <c r="R63" i="76"/>
  <c r="R62" i="76"/>
  <c r="R47" i="76"/>
  <c r="R46" i="76"/>
  <c r="R31" i="76"/>
  <c r="R57" i="76"/>
  <c r="R41" i="76"/>
  <c r="R30" i="76"/>
  <c r="R28" i="76"/>
  <c r="R26" i="76"/>
  <c r="R58" i="76"/>
  <c r="R51" i="76"/>
  <c r="R50" i="76"/>
  <c r="R42" i="76"/>
  <c r="R66" i="76"/>
  <c r="R49" i="76"/>
  <c r="X12" i="76"/>
  <c r="R45" i="76"/>
  <c r="R36" i="76"/>
  <c r="R64" i="76"/>
  <c r="R67" i="76"/>
  <c r="R48" i="76"/>
  <c r="P28" i="76"/>
  <c r="R44" i="76"/>
  <c r="R32" i="76"/>
  <c r="J105" i="69"/>
  <c r="J97" i="69"/>
  <c r="J87" i="69"/>
  <c r="J81" i="69"/>
  <c r="J98" i="69"/>
  <c r="J88" i="69"/>
  <c r="J76" i="69"/>
  <c r="J72" i="69"/>
  <c r="J70" i="69"/>
  <c r="J99" i="69"/>
  <c r="J89" i="69"/>
  <c r="H68" i="69"/>
  <c r="J68" i="69" s="1"/>
  <c r="J63" i="69"/>
  <c r="J59" i="69"/>
  <c r="J55" i="69"/>
  <c r="J51" i="69"/>
  <c r="J106" i="69"/>
  <c r="J90" i="69"/>
  <c r="J82" i="69"/>
  <c r="J107" i="69"/>
  <c r="J77" i="69"/>
  <c r="J73" i="69"/>
  <c r="J108" i="69"/>
  <c r="J100" i="69"/>
  <c r="J64" i="69"/>
  <c r="J60" i="69"/>
  <c r="J56" i="69"/>
  <c r="J52" i="69"/>
  <c r="J48" i="69"/>
  <c r="J109" i="69"/>
  <c r="J101" i="69"/>
  <c r="J91" i="69"/>
  <c r="J83" i="69"/>
  <c r="J110" i="69"/>
  <c r="J102" i="69"/>
  <c r="J92" i="69"/>
  <c r="J78" i="69"/>
  <c r="J74" i="69"/>
  <c r="J116" i="69"/>
  <c r="J58" i="69"/>
  <c r="J54" i="69"/>
  <c r="J50" i="69"/>
  <c r="J85" i="69"/>
  <c r="J95" i="69"/>
  <c r="J71" i="69"/>
  <c r="J75" i="69"/>
  <c r="J93" i="69"/>
  <c r="J65" i="69"/>
  <c r="J79" i="69"/>
  <c r="J61" i="69"/>
  <c r="J96" i="69"/>
  <c r="J86" i="69"/>
  <c r="J57" i="69"/>
  <c r="J53" i="69"/>
  <c r="J103" i="69"/>
  <c r="J49" i="69"/>
  <c r="J94" i="69"/>
  <c r="J84" i="69"/>
  <c r="J104" i="69"/>
  <c r="J62" i="69"/>
  <c r="J47" i="69"/>
  <c r="J112" i="69"/>
  <c r="J66" i="69"/>
  <c r="J80" i="69"/>
  <c r="V17" i="48"/>
  <c r="F76" i="33"/>
  <c r="F52" i="33"/>
  <c r="F71" i="33"/>
  <c r="F70" i="33"/>
  <c r="F47" i="33"/>
  <c r="F43" i="33"/>
  <c r="F62" i="33"/>
  <c r="F77" i="33"/>
  <c r="F73" i="33"/>
  <c r="F72" i="33"/>
  <c r="F53" i="33"/>
  <c r="F89" i="33"/>
  <c r="F64" i="33"/>
  <c r="F63" i="33"/>
  <c r="F48" i="33"/>
  <c r="F44" i="33"/>
  <c r="F93" i="33"/>
  <c r="F88" i="33"/>
  <c r="F79" i="33"/>
  <c r="F78" i="33"/>
  <c r="F87" i="33"/>
  <c r="F74" i="33"/>
  <c r="F66" i="33"/>
  <c r="F65" i="33"/>
  <c r="F50" i="33"/>
  <c r="F49" i="33"/>
  <c r="F86" i="33"/>
  <c r="F81" i="33"/>
  <c r="F80" i="33"/>
  <c r="F57" i="33"/>
  <c r="F56" i="33"/>
  <c r="F84" i="33"/>
  <c r="F75" i="33"/>
  <c r="F59" i="33"/>
  <c r="F58" i="33"/>
  <c r="F51" i="33"/>
  <c r="F69" i="33"/>
  <c r="F61" i="33"/>
  <c r="F60" i="33"/>
  <c r="F33" i="33"/>
  <c r="F68" i="33"/>
  <c r="F31" i="33"/>
  <c r="L12" i="33"/>
  <c r="N12" i="33" s="1"/>
  <c r="F54" i="33"/>
  <c r="F46" i="33"/>
  <c r="F41" i="33"/>
  <c r="D37" i="33"/>
  <c r="F37" i="33" s="1"/>
  <c r="F34" i="33"/>
  <c r="F32" i="33"/>
  <c r="F55" i="33"/>
  <c r="F67" i="33"/>
  <c r="F45" i="33"/>
  <c r="F39" i="33"/>
  <c r="F83" i="33"/>
  <c r="F35" i="33"/>
  <c r="F85" i="33"/>
  <c r="F42" i="33"/>
  <c r="F40" i="33"/>
  <c r="F30" i="33"/>
  <c r="T145" i="30"/>
  <c r="V69" i="30"/>
  <c r="R106" i="27"/>
  <c r="R105" i="27"/>
  <c r="R82" i="27"/>
  <c r="R81" i="27"/>
  <c r="R69" i="27"/>
  <c r="R65" i="27"/>
  <c r="R100" i="27"/>
  <c r="R93" i="27"/>
  <c r="R92" i="27"/>
  <c r="R61" i="27"/>
  <c r="R56" i="27"/>
  <c r="R52" i="27"/>
  <c r="R48" i="27"/>
  <c r="R44" i="27"/>
  <c r="R114" i="27"/>
  <c r="R108" i="27"/>
  <c r="R107" i="27"/>
  <c r="R84" i="27"/>
  <c r="R83" i="27"/>
  <c r="R75" i="27"/>
  <c r="R60" i="27"/>
  <c r="R58" i="27"/>
  <c r="R113" i="27"/>
  <c r="R94" i="27"/>
  <c r="R71" i="27"/>
  <c r="R70" i="27"/>
  <c r="R66" i="27"/>
  <c r="R62" i="27"/>
  <c r="P58" i="27"/>
  <c r="R112" i="27"/>
  <c r="R109" i="27"/>
  <c r="R101" i="27"/>
  <c r="R86" i="27"/>
  <c r="R85" i="27"/>
  <c r="R53" i="27"/>
  <c r="R49" i="27"/>
  <c r="R45" i="27"/>
  <c r="R118" i="27"/>
  <c r="R111" i="27"/>
  <c r="R77" i="27"/>
  <c r="R76" i="27"/>
  <c r="R72" i="27"/>
  <c r="R41" i="27"/>
  <c r="X12" i="27"/>
  <c r="Z12" i="27" s="1"/>
  <c r="R96" i="27"/>
  <c r="R95" i="27"/>
  <c r="R87" i="27"/>
  <c r="R67" i="27"/>
  <c r="R63" i="27"/>
  <c r="R103" i="27"/>
  <c r="R102" i="27"/>
  <c r="R79" i="27"/>
  <c r="R78" i="27"/>
  <c r="R54" i="27"/>
  <c r="R50" i="27"/>
  <c r="R46" i="27"/>
  <c r="R42" i="27"/>
  <c r="R98" i="27"/>
  <c r="R97" i="27"/>
  <c r="R73" i="27"/>
  <c r="R104" i="27"/>
  <c r="R89" i="27"/>
  <c r="R88" i="27"/>
  <c r="R80" i="27"/>
  <c r="R68" i="27"/>
  <c r="R64" i="27"/>
  <c r="R91" i="27"/>
  <c r="R90" i="27"/>
  <c r="R74" i="27"/>
  <c r="R47" i="27"/>
  <c r="R99" i="27"/>
  <c r="R51" i="27"/>
  <c r="R43" i="27"/>
  <c r="R55" i="27"/>
  <c r="R279" i="18"/>
  <c r="R244" i="18"/>
  <c r="R221" i="18"/>
  <c r="R220" i="18"/>
  <c r="R192" i="18"/>
  <c r="R188" i="18"/>
  <c r="R278" i="18"/>
  <c r="R263" i="18"/>
  <c r="R255" i="18"/>
  <c r="R251" i="18"/>
  <c r="R239" i="18"/>
  <c r="R232" i="18"/>
  <c r="R231" i="18"/>
  <c r="R212" i="18"/>
  <c r="R211" i="18"/>
  <c r="R204" i="18"/>
  <c r="R203" i="18"/>
  <c r="R184" i="18"/>
  <c r="R277" i="18"/>
  <c r="R222" i="18"/>
  <c r="R198" i="18"/>
  <c r="R183" i="18"/>
  <c r="R181" i="18"/>
  <c r="R123" i="18"/>
  <c r="R283" i="18"/>
  <c r="R276" i="18"/>
  <c r="R245" i="18"/>
  <c r="R234" i="18"/>
  <c r="R233" i="18"/>
  <c r="R213" i="18"/>
  <c r="R205" i="18"/>
  <c r="R194" i="18"/>
  <c r="R193" i="18"/>
  <c r="R189" i="18"/>
  <c r="R185" i="18"/>
  <c r="P181" i="18"/>
  <c r="R275" i="18"/>
  <c r="R264" i="18"/>
  <c r="R257" i="18"/>
  <c r="R256" i="18"/>
  <c r="R252" i="18"/>
  <c r="R24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124" i="18"/>
  <c r="R274" i="18"/>
  <c r="R235" i="18"/>
  <c r="R224" i="18"/>
  <c r="R223" i="18"/>
  <c r="R199" i="18"/>
  <c r="R195" i="18"/>
  <c r="R273" i="18"/>
  <c r="R258" i="18"/>
  <c r="R247" i="18"/>
  <c r="R246" i="18"/>
  <c r="R215" i="18"/>
  <c r="R214" i="18"/>
  <c r="R207" i="18"/>
  <c r="R206" i="18"/>
  <c r="R190" i="18"/>
  <c r="R186" i="18"/>
  <c r="R272" i="18"/>
  <c r="R266" i="18"/>
  <c r="R265" i="18"/>
  <c r="R253" i="18"/>
  <c r="R242" i="18"/>
  <c r="R241" i="18"/>
  <c r="R226" i="18"/>
  <c r="R225" i="18"/>
  <c r="R177" i="18"/>
  <c r="R173" i="18"/>
  <c r="R169" i="18"/>
  <c r="R165" i="18"/>
  <c r="R161" i="18"/>
  <c r="R157" i="18"/>
  <c r="R153" i="18"/>
  <c r="R149" i="18"/>
  <c r="R145" i="18"/>
  <c r="R141" i="18"/>
  <c r="R137" i="18"/>
  <c r="R271" i="18"/>
  <c r="R248" i="18"/>
  <c r="R236" i="18"/>
  <c r="R217" i="18"/>
  <c r="R216" i="18"/>
  <c r="R209" i="18"/>
  <c r="R208" i="18"/>
  <c r="R200" i="18"/>
  <c r="R196" i="18"/>
  <c r="X12" i="18"/>
  <c r="Z12" i="18" s="1"/>
  <c r="R270" i="18"/>
  <c r="R267" i="18"/>
  <c r="R260" i="18"/>
  <c r="R259" i="18"/>
  <c r="R243" i="18"/>
  <c r="R228" i="18"/>
  <c r="R227" i="18"/>
  <c r="R191" i="18"/>
  <c r="R187" i="18"/>
  <c r="R262" i="18"/>
  <c r="R261" i="18"/>
  <c r="R250" i="18"/>
  <c r="R249" i="18"/>
  <c r="R238" i="18"/>
  <c r="R237" i="18"/>
  <c r="R230" i="18"/>
  <c r="R229" i="18"/>
  <c r="R202" i="18"/>
  <c r="R201" i="18"/>
  <c r="R197" i="18"/>
  <c r="R151" i="18"/>
  <c r="R178" i="18"/>
  <c r="R171" i="18"/>
  <c r="R162" i="18"/>
  <c r="R269" i="18"/>
  <c r="R142" i="18"/>
  <c r="R133" i="18"/>
  <c r="R218" i="18"/>
  <c r="R155" i="18"/>
  <c r="R135" i="18"/>
  <c r="R131" i="18"/>
  <c r="R129" i="18"/>
  <c r="R127" i="18"/>
  <c r="R175" i="18"/>
  <c r="R166" i="18"/>
  <c r="R159" i="18"/>
  <c r="R146" i="18"/>
  <c r="R125" i="18"/>
  <c r="R139" i="18"/>
  <c r="R150" i="18"/>
  <c r="R179" i="18"/>
  <c r="R170" i="18"/>
  <c r="R163" i="18"/>
  <c r="R143" i="18"/>
  <c r="R219" i="18"/>
  <c r="R154" i="18"/>
  <c r="R147" i="18"/>
  <c r="R134" i="18"/>
  <c r="R254" i="18"/>
  <c r="R210" i="18"/>
  <c r="R174" i="18"/>
  <c r="R167" i="18"/>
  <c r="R158" i="18"/>
  <c r="R130" i="18"/>
  <c r="R126" i="18"/>
  <c r="R138" i="18"/>
  <c r="X292" i="3"/>
  <c r="H90" i="9"/>
  <c r="N16" i="9"/>
  <c r="P22" i="6"/>
  <c r="X16" i="6"/>
  <c r="H27" i="113"/>
  <c r="N18" i="113"/>
  <c r="H27" i="53"/>
  <c r="N18" i="53"/>
  <c r="H27" i="52"/>
  <c r="N18" i="52"/>
  <c r="T27" i="40"/>
  <c r="Z18" i="40"/>
  <c r="T27" i="34"/>
  <c r="Z18" i="34"/>
  <c r="L18" i="22"/>
  <c r="D27" i="22"/>
  <c r="T27" i="23"/>
  <c r="Z18" i="23"/>
  <c r="T27" i="22"/>
  <c r="Z18" i="22"/>
  <c r="P27" i="17"/>
  <c r="X18" i="17"/>
  <c r="X18" i="11"/>
  <c r="P27" i="11"/>
  <c r="T27" i="10"/>
  <c r="Z18" i="10"/>
  <c r="T27" i="7"/>
  <c r="Z18" i="7"/>
  <c r="X18" i="7"/>
  <c r="P27" i="7"/>
  <c r="H54" i="103"/>
  <c r="N50" i="103"/>
  <c r="H27" i="112"/>
  <c r="N18" i="112"/>
  <c r="J36" i="105"/>
  <c r="J43" i="105"/>
  <c r="J37" i="105"/>
  <c r="J27" i="105"/>
  <c r="J17" i="105"/>
  <c r="J44" i="105"/>
  <c r="J38" i="105"/>
  <c r="J28" i="105"/>
  <c r="J18" i="105"/>
  <c r="J45" i="105"/>
  <c r="J39" i="105"/>
  <c r="J29" i="105"/>
  <c r="J40" i="105"/>
  <c r="J47" i="105"/>
  <c r="J30" i="105"/>
  <c r="J24" i="105"/>
  <c r="J51" i="105"/>
  <c r="J41" i="105"/>
  <c r="J31" i="105"/>
  <c r="J25" i="105"/>
  <c r="J23" i="105"/>
  <c r="J21" i="105"/>
  <c r="J33" i="105"/>
  <c r="J35" i="105"/>
  <c r="J34" i="105"/>
  <c r="J32" i="105"/>
  <c r="J19" i="105"/>
  <c r="J42" i="105"/>
  <c r="J26" i="105"/>
  <c r="H21" i="105"/>
  <c r="D97" i="64"/>
  <c r="P64" i="57"/>
  <c r="X16" i="57"/>
  <c r="R17" i="110"/>
  <c r="X12" i="108"/>
  <c r="Z12" i="108" s="1"/>
  <c r="H84" i="108"/>
  <c r="N21" i="108"/>
  <c r="J21" i="108"/>
  <c r="L58" i="101"/>
  <c r="D47" i="100"/>
  <c r="N18" i="99"/>
  <c r="H41" i="99"/>
  <c r="H34" i="86"/>
  <c r="X78" i="98"/>
  <c r="Z78" i="98" s="1"/>
  <c r="F114" i="85"/>
  <c r="F113" i="85"/>
  <c r="F106" i="85"/>
  <c r="F108" i="85"/>
  <c r="F104" i="85"/>
  <c r="F103" i="85"/>
  <c r="F110" i="85"/>
  <c r="F105" i="85"/>
  <c r="F66" i="85"/>
  <c r="F62" i="85"/>
  <c r="F101" i="85"/>
  <c r="F112" i="85"/>
  <c r="F96" i="85"/>
  <c r="F68" i="85"/>
  <c r="F67" i="85"/>
  <c r="F120" i="85"/>
  <c r="F109" i="85"/>
  <c r="F102" i="85"/>
  <c r="F87" i="85"/>
  <c r="F86" i="85"/>
  <c r="F75" i="85"/>
  <c r="F74" i="85"/>
  <c r="F63" i="85"/>
  <c r="F59" i="85"/>
  <c r="F58" i="85"/>
  <c r="F116" i="85"/>
  <c r="F98" i="85"/>
  <c r="F97" i="85"/>
  <c r="F57" i="85"/>
  <c r="F55" i="85"/>
  <c r="F50" i="85"/>
  <c r="F46" i="85"/>
  <c r="F42" i="85"/>
  <c r="F38" i="85"/>
  <c r="F89" i="85"/>
  <c r="F88" i="85"/>
  <c r="F77" i="85"/>
  <c r="F76" i="85"/>
  <c r="F69" i="85"/>
  <c r="D55" i="85"/>
  <c r="F64" i="85"/>
  <c r="F60" i="85"/>
  <c r="F99" i="85"/>
  <c r="F91" i="85"/>
  <c r="F90" i="85"/>
  <c r="F79" i="85"/>
  <c r="F78" i="85"/>
  <c r="F51" i="85"/>
  <c r="F47" i="85"/>
  <c r="F43" i="85"/>
  <c r="F39" i="85"/>
  <c r="F111" i="85"/>
  <c r="F52" i="85"/>
  <c r="F48" i="85"/>
  <c r="F44" i="85"/>
  <c r="F40" i="85"/>
  <c r="F95" i="85"/>
  <c r="F41" i="85"/>
  <c r="F37" i="85"/>
  <c r="F72" i="85"/>
  <c r="F70" i="85"/>
  <c r="F49" i="85"/>
  <c r="F45" i="85"/>
  <c r="F81" i="85"/>
  <c r="L12" i="85"/>
  <c r="F93" i="85"/>
  <c r="F84" i="85"/>
  <c r="F53" i="85"/>
  <c r="F61" i="85"/>
  <c r="F73" i="85"/>
  <c r="F65" i="85"/>
  <c r="F107" i="85"/>
  <c r="F71" i="85"/>
  <c r="F82" i="85"/>
  <c r="F36" i="85"/>
  <c r="F100" i="85"/>
  <c r="F85" i="85"/>
  <c r="F80" i="85"/>
  <c r="F83" i="85"/>
  <c r="F92" i="85"/>
  <c r="F94" i="85"/>
  <c r="H82" i="84"/>
  <c r="X20" i="81"/>
  <c r="P73" i="81"/>
  <c r="R31" i="83"/>
  <c r="R17" i="83"/>
  <c r="X12" i="83"/>
  <c r="Z12" i="83" s="1"/>
  <c r="R18" i="83"/>
  <c r="R24" i="83"/>
  <c r="R19" i="83"/>
  <c r="R23" i="83"/>
  <c r="R25" i="83"/>
  <c r="P21" i="83"/>
  <c r="R21" i="83" s="1"/>
  <c r="R27" i="83"/>
  <c r="F57" i="80"/>
  <c r="F29" i="80"/>
  <c r="F25" i="80"/>
  <c r="F64" i="80"/>
  <c r="F63" i="80"/>
  <c r="F52" i="80"/>
  <c r="F51" i="80"/>
  <c r="F44" i="80"/>
  <c r="F43" i="80"/>
  <c r="F35" i="80"/>
  <c r="F58" i="80"/>
  <c r="F46" i="80"/>
  <c r="F45" i="80"/>
  <c r="F30" i="80"/>
  <c r="F26" i="80"/>
  <c r="F66" i="80"/>
  <c r="F53" i="80"/>
  <c r="F59" i="80"/>
  <c r="F54" i="80"/>
  <c r="F38" i="80"/>
  <c r="F37" i="80"/>
  <c r="F18" i="80"/>
  <c r="F33" i="80"/>
  <c r="F60" i="80"/>
  <c r="F56" i="80"/>
  <c r="F55" i="80"/>
  <c r="F48" i="80"/>
  <c r="F40" i="80"/>
  <c r="F39" i="80"/>
  <c r="F28" i="80"/>
  <c r="F24" i="80"/>
  <c r="F23" i="80"/>
  <c r="F49" i="80"/>
  <c r="F42" i="80"/>
  <c r="F16" i="80"/>
  <c r="F61" i="80"/>
  <c r="F47" i="80"/>
  <c r="F31" i="80"/>
  <c r="F22" i="80"/>
  <c r="F27" i="80"/>
  <c r="F70" i="80"/>
  <c r="F50" i="80"/>
  <c r="F41" i="80"/>
  <c r="F36" i="80"/>
  <c r="F17" i="80"/>
  <c r="D20" i="80"/>
  <c r="F20" i="80" s="1"/>
  <c r="L12" i="80"/>
  <c r="N12" i="80" s="1"/>
  <c r="F32" i="80"/>
  <c r="F62" i="80"/>
  <c r="F34" i="80"/>
  <c r="P75" i="80"/>
  <c r="F99" i="75"/>
  <c r="F98" i="75"/>
  <c r="F75" i="75"/>
  <c r="F74" i="75"/>
  <c r="F67" i="75"/>
  <c r="F62" i="75"/>
  <c r="F58" i="75"/>
  <c r="F101" i="75"/>
  <c r="F100" i="75"/>
  <c r="F93" i="75"/>
  <c r="F85" i="75"/>
  <c r="F77" i="75"/>
  <c r="F76" i="75"/>
  <c r="F49" i="75"/>
  <c r="F45" i="75"/>
  <c r="F41" i="75"/>
  <c r="F37" i="75"/>
  <c r="F68" i="75"/>
  <c r="F64" i="75"/>
  <c r="F63" i="75"/>
  <c r="F102" i="75"/>
  <c r="F94" i="75"/>
  <c r="F78" i="75"/>
  <c r="F70" i="75"/>
  <c r="F69" i="75"/>
  <c r="F53" i="75"/>
  <c r="F51" i="75"/>
  <c r="F46" i="75"/>
  <c r="F42" i="75"/>
  <c r="F38" i="75"/>
  <c r="F105" i="75"/>
  <c r="F88" i="75"/>
  <c r="F80" i="75"/>
  <c r="F79" i="75"/>
  <c r="F72" i="75"/>
  <c r="F71" i="75"/>
  <c r="F60" i="75"/>
  <c r="F56" i="75"/>
  <c r="F97" i="75"/>
  <c r="F96" i="75"/>
  <c r="F73" i="75"/>
  <c r="F61" i="75"/>
  <c r="F57" i="75"/>
  <c r="F104" i="75"/>
  <c r="F55" i="75"/>
  <c r="F36" i="75"/>
  <c r="F65" i="75"/>
  <c r="F59" i="75"/>
  <c r="F91" i="75"/>
  <c r="F82" i="75"/>
  <c r="F95" i="75"/>
  <c r="F43" i="75"/>
  <c r="F39" i="75"/>
  <c r="F34" i="75"/>
  <c r="F89" i="75"/>
  <c r="F87" i="75"/>
  <c r="F47" i="75"/>
  <c r="F109" i="75"/>
  <c r="F83" i="75"/>
  <c r="F35" i="75"/>
  <c r="L12" i="75"/>
  <c r="F81" i="75"/>
  <c r="F66" i="75"/>
  <c r="F54" i="75"/>
  <c r="F44" i="75"/>
  <c r="D51" i="75"/>
  <c r="F84" i="75"/>
  <c r="F92" i="75"/>
  <c r="F90" i="75"/>
  <c r="F48" i="75"/>
  <c r="F40" i="75"/>
  <c r="F86" i="75"/>
  <c r="X20" i="84"/>
  <c r="P82" i="84"/>
  <c r="D79" i="73"/>
  <c r="V49" i="74"/>
  <c r="V45" i="74"/>
  <c r="V41" i="74"/>
  <c r="V37" i="74"/>
  <c r="V82" i="74"/>
  <c r="V80" i="74"/>
  <c r="V72" i="74"/>
  <c r="V64" i="74"/>
  <c r="V71" i="74"/>
  <c r="V59" i="74"/>
  <c r="V55" i="74"/>
  <c r="V74" i="74"/>
  <c r="V54" i="74"/>
  <c r="V50" i="74"/>
  <c r="V46" i="74"/>
  <c r="V42" i="74"/>
  <c r="V38" i="74"/>
  <c r="V73" i="74"/>
  <c r="V65" i="74"/>
  <c r="T52" i="74"/>
  <c r="V76" i="74"/>
  <c r="V60" i="74"/>
  <c r="V56" i="74"/>
  <c r="V75" i="74"/>
  <c r="V67" i="74"/>
  <c r="V47" i="74"/>
  <c r="V43" i="74"/>
  <c r="V39" i="74"/>
  <c r="V35" i="74"/>
  <c r="V77" i="74"/>
  <c r="V69" i="74"/>
  <c r="V61" i="74"/>
  <c r="V57" i="74"/>
  <c r="V86" i="74"/>
  <c r="V58" i="74"/>
  <c r="V70" i="74"/>
  <c r="V68" i="74"/>
  <c r="V62" i="74"/>
  <c r="V66" i="74"/>
  <c r="V78" i="74"/>
  <c r="V63" i="74"/>
  <c r="V36" i="74"/>
  <c r="V79" i="74"/>
  <c r="V44" i="74"/>
  <c r="V48" i="74"/>
  <c r="V40" i="74"/>
  <c r="N16" i="54"/>
  <c r="H22" i="54"/>
  <c r="P67" i="48"/>
  <c r="X24" i="45"/>
  <c r="Z24" i="45" s="1"/>
  <c r="P92" i="45"/>
  <c r="F53" i="51"/>
  <c r="N83" i="33"/>
  <c r="J135" i="30"/>
  <c r="J115" i="30"/>
  <c r="J105" i="30"/>
  <c r="J95" i="30"/>
  <c r="J81" i="30"/>
  <c r="J67" i="30"/>
  <c r="J63" i="30"/>
  <c r="J59" i="30"/>
  <c r="J55" i="30"/>
  <c r="J51" i="30"/>
  <c r="J47" i="30"/>
  <c r="J136" i="30"/>
  <c r="J122" i="30"/>
  <c r="J106" i="30"/>
  <c r="J96" i="30"/>
  <c r="J86" i="30"/>
  <c r="J82" i="30"/>
  <c r="J72" i="30"/>
  <c r="J137" i="30"/>
  <c r="J129" i="30"/>
  <c r="J107" i="30"/>
  <c r="J97" i="30"/>
  <c r="J87" i="30"/>
  <c r="J77" i="30"/>
  <c r="J73" i="30"/>
  <c r="J71" i="30"/>
  <c r="J116" i="30"/>
  <c r="J108" i="30"/>
  <c r="J98" i="30"/>
  <c r="J88" i="30"/>
  <c r="H69" i="30"/>
  <c r="J69" i="30" s="1"/>
  <c r="J64" i="30"/>
  <c r="J60" i="30"/>
  <c r="J56" i="30"/>
  <c r="J52" i="30"/>
  <c r="J48" i="30"/>
  <c r="J123" i="30"/>
  <c r="J117" i="30"/>
  <c r="J109" i="30"/>
  <c r="J99" i="30"/>
  <c r="J89" i="30"/>
  <c r="J83" i="30"/>
  <c r="J138" i="30"/>
  <c r="J130" i="30"/>
  <c r="J124" i="30"/>
  <c r="J118" i="30"/>
  <c r="J110" i="30"/>
  <c r="J100" i="30"/>
  <c r="J90" i="30"/>
  <c r="J78" i="30"/>
  <c r="J74" i="30"/>
  <c r="J44" i="30"/>
  <c r="J139" i="30"/>
  <c r="J125" i="30"/>
  <c r="J111" i="30"/>
  <c r="J101" i="30"/>
  <c r="J91" i="30"/>
  <c r="J65" i="30"/>
  <c r="J61" i="30"/>
  <c r="J57" i="30"/>
  <c r="J53" i="30"/>
  <c r="J49" i="30"/>
  <c r="J45" i="30"/>
  <c r="J140" i="30"/>
  <c r="J126" i="30"/>
  <c r="J112" i="30"/>
  <c r="J92" i="30"/>
  <c r="J84" i="30"/>
  <c r="J143" i="30"/>
  <c r="J131" i="30"/>
  <c r="J127" i="30"/>
  <c r="J119" i="30"/>
  <c r="J113" i="30"/>
  <c r="J93" i="30"/>
  <c r="J79" i="30"/>
  <c r="J75" i="30"/>
  <c r="J142" i="30"/>
  <c r="J132" i="30"/>
  <c r="J120" i="30"/>
  <c r="J114" i="30"/>
  <c r="J102" i="30"/>
  <c r="J94" i="30"/>
  <c r="J66" i="30"/>
  <c r="J62" i="30"/>
  <c r="J58" i="30"/>
  <c r="J54" i="30"/>
  <c r="J50" i="30"/>
  <c r="J46" i="30"/>
  <c r="J134" i="30"/>
  <c r="J128" i="30"/>
  <c r="J104" i="30"/>
  <c r="J80" i="30"/>
  <c r="J76" i="30"/>
  <c r="J121" i="30"/>
  <c r="J103" i="30"/>
  <c r="J85" i="30"/>
  <c r="J147" i="30"/>
  <c r="J133" i="30"/>
  <c r="J83" i="33"/>
  <c r="D254" i="15"/>
  <c r="P27" i="47"/>
  <c r="X18" i="47"/>
  <c r="H27" i="40"/>
  <c r="N18" i="40"/>
  <c r="T27" i="38"/>
  <c r="Z18" i="38"/>
  <c r="X18" i="37"/>
  <c r="P27" i="37"/>
  <c r="H27" i="22"/>
  <c r="N18" i="22"/>
  <c r="D27" i="20"/>
  <c r="L18" i="20"/>
  <c r="H27" i="28"/>
  <c r="N18" i="28"/>
  <c r="H27" i="10"/>
  <c r="N18" i="10"/>
  <c r="T27" i="4"/>
  <c r="Z18" i="4"/>
  <c r="P145" i="30"/>
  <c r="X69" i="30"/>
  <c r="Z69" i="30" s="1"/>
  <c r="L18" i="49"/>
  <c r="D27" i="49"/>
  <c r="P85" i="106"/>
  <c r="R31" i="99"/>
  <c r="R26" i="99"/>
  <c r="R22" i="99"/>
  <c r="P18" i="99"/>
  <c r="R43" i="99"/>
  <c r="R32" i="99"/>
  <c r="X12" i="99"/>
  <c r="R27" i="99"/>
  <c r="R23" i="99"/>
  <c r="R34" i="99"/>
  <c r="R33" i="99"/>
  <c r="R29" i="99"/>
  <c r="R28" i="99"/>
  <c r="R24" i="99"/>
  <c r="R36" i="99"/>
  <c r="R35" i="99"/>
  <c r="R37" i="99"/>
  <c r="R25" i="99"/>
  <c r="R21" i="99"/>
  <c r="R39" i="99"/>
  <c r="R30" i="99"/>
  <c r="R18" i="99"/>
  <c r="R20" i="99"/>
  <c r="R16" i="99"/>
  <c r="P87" i="96"/>
  <c r="X20" i="96"/>
  <c r="H75" i="95"/>
  <c r="T79" i="95"/>
  <c r="H68" i="70"/>
  <c r="V64" i="73"/>
  <c r="V56" i="73"/>
  <c r="V44" i="73"/>
  <c r="V81" i="73"/>
  <c r="V47" i="73"/>
  <c r="V39" i="73"/>
  <c r="V70" i="73"/>
  <c r="V66" i="73"/>
  <c r="V58" i="73"/>
  <c r="V46" i="73"/>
  <c r="V34" i="73"/>
  <c r="V30" i="73"/>
  <c r="V49" i="73"/>
  <c r="V72" i="73"/>
  <c r="V48" i="73"/>
  <c r="V71" i="73"/>
  <c r="V67" i="73"/>
  <c r="V59" i="73"/>
  <c r="V51" i="73"/>
  <c r="V35" i="73"/>
  <c r="V31" i="73"/>
  <c r="V74" i="73"/>
  <c r="V50" i="73"/>
  <c r="V22" i="73"/>
  <c r="V68" i="73"/>
  <c r="V60" i="73"/>
  <c r="V52" i="73"/>
  <c r="V36" i="73"/>
  <c r="V32" i="73"/>
  <c r="V28" i="73"/>
  <c r="V53" i="73"/>
  <c r="V62" i="73"/>
  <c r="V43" i="73"/>
  <c r="V37" i="73"/>
  <c r="V21" i="73"/>
  <c r="V75" i="73"/>
  <c r="V25" i="73"/>
  <c r="V73" i="73"/>
  <c r="V41" i="73"/>
  <c r="V29" i="73"/>
  <c r="T25" i="73"/>
  <c r="V65" i="73"/>
  <c r="V33" i="73"/>
  <c r="V69" i="73"/>
  <c r="V63" i="73"/>
  <c r="V27" i="73"/>
  <c r="V77" i="73"/>
  <c r="V61" i="73"/>
  <c r="V54" i="73"/>
  <c r="V57" i="73"/>
  <c r="V42" i="73"/>
  <c r="V40" i="73"/>
  <c r="V55" i="73"/>
  <c r="V38" i="73"/>
  <c r="V45" i="73"/>
  <c r="V23" i="73"/>
  <c r="V52" i="76"/>
  <c r="V59" i="76"/>
  <c r="V43" i="76"/>
  <c r="V54" i="76"/>
  <c r="V38" i="76"/>
  <c r="V34" i="76"/>
  <c r="V61" i="76"/>
  <c r="V53" i="76"/>
  <c r="V45" i="76"/>
  <c r="V60" i="76"/>
  <c r="V56" i="76"/>
  <c r="V44" i="76"/>
  <c r="V40" i="76"/>
  <c r="Z12" i="76"/>
  <c r="V63" i="76"/>
  <c r="V55" i="76"/>
  <c r="V47" i="76"/>
  <c r="V62" i="76"/>
  <c r="V46" i="76"/>
  <c r="V30" i="76"/>
  <c r="V26" i="76"/>
  <c r="V67" i="76"/>
  <c r="V57" i="76"/>
  <c r="V49" i="76"/>
  <c r="V41" i="76"/>
  <c r="T28" i="76"/>
  <c r="V28" i="76" s="1"/>
  <c r="V66" i="76"/>
  <c r="V64" i="76"/>
  <c r="V48" i="76"/>
  <c r="V36" i="76"/>
  <c r="V32" i="76"/>
  <c r="V71" i="76"/>
  <c r="V37" i="76"/>
  <c r="V33" i="76"/>
  <c r="V58" i="76"/>
  <c r="V51" i="76"/>
  <c r="V39" i="76"/>
  <c r="V31" i="76"/>
  <c r="V50" i="76"/>
  <c r="V35" i="76"/>
  <c r="V42" i="76"/>
  <c r="V96" i="71"/>
  <c r="V88" i="71"/>
  <c r="V72" i="71"/>
  <c r="V104" i="71"/>
  <c r="V92" i="71"/>
  <c r="V80" i="71"/>
  <c r="V68" i="71"/>
  <c r="V64" i="71"/>
  <c r="V60" i="71"/>
  <c r="V113" i="71"/>
  <c r="V107" i="71"/>
  <c r="V99" i="71"/>
  <c r="V91" i="71"/>
  <c r="V83" i="71"/>
  <c r="V59" i="71"/>
  <c r="V55" i="71"/>
  <c r="V51" i="71"/>
  <c r="V47" i="71"/>
  <c r="V111" i="71"/>
  <c r="V93" i="71"/>
  <c r="V85" i="71"/>
  <c r="V69" i="71"/>
  <c r="V65" i="71"/>
  <c r="V61" i="71"/>
  <c r="V100" i="71"/>
  <c r="V95" i="71"/>
  <c r="V94" i="71"/>
  <c r="V71" i="71"/>
  <c r="V87" i="71"/>
  <c r="V73" i="71"/>
  <c r="V63" i="71"/>
  <c r="V52" i="71"/>
  <c r="V42" i="71"/>
  <c r="V98" i="71"/>
  <c r="V108" i="71"/>
  <c r="V84" i="71"/>
  <c r="V50" i="71"/>
  <c r="V45" i="71"/>
  <c r="V40" i="71"/>
  <c r="V105" i="71"/>
  <c r="V81" i="71"/>
  <c r="V66" i="71"/>
  <c r="V101" i="71"/>
  <c r="V77" i="71"/>
  <c r="V74" i="71"/>
  <c r="V110" i="71"/>
  <c r="V102" i="71"/>
  <c r="V78" i="71"/>
  <c r="T57" i="71"/>
  <c r="V53" i="71"/>
  <c r="V48" i="71"/>
  <c r="V43" i="71"/>
  <c r="V89" i="71"/>
  <c r="V70" i="71"/>
  <c r="V112" i="71"/>
  <c r="V97" i="71"/>
  <c r="V86" i="71"/>
  <c r="V75" i="71"/>
  <c r="V62" i="71"/>
  <c r="V54" i="71"/>
  <c r="V49" i="71"/>
  <c r="V44" i="71"/>
  <c r="V106" i="71"/>
  <c r="V46" i="71"/>
  <c r="V79" i="71"/>
  <c r="V41" i="71"/>
  <c r="V67" i="71"/>
  <c r="V117" i="71"/>
  <c r="V103" i="71"/>
  <c r="V90" i="71"/>
  <c r="V76" i="71"/>
  <c r="V82" i="71"/>
  <c r="P55" i="61"/>
  <c r="X51" i="61"/>
  <c r="Z51" i="61" s="1"/>
  <c r="H71" i="58"/>
  <c r="N16" i="58"/>
  <c r="D62" i="59"/>
  <c r="L16" i="59"/>
  <c r="N95" i="51"/>
  <c r="R114" i="42"/>
  <c r="R92" i="42"/>
  <c r="R91" i="42"/>
  <c r="R79" i="42"/>
  <c r="R60" i="42"/>
  <c r="R59" i="42"/>
  <c r="R52" i="42"/>
  <c r="R51" i="42"/>
  <c r="R32" i="42"/>
  <c r="R119" i="42"/>
  <c r="R112" i="42"/>
  <c r="R97" i="42"/>
  <c r="R93" i="42"/>
  <c r="R105" i="42"/>
  <c r="R87" i="42"/>
  <c r="R64" i="42"/>
  <c r="R63" i="42"/>
  <c r="R56" i="42"/>
  <c r="R55" i="42"/>
  <c r="R47" i="42"/>
  <c r="R43" i="42"/>
  <c r="R106" i="42"/>
  <c r="R98" i="42"/>
  <c r="R94" i="42"/>
  <c r="R82" i="42"/>
  <c r="R75" i="42"/>
  <c r="R74" i="42"/>
  <c r="R88" i="42"/>
  <c r="R77" i="42"/>
  <c r="R76" i="42"/>
  <c r="R107" i="42"/>
  <c r="R115" i="42"/>
  <c r="R109" i="42"/>
  <c r="R108" i="42"/>
  <c r="R101" i="42"/>
  <c r="R100" i="42"/>
  <c r="R96" i="42"/>
  <c r="R69" i="42"/>
  <c r="R68" i="42"/>
  <c r="R40" i="42"/>
  <c r="R36" i="42"/>
  <c r="R95" i="42"/>
  <c r="R41" i="42"/>
  <c r="R33" i="42"/>
  <c r="R103" i="42"/>
  <c r="R85" i="42"/>
  <c r="R73" i="42"/>
  <c r="R44" i="42"/>
  <c r="R99" i="42"/>
  <c r="R89" i="42"/>
  <c r="R83" i="42"/>
  <c r="R81" i="42"/>
  <c r="R53" i="42"/>
  <c r="R49" i="42"/>
  <c r="R110" i="42"/>
  <c r="R70" i="42"/>
  <c r="R67" i="42"/>
  <c r="R57" i="42"/>
  <c r="R42" i="42"/>
  <c r="R27" i="42"/>
  <c r="R50" i="42"/>
  <c r="R39" i="42"/>
  <c r="R34" i="42"/>
  <c r="R54" i="42"/>
  <c r="R113" i="42"/>
  <c r="R71" i="42"/>
  <c r="R45" i="42"/>
  <c r="R37" i="42"/>
  <c r="R29" i="42"/>
  <c r="R90" i="42"/>
  <c r="R84" i="42"/>
  <c r="R61" i="42"/>
  <c r="P29" i="42"/>
  <c r="R104" i="42"/>
  <c r="R86" i="42"/>
  <c r="R65" i="42"/>
  <c r="R58" i="42"/>
  <c r="R31" i="42"/>
  <c r="R25" i="42"/>
  <c r="R102" i="42"/>
  <c r="R48" i="42"/>
  <c r="R78" i="42"/>
  <c r="R46" i="42"/>
  <c r="R26" i="42"/>
  <c r="X12" i="42"/>
  <c r="R66" i="42"/>
  <c r="R62" i="42"/>
  <c r="R80" i="42"/>
  <c r="R38" i="42"/>
  <c r="R35" i="42"/>
  <c r="R72" i="42"/>
  <c r="F127" i="39"/>
  <c r="F122" i="39"/>
  <c r="F121" i="39"/>
  <c r="F125" i="39"/>
  <c r="F100" i="39"/>
  <c r="F96" i="39"/>
  <c r="F95" i="39"/>
  <c r="F68" i="39"/>
  <c r="F67" i="39"/>
  <c r="F60" i="39"/>
  <c r="F59" i="39"/>
  <c r="F48" i="39"/>
  <c r="F44" i="39"/>
  <c r="F126" i="39"/>
  <c r="F119" i="39"/>
  <c r="F111" i="39"/>
  <c r="F107" i="39"/>
  <c r="F79" i="39"/>
  <c r="F38" i="39"/>
  <c r="F102" i="39"/>
  <c r="F101" i="39"/>
  <c r="F90" i="39"/>
  <c r="F70" i="39"/>
  <c r="F69" i="39"/>
  <c r="F62" i="39"/>
  <c r="F61" i="39"/>
  <c r="F54" i="39"/>
  <c r="F97" i="39"/>
  <c r="F81" i="39"/>
  <c r="F80" i="39"/>
  <c r="F45" i="39"/>
  <c r="F41" i="39"/>
  <c r="F120" i="39"/>
  <c r="F112" i="39"/>
  <c r="F108" i="39"/>
  <c r="F72" i="39"/>
  <c r="F71" i="39"/>
  <c r="F64" i="39"/>
  <c r="F63" i="39"/>
  <c r="F131" i="39"/>
  <c r="F103" i="39"/>
  <c r="F91" i="39"/>
  <c r="F83" i="39"/>
  <c r="F82" i="39"/>
  <c r="F55" i="39"/>
  <c r="F51" i="39"/>
  <c r="F114" i="39"/>
  <c r="F113" i="39"/>
  <c r="F98" i="39"/>
  <c r="F74" i="39"/>
  <c r="F73" i="39"/>
  <c r="F46" i="39"/>
  <c r="F42" i="39"/>
  <c r="F109" i="39"/>
  <c r="F105" i="39"/>
  <c r="F104" i="39"/>
  <c r="F93" i="39"/>
  <c r="F92" i="39"/>
  <c r="F85" i="39"/>
  <c r="F84" i="39"/>
  <c r="F65" i="39"/>
  <c r="F33" i="39"/>
  <c r="F32" i="39"/>
  <c r="F116" i="39"/>
  <c r="F115" i="39"/>
  <c r="F99" i="39"/>
  <c r="F87" i="39"/>
  <c r="F86" i="39"/>
  <c r="F124" i="39"/>
  <c r="F89" i="39"/>
  <c r="F88" i="39"/>
  <c r="F53" i="39"/>
  <c r="F78" i="39"/>
  <c r="F76" i="39"/>
  <c r="F110" i="39"/>
  <c r="F58" i="39"/>
  <c r="F56" i="39"/>
  <c r="F34" i="39"/>
  <c r="F117" i="39"/>
  <c r="F66" i="39"/>
  <c r="F39" i="39"/>
  <c r="F49" i="39"/>
  <c r="L12" i="39"/>
  <c r="F106" i="39"/>
  <c r="F94" i="39"/>
  <c r="F40" i="39"/>
  <c r="F77" i="39"/>
  <c r="F75" i="39"/>
  <c r="F47" i="39"/>
  <c r="D36" i="39"/>
  <c r="F36" i="39" s="1"/>
  <c r="F57" i="39"/>
  <c r="F50" i="39"/>
  <c r="F118" i="39"/>
  <c r="F52" i="39"/>
  <c r="F43" i="39"/>
  <c r="T129" i="39"/>
  <c r="J131" i="39"/>
  <c r="J125" i="39"/>
  <c r="J127" i="39"/>
  <c r="J119" i="39"/>
  <c r="J111" i="39"/>
  <c r="J107" i="39"/>
  <c r="J101" i="39"/>
  <c r="J79" i="39"/>
  <c r="J69" i="39"/>
  <c r="J61" i="39"/>
  <c r="J49" i="39"/>
  <c r="J102" i="39"/>
  <c r="J90" i="39"/>
  <c r="J80" i="39"/>
  <c r="J70" i="39"/>
  <c r="J62" i="39"/>
  <c r="J54" i="39"/>
  <c r="J50" i="39"/>
  <c r="J97" i="39"/>
  <c r="J81" i="39"/>
  <c r="J71" i="39"/>
  <c r="J63" i="39"/>
  <c r="J120" i="39"/>
  <c r="J112" i="39"/>
  <c r="J108" i="39"/>
  <c r="J82" i="39"/>
  <c r="J72" i="39"/>
  <c r="J64" i="39"/>
  <c r="J113" i="39"/>
  <c r="J103" i="39"/>
  <c r="J91" i="39"/>
  <c r="J83" i="39"/>
  <c r="J73" i="39"/>
  <c r="J55" i="39"/>
  <c r="J51" i="39"/>
  <c r="J121" i="39"/>
  <c r="J114" i="39"/>
  <c r="J104" i="39"/>
  <c r="J98" i="39"/>
  <c r="J92" i="39"/>
  <c r="J84" i="39"/>
  <c r="J74" i="39"/>
  <c r="J115" i="39"/>
  <c r="J109" i="39"/>
  <c r="J105" i="39"/>
  <c r="J93" i="39"/>
  <c r="J85" i="39"/>
  <c r="J75" i="39"/>
  <c r="J65" i="39"/>
  <c r="J122" i="39"/>
  <c r="J116" i="39"/>
  <c r="J86" i="39"/>
  <c r="J76" i="39"/>
  <c r="J56" i="39"/>
  <c r="J52" i="39"/>
  <c r="N12" i="39"/>
  <c r="J117" i="39"/>
  <c r="J99" i="39"/>
  <c r="J87" i="39"/>
  <c r="J124" i="39"/>
  <c r="J118" i="39"/>
  <c r="J110" i="39"/>
  <c r="J106" i="39"/>
  <c r="J94" i="39"/>
  <c r="J88" i="39"/>
  <c r="J126" i="39"/>
  <c r="J100" i="39"/>
  <c r="J96" i="39"/>
  <c r="J68" i="39"/>
  <c r="J60" i="39"/>
  <c r="J48" i="39"/>
  <c r="J44" i="39"/>
  <c r="J40" i="39"/>
  <c r="J38" i="39"/>
  <c r="J58" i="39"/>
  <c r="J46" i="39"/>
  <c r="J39" i="39"/>
  <c r="J34" i="39"/>
  <c r="J66" i="39"/>
  <c r="J32" i="39"/>
  <c r="J42" i="39"/>
  <c r="J89" i="39"/>
  <c r="J77" i="39"/>
  <c r="J53" i="39"/>
  <c r="J59" i="39"/>
  <c r="J57" i="39"/>
  <c r="J47" i="39"/>
  <c r="H36" i="39"/>
  <c r="J36" i="39" s="1"/>
  <c r="J67" i="39"/>
  <c r="J45" i="39"/>
  <c r="J33" i="39"/>
  <c r="J43" i="39"/>
  <c r="J78" i="39"/>
  <c r="J41" i="39"/>
  <c r="J95" i="39"/>
  <c r="F97" i="27"/>
  <c r="F96" i="27"/>
  <c r="F73" i="27"/>
  <c r="F104" i="27"/>
  <c r="F103" i="27"/>
  <c r="F88" i="27"/>
  <c r="F80" i="27"/>
  <c r="F79" i="27"/>
  <c r="F68" i="27"/>
  <c r="F64" i="27"/>
  <c r="F99" i="27"/>
  <c r="F98" i="27"/>
  <c r="F55" i="27"/>
  <c r="F51" i="27"/>
  <c r="F47" i="27"/>
  <c r="F43" i="27"/>
  <c r="F90" i="27"/>
  <c r="F89" i="27"/>
  <c r="F74" i="27"/>
  <c r="F105" i="27"/>
  <c r="F81" i="27"/>
  <c r="F69" i="27"/>
  <c r="F65" i="27"/>
  <c r="F100" i="27"/>
  <c r="F92" i="27"/>
  <c r="F91" i="27"/>
  <c r="F56" i="27"/>
  <c r="F52" i="27"/>
  <c r="F48" i="27"/>
  <c r="F44" i="27"/>
  <c r="F107" i="27"/>
  <c r="F106" i="27"/>
  <c r="F83" i="27"/>
  <c r="F82" i="27"/>
  <c r="F75" i="27"/>
  <c r="F94" i="27"/>
  <c r="F93" i="27"/>
  <c r="F70" i="27"/>
  <c r="F66" i="27"/>
  <c r="F62" i="27"/>
  <c r="F61" i="27"/>
  <c r="F114" i="27"/>
  <c r="F109" i="27"/>
  <c r="F108" i="27"/>
  <c r="F101" i="27"/>
  <c r="F85" i="27"/>
  <c r="F84" i="27"/>
  <c r="F60" i="27"/>
  <c r="F58" i="27"/>
  <c r="F53" i="27"/>
  <c r="F49" i="27"/>
  <c r="F45" i="27"/>
  <c r="F118" i="27"/>
  <c r="F113" i="27"/>
  <c r="F76" i="27"/>
  <c r="F72" i="27"/>
  <c r="F71" i="27"/>
  <c r="D58" i="27"/>
  <c r="L12" i="27"/>
  <c r="F111" i="27"/>
  <c r="F102" i="27"/>
  <c r="F78" i="27"/>
  <c r="F77" i="27"/>
  <c r="F54" i="27"/>
  <c r="F50" i="27"/>
  <c r="F46" i="27"/>
  <c r="F42" i="27"/>
  <c r="F41" i="27"/>
  <c r="F86" i="27"/>
  <c r="F67" i="27"/>
  <c r="F95" i="27"/>
  <c r="F112" i="27"/>
  <c r="F87" i="27"/>
  <c r="F63" i="27"/>
  <c r="R90" i="21"/>
  <c r="R51" i="21"/>
  <c r="R50" i="21"/>
  <c r="R38" i="21"/>
  <c r="R34" i="21"/>
  <c r="R98" i="21"/>
  <c r="R97" i="21"/>
  <c r="R86" i="21"/>
  <c r="R85" i="21"/>
  <c r="R73" i="21"/>
  <c r="R62" i="21"/>
  <c r="R61" i="21"/>
  <c r="R25" i="21"/>
  <c r="R80" i="21"/>
  <c r="R53" i="21"/>
  <c r="R52" i="21"/>
  <c r="R44" i="21"/>
  <c r="X12" i="21"/>
  <c r="Z12" i="21" s="1"/>
  <c r="R99" i="21"/>
  <c r="R91" i="21"/>
  <c r="R87" i="21"/>
  <c r="R64" i="21"/>
  <c r="R63" i="21"/>
  <c r="R40" i="21"/>
  <c r="R39" i="21"/>
  <c r="R35" i="21"/>
  <c r="R101" i="21"/>
  <c r="R74" i="21"/>
  <c r="R54" i="21"/>
  <c r="R31" i="21"/>
  <c r="R26" i="21"/>
  <c r="R81" i="21"/>
  <c r="R66" i="21"/>
  <c r="R65" i="21"/>
  <c r="R45" i="21"/>
  <c r="R41" i="21"/>
  <c r="R30" i="21"/>
  <c r="R28" i="21"/>
  <c r="R92" i="21"/>
  <c r="R88" i="21"/>
  <c r="R36" i="21"/>
  <c r="R32" i="21"/>
  <c r="P28" i="21"/>
  <c r="R105" i="21"/>
  <c r="R76" i="21"/>
  <c r="R75" i="21"/>
  <c r="R68" i="21"/>
  <c r="R67" i="21"/>
  <c r="R56" i="21"/>
  <c r="R55" i="21"/>
  <c r="R83" i="21"/>
  <c r="R82" i="21"/>
  <c r="R47" i="21"/>
  <c r="R46" i="21"/>
  <c r="R42" i="21"/>
  <c r="R94" i="21"/>
  <c r="R93" i="21"/>
  <c r="R89" i="21"/>
  <c r="R78" i="21"/>
  <c r="R77" i="21"/>
  <c r="R70" i="21"/>
  <c r="R69" i="21"/>
  <c r="R58" i="21"/>
  <c r="R57" i="21"/>
  <c r="R37" i="21"/>
  <c r="R33" i="21"/>
  <c r="R96" i="21"/>
  <c r="R95" i="21"/>
  <c r="R79" i="21"/>
  <c r="R72" i="21"/>
  <c r="R71" i="21"/>
  <c r="R60" i="21"/>
  <c r="R59" i="21"/>
  <c r="R43" i="21"/>
  <c r="R24" i="21"/>
  <c r="R84" i="21"/>
  <c r="R48" i="21"/>
  <c r="R49" i="21"/>
  <c r="R256" i="15"/>
  <c r="R249" i="15"/>
  <c r="R210" i="15"/>
  <c r="R199" i="15"/>
  <c r="R198" i="15"/>
  <c r="R174" i="15"/>
  <c r="R170" i="15"/>
  <c r="R248" i="15"/>
  <c r="R233" i="15"/>
  <c r="R222" i="15"/>
  <c r="R221" i="15"/>
  <c r="R190" i="15"/>
  <c r="R189" i="15"/>
  <c r="R182" i="15"/>
  <c r="R181" i="15"/>
  <c r="R165" i="15"/>
  <c r="R161" i="15"/>
  <c r="R247" i="15"/>
  <c r="R241" i="15"/>
  <c r="R240" i="15"/>
  <c r="R228" i="15"/>
  <c r="R217" i="15"/>
  <c r="R216" i="15"/>
  <c r="R201" i="15"/>
  <c r="R200" i="15"/>
  <c r="R152" i="15"/>
  <c r="R148" i="15"/>
  <c r="R144" i="15"/>
  <c r="R140" i="15"/>
  <c r="R136" i="15"/>
  <c r="R132" i="15"/>
  <c r="R128" i="15"/>
  <c r="R124" i="15"/>
  <c r="R120" i="15"/>
  <c r="R116" i="15"/>
  <c r="R112" i="15"/>
  <c r="R108" i="15"/>
  <c r="R246" i="15"/>
  <c r="R223" i="15"/>
  <c r="R211" i="15"/>
  <c r="R192" i="15"/>
  <c r="R191" i="15"/>
  <c r="R184" i="15"/>
  <c r="R183" i="15"/>
  <c r="R175" i="15"/>
  <c r="R171" i="15"/>
  <c r="R245" i="15"/>
  <c r="R242" i="15"/>
  <c r="R235" i="15"/>
  <c r="R234" i="15"/>
  <c r="R218" i="15"/>
  <c r="R203" i="15"/>
  <c r="R202" i="15"/>
  <c r="R166" i="15"/>
  <c r="R162" i="15"/>
  <c r="R244" i="15"/>
  <c r="R229" i="15"/>
  <c r="R194" i="15"/>
  <c r="R193" i="15"/>
  <c r="R185" i="15"/>
  <c r="R153" i="15"/>
  <c r="R149" i="15"/>
  <c r="R145" i="15"/>
  <c r="R141" i="15"/>
  <c r="R137" i="15"/>
  <c r="R133" i="15"/>
  <c r="R129" i="15"/>
  <c r="R125" i="15"/>
  <c r="R121" i="15"/>
  <c r="R117" i="15"/>
  <c r="R113" i="15"/>
  <c r="R109" i="15"/>
  <c r="R237" i="15"/>
  <c r="R236" i="15"/>
  <c r="R225" i="15"/>
  <c r="R224" i="15"/>
  <c r="R213" i="15"/>
  <c r="R212" i="15"/>
  <c r="R205" i="15"/>
  <c r="R204" i="15"/>
  <c r="R177" i="15"/>
  <c r="R176" i="15"/>
  <c r="R172" i="15"/>
  <c r="R105" i="15"/>
  <c r="X12" i="15"/>
  <c r="R219" i="15"/>
  <c r="R196" i="15"/>
  <c r="R195" i="15"/>
  <c r="R167" i="15"/>
  <c r="R163" i="15"/>
  <c r="R238" i="15"/>
  <c r="R230" i="15"/>
  <c r="R226" i="15"/>
  <c r="R214" i="15"/>
  <c r="R207" i="15"/>
  <c r="R206" i="15"/>
  <c r="R187" i="15"/>
  <c r="R186" i="15"/>
  <c r="R179" i="15"/>
  <c r="R178" i="15"/>
  <c r="R159" i="15"/>
  <c r="R154" i="15"/>
  <c r="R150" i="15"/>
  <c r="R146" i="15"/>
  <c r="R142" i="15"/>
  <c r="R138" i="15"/>
  <c r="R134" i="15"/>
  <c r="R130" i="15"/>
  <c r="R126" i="15"/>
  <c r="R122" i="15"/>
  <c r="R118" i="15"/>
  <c r="R114" i="15"/>
  <c r="R110" i="15"/>
  <c r="R106" i="15"/>
  <c r="R252" i="15"/>
  <c r="R197" i="15"/>
  <c r="R173" i="15"/>
  <c r="R158" i="15"/>
  <c r="R156" i="15"/>
  <c r="R251" i="15"/>
  <c r="R220" i="15"/>
  <c r="R209" i="15"/>
  <c r="R208" i="15"/>
  <c r="R188" i="15"/>
  <c r="R180" i="15"/>
  <c r="R169" i="15"/>
  <c r="R168" i="15"/>
  <c r="R164" i="15"/>
  <c r="R160" i="15"/>
  <c r="P156" i="15"/>
  <c r="R250" i="15"/>
  <c r="R239" i="15"/>
  <c r="R232" i="15"/>
  <c r="R231" i="15"/>
  <c r="R227" i="15"/>
  <c r="R215" i="15"/>
  <c r="R151" i="15"/>
  <c r="R147" i="15"/>
  <c r="R143" i="15"/>
  <c r="R139" i="15"/>
  <c r="R135" i="15"/>
  <c r="R131" i="15"/>
  <c r="R127" i="15"/>
  <c r="R123" i="15"/>
  <c r="R119" i="15"/>
  <c r="R115" i="15"/>
  <c r="R111" i="15"/>
  <c r="R107" i="15"/>
  <c r="L181" i="18"/>
  <c r="D281" i="18"/>
  <c r="N16" i="6"/>
  <c r="H22" i="6"/>
  <c r="H27" i="35"/>
  <c r="N18" i="35"/>
  <c r="X18" i="29"/>
  <c r="P27" i="29"/>
  <c r="H27" i="29"/>
  <c r="N18" i="29"/>
  <c r="H27" i="25"/>
  <c r="N18" i="25"/>
  <c r="T27" i="19"/>
  <c r="Z18" i="19"/>
  <c r="X18" i="23"/>
  <c r="P27" i="23"/>
  <c r="H27" i="17"/>
  <c r="N18" i="17"/>
  <c r="L18" i="5"/>
  <c r="D27" i="5"/>
  <c r="L21" i="106"/>
  <c r="D85" i="106"/>
  <c r="F93" i="71"/>
  <c r="F92" i="71"/>
  <c r="F69" i="71"/>
  <c r="F65" i="71"/>
  <c r="F61" i="71"/>
  <c r="F60" i="71"/>
  <c r="F110" i="71"/>
  <c r="F101" i="71"/>
  <c r="F77" i="71"/>
  <c r="F76" i="71"/>
  <c r="F53" i="71"/>
  <c r="F49" i="71"/>
  <c r="F45" i="71"/>
  <c r="F96" i="71"/>
  <c r="F95" i="71"/>
  <c r="F72" i="71"/>
  <c r="F98" i="71"/>
  <c r="F97" i="71"/>
  <c r="F54" i="71"/>
  <c r="F50" i="71"/>
  <c r="F46" i="71"/>
  <c r="F42" i="71"/>
  <c r="F106" i="71"/>
  <c r="F102" i="71"/>
  <c r="F82" i="71"/>
  <c r="F78" i="71"/>
  <c r="F67" i="71"/>
  <c r="D57" i="71"/>
  <c r="F51" i="71"/>
  <c r="F41" i="71"/>
  <c r="L12" i="71"/>
  <c r="F117" i="71"/>
  <c r="F86" i="71"/>
  <c r="F62" i="71"/>
  <c r="F111" i="71"/>
  <c r="F103" i="71"/>
  <c r="F90" i="71"/>
  <c r="F79" i="71"/>
  <c r="F75" i="71"/>
  <c r="F70" i="71"/>
  <c r="F44" i="71"/>
  <c r="F73" i="71"/>
  <c r="F59" i="71"/>
  <c r="F112" i="71"/>
  <c r="F107" i="71"/>
  <c r="F100" i="71"/>
  <c r="F83" i="71"/>
  <c r="F68" i="71"/>
  <c r="F113" i="71"/>
  <c r="F94" i="71"/>
  <c r="F91" i="71"/>
  <c r="F87" i="71"/>
  <c r="F71" i="71"/>
  <c r="F63" i="71"/>
  <c r="F52" i="71"/>
  <c r="F47" i="71"/>
  <c r="F104" i="71"/>
  <c r="F80" i="71"/>
  <c r="F108" i="71"/>
  <c r="F84" i="71"/>
  <c r="F55" i="71"/>
  <c r="F74" i="71"/>
  <c r="F64" i="71"/>
  <c r="F99" i="71"/>
  <c r="F40" i="71"/>
  <c r="F66" i="71"/>
  <c r="F88" i="71"/>
  <c r="F57" i="71"/>
  <c r="F81" i="71"/>
  <c r="F89" i="71"/>
  <c r="F85" i="71"/>
  <c r="F48" i="71"/>
  <c r="F105" i="71"/>
  <c r="F43" i="71"/>
  <c r="D64" i="57"/>
  <c r="L16" i="57"/>
  <c r="R253" i="12"/>
  <c r="R238" i="12"/>
  <c r="R234" i="12"/>
  <c r="R222" i="12"/>
  <c r="R195" i="12"/>
  <c r="R194" i="12"/>
  <c r="R187" i="12"/>
  <c r="R186" i="12"/>
  <c r="R170" i="12"/>
  <c r="R166" i="12"/>
  <c r="R246" i="12"/>
  <c r="R245" i="12"/>
  <c r="R228" i="12"/>
  <c r="R197" i="12"/>
  <c r="R196" i="12"/>
  <c r="R189" i="12"/>
  <c r="R188" i="12"/>
  <c r="R247" i="12"/>
  <c r="R239" i="12"/>
  <c r="R235" i="12"/>
  <c r="R224" i="12"/>
  <c r="R223" i="12"/>
  <c r="R208" i="12"/>
  <c r="R207" i="12"/>
  <c r="R171" i="12"/>
  <c r="R167" i="12"/>
  <c r="R261" i="12"/>
  <c r="R218" i="12"/>
  <c r="R199" i="12"/>
  <c r="R198" i="12"/>
  <c r="R190" i="12"/>
  <c r="R260" i="12"/>
  <c r="R230" i="12"/>
  <c r="R229" i="12"/>
  <c r="R225" i="12"/>
  <c r="R210" i="12"/>
  <c r="R209" i="12"/>
  <c r="R182" i="12"/>
  <c r="R181" i="12"/>
  <c r="R177" i="12"/>
  <c r="R259" i="12"/>
  <c r="R248" i="12"/>
  <c r="R241" i="12"/>
  <c r="R240" i="12"/>
  <c r="R236" i="12"/>
  <c r="R201" i="12"/>
  <c r="R200" i="12"/>
  <c r="R172" i="12"/>
  <c r="R168" i="12"/>
  <c r="R265" i="12"/>
  <c r="R258" i="12"/>
  <c r="R231" i="12"/>
  <c r="R220" i="12"/>
  <c r="R219" i="12"/>
  <c r="R212" i="12"/>
  <c r="R211" i="12"/>
  <c r="R192" i="12"/>
  <c r="R191" i="12"/>
  <c r="R184" i="12"/>
  <c r="R183" i="12"/>
  <c r="R164" i="12"/>
  <c r="R257" i="12"/>
  <c r="R242" i="12"/>
  <c r="R226" i="12"/>
  <c r="R202" i="12"/>
  <c r="R178" i="12"/>
  <c r="R163" i="12"/>
  <c r="R256" i="12"/>
  <c r="R250" i="12"/>
  <c r="R249" i="12"/>
  <c r="R237" i="12"/>
  <c r="R221" i="12"/>
  <c r="R214" i="12"/>
  <c r="R213" i="12"/>
  <c r="R193" i="12"/>
  <c r="R185" i="12"/>
  <c r="R174" i="12"/>
  <c r="R173" i="12"/>
  <c r="R169" i="12"/>
  <c r="R165" i="12"/>
  <c r="R254" i="12"/>
  <c r="R251" i="12"/>
  <c r="R244" i="12"/>
  <c r="R243" i="12"/>
  <c r="R227" i="12"/>
  <c r="R216" i="12"/>
  <c r="R215" i="12"/>
  <c r="R204" i="12"/>
  <c r="R203" i="12"/>
  <c r="R179" i="12"/>
  <c r="R175" i="12"/>
  <c r="R108" i="12"/>
  <c r="R154" i="12"/>
  <c r="R142" i="12"/>
  <c r="R206" i="12"/>
  <c r="R180" i="12"/>
  <c r="R159" i="12"/>
  <c r="R147" i="12"/>
  <c r="R135" i="12"/>
  <c r="R130" i="12"/>
  <c r="R122" i="12"/>
  <c r="R111" i="12"/>
  <c r="X12" i="12"/>
  <c r="R157" i="12"/>
  <c r="R152" i="12"/>
  <c r="R145" i="12"/>
  <c r="R140" i="12"/>
  <c r="R133" i="12"/>
  <c r="R125" i="12"/>
  <c r="R114" i="12"/>
  <c r="R150" i="12"/>
  <c r="R117" i="12"/>
  <c r="R255" i="12"/>
  <c r="R232" i="12"/>
  <c r="R138" i="12"/>
  <c r="R128" i="12"/>
  <c r="R120" i="12"/>
  <c r="R109" i="12"/>
  <c r="R148" i="12"/>
  <c r="R143" i="12"/>
  <c r="R131" i="12"/>
  <c r="R123" i="12"/>
  <c r="R112" i="12"/>
  <c r="R155" i="12"/>
  <c r="R153" i="12"/>
  <c r="R141" i="12"/>
  <c r="R136" i="12"/>
  <c r="R115" i="12"/>
  <c r="R176" i="12"/>
  <c r="P161" i="12"/>
  <c r="R161" i="12" s="1"/>
  <c r="R126" i="12"/>
  <c r="R118" i="12"/>
  <c r="R217" i="12"/>
  <c r="R158" i="12"/>
  <c r="R146" i="12"/>
  <c r="R134" i="12"/>
  <c r="R129" i="12"/>
  <c r="R121" i="12"/>
  <c r="R127" i="12"/>
  <c r="R119" i="12"/>
  <c r="R116" i="12"/>
  <c r="R110" i="12"/>
  <c r="R151" i="12"/>
  <c r="R156" i="12"/>
  <c r="R137" i="12"/>
  <c r="R132" i="12"/>
  <c r="R205" i="12"/>
  <c r="R149" i="12"/>
  <c r="R144" i="12"/>
  <c r="R233" i="12"/>
  <c r="R124" i="12"/>
  <c r="R139" i="12"/>
  <c r="R113" i="12"/>
  <c r="V88" i="51"/>
  <c r="V76" i="51"/>
  <c r="V68" i="51"/>
  <c r="V90" i="51"/>
  <c r="V78" i="51"/>
  <c r="V89" i="51"/>
  <c r="V81" i="51"/>
  <c r="V98" i="51"/>
  <c r="V92" i="51"/>
  <c r="V80" i="51"/>
  <c r="V97" i="51"/>
  <c r="V91" i="51"/>
  <c r="V83" i="51"/>
  <c r="V71" i="51"/>
  <c r="V55" i="51"/>
  <c r="V51" i="51"/>
  <c r="V47" i="51"/>
  <c r="V43" i="51"/>
  <c r="V39" i="51"/>
  <c r="V96" i="51"/>
  <c r="V82" i="51"/>
  <c r="V70" i="51"/>
  <c r="V66" i="51"/>
  <c r="T53" i="51"/>
  <c r="V53" i="51" s="1"/>
  <c r="V95" i="51"/>
  <c r="V93" i="51"/>
  <c r="V85" i="51"/>
  <c r="V73" i="51"/>
  <c r="V65" i="51"/>
  <c r="V61" i="51"/>
  <c r="V57" i="51"/>
  <c r="V102" i="51"/>
  <c r="V84" i="51"/>
  <c r="V72" i="51"/>
  <c r="V48" i="51"/>
  <c r="V44" i="51"/>
  <c r="V40" i="51"/>
  <c r="V63" i="51"/>
  <c r="V59" i="51"/>
  <c r="V49" i="51"/>
  <c r="V46" i="51"/>
  <c r="V79" i="51"/>
  <c r="V41" i="51"/>
  <c r="V64" i="51"/>
  <c r="V62" i="51"/>
  <c r="V38" i="51"/>
  <c r="V87" i="51"/>
  <c r="V77" i="51"/>
  <c r="V74" i="51"/>
  <c r="V60" i="51"/>
  <c r="V58" i="51"/>
  <c r="V56" i="51"/>
  <c r="V50" i="51"/>
  <c r="V75" i="51"/>
  <c r="V67" i="51"/>
  <c r="V45" i="51"/>
  <c r="V42" i="51"/>
  <c r="V69" i="51"/>
  <c r="V86" i="51"/>
  <c r="F63" i="110"/>
  <c r="H67" i="110"/>
  <c r="N17" i="110"/>
  <c r="F36" i="105"/>
  <c r="F35" i="105"/>
  <c r="L12" i="105"/>
  <c r="N12" i="105" s="1"/>
  <c r="F43" i="105"/>
  <c r="F27" i="105"/>
  <c r="F38" i="105"/>
  <c r="F37" i="105"/>
  <c r="F18" i="105"/>
  <c r="F17" i="105"/>
  <c r="F45" i="105"/>
  <c r="F44" i="105"/>
  <c r="F29" i="105"/>
  <c r="F28" i="105"/>
  <c r="F40" i="105"/>
  <c r="F39" i="105"/>
  <c r="F47" i="105"/>
  <c r="F30" i="105"/>
  <c r="F32" i="105"/>
  <c r="F31" i="105"/>
  <c r="F23" i="105"/>
  <c r="F42" i="105"/>
  <c r="F34" i="105"/>
  <c r="F33" i="105"/>
  <c r="F26" i="105"/>
  <c r="F41" i="105"/>
  <c r="F24" i="105"/>
  <c r="D21" i="105"/>
  <c r="F21" i="105" s="1"/>
  <c r="F51" i="105"/>
  <c r="F25" i="105"/>
  <c r="F19" i="105"/>
  <c r="T49" i="105"/>
  <c r="Z21" i="105"/>
  <c r="R21" i="105"/>
  <c r="J84" i="102"/>
  <c r="J70" i="102"/>
  <c r="J66" i="102"/>
  <c r="J59" i="102"/>
  <c r="J51" i="102"/>
  <c r="J74" i="102"/>
  <c r="J68" i="102"/>
  <c r="J56" i="102"/>
  <c r="J44" i="102"/>
  <c r="J71" i="102"/>
  <c r="J63" i="102"/>
  <c r="J58" i="102"/>
  <c r="J43" i="102"/>
  <c r="J37" i="102"/>
  <c r="J55" i="102"/>
  <c r="J32" i="102"/>
  <c r="J28" i="102"/>
  <c r="J79" i="102"/>
  <c r="J75" i="102"/>
  <c r="J69" i="102"/>
  <c r="J64" i="102"/>
  <c r="J49" i="102"/>
  <c r="J80" i="102"/>
  <c r="J72" i="102"/>
  <c r="J38" i="102"/>
  <c r="J76" i="102"/>
  <c r="J67" i="102"/>
  <c r="J50" i="102"/>
  <c r="J45" i="102"/>
  <c r="J33" i="102"/>
  <c r="J29" i="102"/>
  <c r="J19" i="102"/>
  <c r="J60" i="102"/>
  <c r="J20" i="102"/>
  <c r="J65" i="102"/>
  <c r="J61" i="102"/>
  <c r="J39" i="102"/>
  <c r="J73" i="102"/>
  <c r="J57" i="102"/>
  <c r="J46" i="102"/>
  <c r="J34" i="102"/>
  <c r="J30" i="102"/>
  <c r="J62" i="102"/>
  <c r="J52" i="102"/>
  <c r="J35" i="102"/>
  <c r="J21" i="102"/>
  <c r="J77" i="102"/>
  <c r="J53" i="102"/>
  <c r="J47" i="102"/>
  <c r="J40" i="102"/>
  <c r="J36" i="102"/>
  <c r="J26" i="102"/>
  <c r="N12" i="102"/>
  <c r="J54" i="102"/>
  <c r="J48" i="102"/>
  <c r="J42" i="102"/>
  <c r="H23" i="102"/>
  <c r="J27" i="102"/>
  <c r="J25" i="102"/>
  <c r="L12" i="102"/>
  <c r="J31" i="102"/>
  <c r="J41" i="102"/>
  <c r="V79" i="102"/>
  <c r="F35" i="101"/>
  <c r="F34" i="101"/>
  <c r="F68" i="101"/>
  <c r="F65" i="101"/>
  <c r="F46" i="101"/>
  <c r="F45" i="101"/>
  <c r="F18" i="101"/>
  <c r="F53" i="101"/>
  <c r="F48" i="101"/>
  <c r="F47" i="101"/>
  <c r="F24" i="101"/>
  <c r="F23" i="101"/>
  <c r="F39" i="101"/>
  <c r="F38" i="101"/>
  <c r="F54" i="101"/>
  <c r="F50" i="101"/>
  <c r="F49" i="101"/>
  <c r="F30" i="101"/>
  <c r="D20" i="101"/>
  <c r="F41" i="101"/>
  <c r="F40" i="101"/>
  <c r="F25" i="101"/>
  <c r="F51" i="101"/>
  <c r="F61" i="101"/>
  <c r="F59" i="101"/>
  <c r="F26" i="101"/>
  <c r="F52" i="101"/>
  <c r="F44" i="101"/>
  <c r="F28" i="101"/>
  <c r="F27" i="101"/>
  <c r="L12" i="101"/>
  <c r="F32" i="101"/>
  <c r="F17" i="101"/>
  <c r="F55" i="101"/>
  <c r="F58" i="101"/>
  <c r="F43" i="101"/>
  <c r="F33" i="101"/>
  <c r="F20" i="101"/>
  <c r="F63" i="101"/>
  <c r="F36" i="101"/>
  <c r="F56" i="101"/>
  <c r="F31" i="101"/>
  <c r="F22" i="101"/>
  <c r="F16" i="101"/>
  <c r="F37" i="101"/>
  <c r="F42" i="101"/>
  <c r="F29" i="101"/>
  <c r="H81" i="98"/>
  <c r="J78" i="98"/>
  <c r="D75" i="93"/>
  <c r="L20" i="93"/>
  <c r="H82" i="88"/>
  <c r="Z18" i="86"/>
  <c r="T30" i="86"/>
  <c r="R20" i="81"/>
  <c r="Z95" i="77"/>
  <c r="T29" i="83"/>
  <c r="J25" i="83"/>
  <c r="J23" i="83"/>
  <c r="J21" i="83"/>
  <c r="H21" i="83"/>
  <c r="J27" i="83"/>
  <c r="J31" i="83"/>
  <c r="N12" i="83"/>
  <c r="J17" i="83"/>
  <c r="J18" i="83"/>
  <c r="J24" i="83"/>
  <c r="J19" i="83"/>
  <c r="N95" i="77"/>
  <c r="J64" i="76"/>
  <c r="J48" i="76"/>
  <c r="J36" i="76"/>
  <c r="J32" i="76"/>
  <c r="J30" i="76"/>
  <c r="J26" i="76"/>
  <c r="J67" i="76"/>
  <c r="J49" i="76"/>
  <c r="H28" i="76"/>
  <c r="J28" i="76" s="1"/>
  <c r="J66" i="76"/>
  <c r="J58" i="76"/>
  <c r="J50" i="76"/>
  <c r="J42" i="76"/>
  <c r="J71" i="76"/>
  <c r="J51" i="76"/>
  <c r="J37" i="76"/>
  <c r="J33" i="76"/>
  <c r="J52" i="76"/>
  <c r="J59" i="76"/>
  <c r="J38" i="76"/>
  <c r="J34" i="76"/>
  <c r="J53" i="76"/>
  <c r="J60" i="76"/>
  <c r="J54" i="76"/>
  <c r="J44" i="76"/>
  <c r="N12" i="76"/>
  <c r="J63" i="76"/>
  <c r="J57" i="76"/>
  <c r="J47" i="76"/>
  <c r="J41" i="76"/>
  <c r="J31" i="76"/>
  <c r="J61" i="76"/>
  <c r="J56" i="76"/>
  <c r="J39" i="76"/>
  <c r="J45" i="76"/>
  <c r="J43" i="76"/>
  <c r="J62" i="76"/>
  <c r="J55" i="76"/>
  <c r="J35" i="76"/>
  <c r="J40" i="76"/>
  <c r="J46" i="76"/>
  <c r="T93" i="64"/>
  <c r="Z16" i="64"/>
  <c r="P68" i="70"/>
  <c r="X20" i="70"/>
  <c r="V109" i="69"/>
  <c r="V101" i="69"/>
  <c r="V77" i="69"/>
  <c r="V73" i="69"/>
  <c r="V108" i="69"/>
  <c r="V100" i="69"/>
  <c r="V92" i="69"/>
  <c r="V64" i="69"/>
  <c r="V60" i="69"/>
  <c r="V56" i="69"/>
  <c r="V52" i="69"/>
  <c r="V48" i="69"/>
  <c r="V91" i="69"/>
  <c r="V83" i="69"/>
  <c r="V112" i="69"/>
  <c r="V110" i="69"/>
  <c r="V102" i="69"/>
  <c r="V94" i="69"/>
  <c r="V78" i="69"/>
  <c r="V74" i="69"/>
  <c r="V93" i="69"/>
  <c r="V85" i="69"/>
  <c r="V65" i="69"/>
  <c r="V61" i="69"/>
  <c r="V57" i="69"/>
  <c r="V53" i="69"/>
  <c r="V104" i="69"/>
  <c r="V96" i="69"/>
  <c r="V84" i="69"/>
  <c r="V80" i="69"/>
  <c r="V103" i="69"/>
  <c r="V95" i="69"/>
  <c r="V87" i="69"/>
  <c r="V79" i="69"/>
  <c r="V75" i="69"/>
  <c r="V71" i="69"/>
  <c r="V116" i="69"/>
  <c r="V98" i="69"/>
  <c r="V86" i="69"/>
  <c r="V70" i="69"/>
  <c r="V66" i="69"/>
  <c r="V62" i="69"/>
  <c r="V58" i="69"/>
  <c r="V54" i="69"/>
  <c r="V50" i="69"/>
  <c r="V88" i="69"/>
  <c r="V81" i="69"/>
  <c r="T68" i="69"/>
  <c r="V68" i="69" s="1"/>
  <c r="V105" i="69"/>
  <c r="V89" i="69"/>
  <c r="V63" i="69"/>
  <c r="V59" i="69"/>
  <c r="V55" i="69"/>
  <c r="V51" i="69"/>
  <c r="V72" i="69"/>
  <c r="V49" i="69"/>
  <c r="V99" i="69"/>
  <c r="V82" i="69"/>
  <c r="V76" i="69"/>
  <c r="V47" i="69"/>
  <c r="V106" i="69"/>
  <c r="V107" i="69"/>
  <c r="V97" i="69"/>
  <c r="V90" i="69"/>
  <c r="P62" i="68"/>
  <c r="J102" i="51"/>
  <c r="J96" i="51"/>
  <c r="J84" i="51"/>
  <c r="J72" i="51"/>
  <c r="J66" i="51"/>
  <c r="J86" i="51"/>
  <c r="J74" i="51"/>
  <c r="J62" i="51"/>
  <c r="J58" i="51"/>
  <c r="J76" i="51"/>
  <c r="J68" i="51"/>
  <c r="J87" i="51"/>
  <c r="J77" i="51"/>
  <c r="J63" i="51"/>
  <c r="J59" i="51"/>
  <c r="J88" i="51"/>
  <c r="J78" i="51"/>
  <c r="J50" i="51"/>
  <c r="J46" i="51"/>
  <c r="J42" i="51"/>
  <c r="J89" i="51"/>
  <c r="J79" i="51"/>
  <c r="J69" i="51"/>
  <c r="J90" i="51"/>
  <c r="J80" i="51"/>
  <c r="J64" i="51"/>
  <c r="J60" i="51"/>
  <c r="J38" i="51"/>
  <c r="J98" i="51"/>
  <c r="J39" i="51"/>
  <c r="J95" i="51"/>
  <c r="J83" i="51"/>
  <c r="J75" i="51"/>
  <c r="J67" i="51"/>
  <c r="J65" i="51"/>
  <c r="J45" i="51"/>
  <c r="J61" i="51"/>
  <c r="J51" i="51"/>
  <c r="J48" i="51"/>
  <c r="J81" i="51"/>
  <c r="J73" i="51"/>
  <c r="J57" i="51"/>
  <c r="J43" i="51"/>
  <c r="J40" i="51"/>
  <c r="J93" i="51"/>
  <c r="J70" i="51"/>
  <c r="J53" i="51"/>
  <c r="J49" i="51"/>
  <c r="J91" i="51"/>
  <c r="H53" i="51"/>
  <c r="L53" i="51" s="1"/>
  <c r="N12" i="51"/>
  <c r="J85" i="51"/>
  <c r="J41" i="51"/>
  <c r="J82" i="51"/>
  <c r="J71" i="51"/>
  <c r="J47" i="51"/>
  <c r="J44" i="51"/>
  <c r="J97" i="51"/>
  <c r="J55" i="51"/>
  <c r="J92" i="51"/>
  <c r="J56" i="51"/>
  <c r="F269" i="18"/>
  <c r="Z292" i="3"/>
  <c r="L16" i="6"/>
  <c r="D22" i="6"/>
  <c r="X18" i="49"/>
  <c r="P27" i="49"/>
  <c r="T27" i="52"/>
  <c r="Z18" i="52"/>
  <c r="D27" i="46"/>
  <c r="L18" i="46"/>
  <c r="L18" i="37"/>
  <c r="D27" i="37"/>
  <c r="P27" i="38"/>
  <c r="X18" i="38"/>
  <c r="X18" i="35"/>
  <c r="P27" i="35"/>
  <c r="H27" i="34"/>
  <c r="N18" i="34"/>
  <c r="X18" i="25"/>
  <c r="P27" i="25"/>
  <c r="L18" i="26"/>
  <c r="D27" i="26"/>
  <c r="L18" i="29"/>
  <c r="D27" i="29"/>
  <c r="D27" i="16"/>
  <c r="L18" i="16"/>
  <c r="T27" i="13"/>
  <c r="Z18" i="13"/>
  <c r="H27" i="11"/>
  <c r="N18" i="11"/>
  <c r="X18" i="8"/>
  <c r="P27" i="8"/>
  <c r="H93" i="64"/>
  <c r="L93" i="64" s="1"/>
  <c r="N16" i="64"/>
  <c r="L16" i="54"/>
  <c r="D22" i="54"/>
  <c r="Z18" i="16"/>
  <c r="T27" i="16"/>
  <c r="T27" i="14"/>
  <c r="Z18" i="14"/>
  <c r="J74" i="73"/>
  <c r="J68" i="73"/>
  <c r="J60" i="73"/>
  <c r="J52" i="73"/>
  <c r="J36" i="73"/>
  <c r="J32" i="73"/>
  <c r="J75" i="73"/>
  <c r="J61" i="73"/>
  <c r="J53" i="73"/>
  <c r="J37" i="73"/>
  <c r="J23" i="73"/>
  <c r="J62" i="73"/>
  <c r="J54" i="73"/>
  <c r="J42" i="73"/>
  <c r="J38" i="73"/>
  <c r="J77" i="73"/>
  <c r="J69" i="73"/>
  <c r="J63" i="73"/>
  <c r="J55" i="73"/>
  <c r="J43" i="73"/>
  <c r="J33" i="73"/>
  <c r="J29" i="73"/>
  <c r="J64" i="73"/>
  <c r="J56" i="73"/>
  <c r="J81" i="73"/>
  <c r="J65" i="73"/>
  <c r="J57" i="73"/>
  <c r="J45" i="73"/>
  <c r="J39" i="73"/>
  <c r="J70" i="73"/>
  <c r="J66" i="73"/>
  <c r="J58" i="73"/>
  <c r="J46" i="73"/>
  <c r="J34" i="73"/>
  <c r="J30" i="73"/>
  <c r="J48" i="73"/>
  <c r="J40" i="73"/>
  <c r="N12" i="73"/>
  <c r="J50" i="73"/>
  <c r="J31" i="73"/>
  <c r="J67" i="73"/>
  <c r="J35" i="73"/>
  <c r="J21" i="73"/>
  <c r="J73" i="73"/>
  <c r="J71" i="73"/>
  <c r="J41" i="73"/>
  <c r="J51" i="73"/>
  <c r="J49" i="73"/>
  <c r="J47" i="73"/>
  <c r="J22" i="73"/>
  <c r="J72" i="73"/>
  <c r="J27" i="73"/>
  <c r="J59" i="73"/>
  <c r="H25" i="73"/>
  <c r="L25" i="73" s="1"/>
  <c r="J44" i="73"/>
  <c r="J28" i="73"/>
  <c r="T50" i="103"/>
  <c r="Z16" i="103"/>
  <c r="X16" i="103"/>
  <c r="P50" i="103"/>
  <c r="P43" i="100"/>
  <c r="X17" i="100"/>
  <c r="N20" i="93"/>
  <c r="H75" i="93"/>
  <c r="L16" i="82"/>
  <c r="D22" i="82"/>
  <c r="N104" i="75"/>
  <c r="V87" i="77"/>
  <c r="V79" i="77"/>
  <c r="V63" i="77"/>
  <c r="V59" i="77"/>
  <c r="V90" i="77"/>
  <c r="V78" i="77"/>
  <c r="V50" i="77"/>
  <c r="V46" i="77"/>
  <c r="V42" i="77"/>
  <c r="V38" i="77"/>
  <c r="V89" i="77"/>
  <c r="V81" i="77"/>
  <c r="V69" i="77"/>
  <c r="V98" i="77"/>
  <c r="V92" i="77"/>
  <c r="V80" i="77"/>
  <c r="V64" i="77"/>
  <c r="V60" i="77"/>
  <c r="V56" i="77"/>
  <c r="V97" i="77"/>
  <c r="V91" i="77"/>
  <c r="V83" i="77"/>
  <c r="V71" i="77"/>
  <c r="V55" i="77"/>
  <c r="V51" i="77"/>
  <c r="V47" i="77"/>
  <c r="V43" i="77"/>
  <c r="V39" i="77"/>
  <c r="V96" i="77"/>
  <c r="V82" i="77"/>
  <c r="V70" i="77"/>
  <c r="V66" i="77"/>
  <c r="T53" i="77"/>
  <c r="V53" i="77" s="1"/>
  <c r="V95" i="77"/>
  <c r="V93" i="77"/>
  <c r="V85" i="77"/>
  <c r="V73" i="77"/>
  <c r="V65" i="77"/>
  <c r="V61" i="77"/>
  <c r="V57" i="77"/>
  <c r="V102" i="77"/>
  <c r="V84" i="77"/>
  <c r="V72" i="77"/>
  <c r="V48" i="77"/>
  <c r="V44" i="77"/>
  <c r="V40" i="77"/>
  <c r="V75" i="77"/>
  <c r="V67" i="77"/>
  <c r="V88" i="77"/>
  <c r="V76" i="77"/>
  <c r="V68" i="77"/>
  <c r="Z12" i="77"/>
  <c r="V62" i="77"/>
  <c r="V86" i="77"/>
  <c r="V49" i="77"/>
  <c r="V77" i="77"/>
  <c r="V41" i="77"/>
  <c r="V58" i="77"/>
  <c r="V74" i="77"/>
  <c r="V45" i="77"/>
  <c r="L57" i="79"/>
  <c r="N57" i="79" s="1"/>
  <c r="F102" i="77"/>
  <c r="F97" i="77"/>
  <c r="F84" i="77"/>
  <c r="F83" i="77"/>
  <c r="F72" i="77"/>
  <c r="F71" i="77"/>
  <c r="F55" i="77"/>
  <c r="F48" i="77"/>
  <c r="F44" i="77"/>
  <c r="F40" i="77"/>
  <c r="F96" i="77"/>
  <c r="F67" i="77"/>
  <c r="F66" i="77"/>
  <c r="D53" i="77"/>
  <c r="F53" i="77" s="1"/>
  <c r="F95" i="77"/>
  <c r="F86" i="77"/>
  <c r="F85" i="77"/>
  <c r="F74" i="77"/>
  <c r="F73" i="77"/>
  <c r="F62" i="77"/>
  <c r="F58" i="77"/>
  <c r="F49" i="77"/>
  <c r="F45" i="77"/>
  <c r="F41" i="77"/>
  <c r="F76" i="77"/>
  <c r="F75" i="77"/>
  <c r="F68" i="77"/>
  <c r="L12" i="77"/>
  <c r="N12" i="77" s="1"/>
  <c r="F87" i="77"/>
  <c r="F63" i="77"/>
  <c r="F59" i="77"/>
  <c r="F78" i="77"/>
  <c r="F77" i="77"/>
  <c r="F50" i="77"/>
  <c r="F46" i="77"/>
  <c r="F42" i="77"/>
  <c r="F89" i="77"/>
  <c r="F88" i="77"/>
  <c r="F69" i="77"/>
  <c r="F80" i="77"/>
  <c r="F79" i="77"/>
  <c r="F64" i="77"/>
  <c r="F60" i="77"/>
  <c r="F98" i="77"/>
  <c r="F93" i="77"/>
  <c r="F92" i="77"/>
  <c r="F65" i="77"/>
  <c r="F61" i="77"/>
  <c r="F57" i="77"/>
  <c r="F56" i="77"/>
  <c r="F47" i="77"/>
  <c r="F82" i="77"/>
  <c r="F39" i="77"/>
  <c r="F90" i="77"/>
  <c r="F81" i="77"/>
  <c r="F91" i="77"/>
  <c r="F70" i="77"/>
  <c r="F38" i="77"/>
  <c r="F51" i="77"/>
  <c r="F43" i="77"/>
  <c r="J95" i="77"/>
  <c r="F25" i="73"/>
  <c r="J100" i="75"/>
  <c r="J76" i="75"/>
  <c r="J62" i="75"/>
  <c r="J58" i="75"/>
  <c r="J101" i="75"/>
  <c r="J93" i="75"/>
  <c r="J85" i="75"/>
  <c r="J77" i="75"/>
  <c r="J63" i="75"/>
  <c r="J49" i="75"/>
  <c r="J45" i="75"/>
  <c r="J86" i="75"/>
  <c r="J68" i="75"/>
  <c r="J64" i="75"/>
  <c r="J54" i="75"/>
  <c r="N12" i="75"/>
  <c r="J87" i="75"/>
  <c r="J69" i="75"/>
  <c r="J59" i="75"/>
  <c r="J55" i="75"/>
  <c r="J53" i="75"/>
  <c r="J105" i="75"/>
  <c r="J79" i="75"/>
  <c r="J71" i="75"/>
  <c r="J65" i="75"/>
  <c r="J104" i="75"/>
  <c r="J88" i="75"/>
  <c r="J80" i="75"/>
  <c r="J72" i="75"/>
  <c r="J109" i="75"/>
  <c r="J95" i="75"/>
  <c r="J89" i="75"/>
  <c r="J81" i="75"/>
  <c r="J47" i="75"/>
  <c r="J43" i="75"/>
  <c r="J39" i="75"/>
  <c r="J35" i="75"/>
  <c r="J98" i="75"/>
  <c r="J92" i="75"/>
  <c r="J84" i="75"/>
  <c r="J74" i="75"/>
  <c r="J48" i="75"/>
  <c r="J44" i="75"/>
  <c r="J40" i="75"/>
  <c r="J91" i="75"/>
  <c r="J73" i="75"/>
  <c r="J57" i="75"/>
  <c r="J99" i="75"/>
  <c r="J97" i="75"/>
  <c r="J82" i="75"/>
  <c r="J67" i="75"/>
  <c r="J61" i="75"/>
  <c r="J34" i="75"/>
  <c r="J41" i="75"/>
  <c r="J83" i="75"/>
  <c r="J78" i="75"/>
  <c r="J37" i="75"/>
  <c r="J102" i="75"/>
  <c r="J70" i="75"/>
  <c r="J56" i="75"/>
  <c r="J60" i="75"/>
  <c r="J94" i="75"/>
  <c r="J46" i="75"/>
  <c r="J42" i="75"/>
  <c r="H51" i="75"/>
  <c r="J51" i="75" s="1"/>
  <c r="J96" i="75"/>
  <c r="J66" i="75"/>
  <c r="J36" i="75"/>
  <c r="J75" i="75"/>
  <c r="J38" i="75"/>
  <c r="J90" i="75"/>
  <c r="F70" i="70"/>
  <c r="F60" i="70"/>
  <c r="F36" i="70"/>
  <c r="L12" i="70"/>
  <c r="N12" i="70" s="1"/>
  <c r="F55" i="70"/>
  <c r="F54" i="70"/>
  <c r="F47" i="70"/>
  <c r="F46" i="70"/>
  <c r="F31" i="70"/>
  <c r="F27" i="70"/>
  <c r="F18" i="70"/>
  <c r="F61" i="70"/>
  <c r="F57" i="70"/>
  <c r="F56" i="70"/>
  <c r="F49" i="70"/>
  <c r="F48" i="70"/>
  <c r="F37" i="70"/>
  <c r="F33" i="70"/>
  <c r="F32" i="70"/>
  <c r="F28" i="70"/>
  <c r="F24" i="70"/>
  <c r="F23" i="70"/>
  <c r="F39" i="70"/>
  <c r="F38" i="70"/>
  <c r="F22" i="70"/>
  <c r="F62" i="70"/>
  <c r="F58" i="70"/>
  <c r="F50" i="70"/>
  <c r="F34" i="70"/>
  <c r="D20" i="70"/>
  <c r="F41" i="70"/>
  <c r="F40" i="70"/>
  <c r="F29" i="70"/>
  <c r="F25" i="70"/>
  <c r="F59" i="70"/>
  <c r="F52" i="70"/>
  <c r="F42" i="70"/>
  <c r="F16" i="70"/>
  <c r="F45" i="70"/>
  <c r="F66" i="70"/>
  <c r="F63" i="70"/>
  <c r="F43" i="70"/>
  <c r="F17" i="70"/>
  <c r="F53" i="70"/>
  <c r="F51" i="70"/>
  <c r="F30" i="70"/>
  <c r="F44" i="70"/>
  <c r="F35" i="70"/>
  <c r="F26" i="70"/>
  <c r="F64" i="70"/>
  <c r="H84" i="74"/>
  <c r="R102" i="71"/>
  <c r="R101" i="71"/>
  <c r="R78" i="71"/>
  <c r="R77" i="71"/>
  <c r="R53" i="71"/>
  <c r="R49" i="71"/>
  <c r="R45" i="71"/>
  <c r="R41" i="71"/>
  <c r="R90" i="71"/>
  <c r="R89" i="71"/>
  <c r="R73" i="71"/>
  <c r="R105" i="71"/>
  <c r="R104" i="71"/>
  <c r="R81" i="71"/>
  <c r="R80" i="71"/>
  <c r="R68" i="71"/>
  <c r="R64" i="71"/>
  <c r="R113" i="71"/>
  <c r="R107" i="71"/>
  <c r="R106" i="71"/>
  <c r="R83" i="71"/>
  <c r="R82" i="71"/>
  <c r="R74" i="71"/>
  <c r="R59" i="71"/>
  <c r="R60" i="71"/>
  <c r="R100" i="71"/>
  <c r="R94" i="71"/>
  <c r="R76" i="71"/>
  <c r="R71" i="71"/>
  <c r="R95" i="71"/>
  <c r="R91" i="71"/>
  <c r="R87" i="71"/>
  <c r="R63" i="71"/>
  <c r="R52" i="71"/>
  <c r="R47" i="71"/>
  <c r="R42" i="71"/>
  <c r="R98" i="71"/>
  <c r="R88" i="71"/>
  <c r="R55" i="71"/>
  <c r="R108" i="71"/>
  <c r="R92" i="71"/>
  <c r="R84" i="71"/>
  <c r="R61" i="71"/>
  <c r="R50" i="71"/>
  <c r="R85" i="71"/>
  <c r="R66" i="71"/>
  <c r="R40" i="71"/>
  <c r="R69" i="71"/>
  <c r="R96" i="71"/>
  <c r="R72" i="71"/>
  <c r="P57" i="71"/>
  <c r="R48" i="71"/>
  <c r="R43" i="71"/>
  <c r="R117" i="71"/>
  <c r="R111" i="71"/>
  <c r="R70" i="71"/>
  <c r="R67" i="71"/>
  <c r="R51" i="71"/>
  <c r="R46" i="71"/>
  <c r="R86" i="71"/>
  <c r="R54" i="71"/>
  <c r="R44" i="71"/>
  <c r="R93" i="71"/>
  <c r="R79" i="71"/>
  <c r="R65" i="71"/>
  <c r="X12" i="71"/>
  <c r="Z12" i="71" s="1"/>
  <c r="R75" i="71"/>
  <c r="R97" i="71"/>
  <c r="R62" i="71"/>
  <c r="R112" i="71"/>
  <c r="R110" i="71"/>
  <c r="R103" i="71"/>
  <c r="R99" i="71"/>
  <c r="R88" i="51"/>
  <c r="R87" i="51"/>
  <c r="R63" i="51"/>
  <c r="R59" i="51"/>
  <c r="R90" i="51"/>
  <c r="R89" i="51"/>
  <c r="R69" i="51"/>
  <c r="R81" i="51"/>
  <c r="R80" i="51"/>
  <c r="R64" i="51"/>
  <c r="R60" i="51"/>
  <c r="R98" i="51"/>
  <c r="R92" i="51"/>
  <c r="R91" i="51"/>
  <c r="R56" i="51"/>
  <c r="R51" i="51"/>
  <c r="R47" i="51"/>
  <c r="R43" i="51"/>
  <c r="R97" i="51"/>
  <c r="R83" i="51"/>
  <c r="R82" i="51"/>
  <c r="R71" i="51"/>
  <c r="R70" i="51"/>
  <c r="R55" i="51"/>
  <c r="R96" i="51"/>
  <c r="R93" i="51"/>
  <c r="R66" i="51"/>
  <c r="R65" i="51"/>
  <c r="R61" i="51"/>
  <c r="R57" i="51"/>
  <c r="P53" i="51"/>
  <c r="R102" i="51"/>
  <c r="R86" i="51"/>
  <c r="R78" i="51"/>
  <c r="R73" i="51"/>
  <c r="R40" i="51"/>
  <c r="R84" i="51"/>
  <c r="R49" i="51"/>
  <c r="R46" i="51"/>
  <c r="R85" i="51"/>
  <c r="R68" i="51"/>
  <c r="X12" i="51"/>
  <c r="Z12" i="51" s="1"/>
  <c r="R79" i="51"/>
  <c r="R76" i="51"/>
  <c r="R41" i="51"/>
  <c r="R62" i="51"/>
  <c r="R44" i="51"/>
  <c r="R74" i="51"/>
  <c r="R58" i="51"/>
  <c r="R38" i="51"/>
  <c r="R77" i="51"/>
  <c r="R50" i="51"/>
  <c r="R39" i="51"/>
  <c r="R95" i="51"/>
  <c r="R75" i="51"/>
  <c r="R72" i="51"/>
  <c r="R67" i="51"/>
  <c r="R45" i="51"/>
  <c r="R42" i="51"/>
  <c r="R48" i="51"/>
  <c r="L30" i="36"/>
  <c r="N30" i="36" s="1"/>
  <c r="D122" i="36"/>
  <c r="F128" i="30"/>
  <c r="F104" i="30"/>
  <c r="F103" i="30"/>
  <c r="F80" i="30"/>
  <c r="F76" i="30"/>
  <c r="F135" i="30"/>
  <c r="F134" i="30"/>
  <c r="F115" i="30"/>
  <c r="F95" i="30"/>
  <c r="F67" i="30"/>
  <c r="F63" i="30"/>
  <c r="F59" i="30"/>
  <c r="F55" i="30"/>
  <c r="F51" i="30"/>
  <c r="F47" i="30"/>
  <c r="F122" i="30"/>
  <c r="F106" i="30"/>
  <c r="F105" i="30"/>
  <c r="F86" i="30"/>
  <c r="F82" i="30"/>
  <c r="F81" i="30"/>
  <c r="F137" i="30"/>
  <c r="F136" i="30"/>
  <c r="F129" i="30"/>
  <c r="F97" i="30"/>
  <c r="F96" i="30"/>
  <c r="F77" i="30"/>
  <c r="F73" i="30"/>
  <c r="F72" i="30"/>
  <c r="F116" i="30"/>
  <c r="F108" i="30"/>
  <c r="F107" i="30"/>
  <c r="F88" i="30"/>
  <c r="F87" i="30"/>
  <c r="F71" i="30"/>
  <c r="F64" i="30"/>
  <c r="F60" i="30"/>
  <c r="F56" i="30"/>
  <c r="F52" i="30"/>
  <c r="F48" i="30"/>
  <c r="F123" i="30"/>
  <c r="F99" i="30"/>
  <c r="F98" i="30"/>
  <c r="F83" i="30"/>
  <c r="D69" i="30"/>
  <c r="F69" i="30" s="1"/>
  <c r="F138" i="30"/>
  <c r="F130" i="30"/>
  <c r="F118" i="30"/>
  <c r="F117" i="30"/>
  <c r="F110" i="30"/>
  <c r="F109" i="30"/>
  <c r="F90" i="30"/>
  <c r="F89" i="30"/>
  <c r="F78" i="30"/>
  <c r="F74" i="30"/>
  <c r="F125" i="30"/>
  <c r="F124" i="30"/>
  <c r="F101" i="30"/>
  <c r="F100" i="30"/>
  <c r="F65" i="30"/>
  <c r="F61" i="30"/>
  <c r="F57" i="30"/>
  <c r="F53" i="30"/>
  <c r="F49" i="30"/>
  <c r="F45" i="30"/>
  <c r="F44" i="30"/>
  <c r="F140" i="30"/>
  <c r="F139" i="30"/>
  <c r="F112" i="30"/>
  <c r="F111" i="30"/>
  <c r="F92" i="30"/>
  <c r="F91" i="30"/>
  <c r="F84" i="30"/>
  <c r="L12" i="30"/>
  <c r="N12" i="30" s="1"/>
  <c r="F131" i="30"/>
  <c r="F127" i="30"/>
  <c r="F126" i="30"/>
  <c r="F119" i="30"/>
  <c r="F79" i="30"/>
  <c r="F75" i="30"/>
  <c r="F147" i="30"/>
  <c r="F142" i="30"/>
  <c r="F133" i="30"/>
  <c r="F132" i="30"/>
  <c r="F121" i="30"/>
  <c r="F120" i="30"/>
  <c r="F85" i="30"/>
  <c r="F102" i="30"/>
  <c r="F114" i="30"/>
  <c r="F58" i="30"/>
  <c r="F94" i="30"/>
  <c r="F66" i="30"/>
  <c r="F46" i="30"/>
  <c r="F143" i="30"/>
  <c r="F113" i="30"/>
  <c r="F54" i="30"/>
  <c r="F93" i="30"/>
  <c r="F62" i="30"/>
  <c r="F50" i="30"/>
  <c r="J104" i="27"/>
  <c r="J98" i="27"/>
  <c r="J88" i="27"/>
  <c r="J80" i="27"/>
  <c r="J68" i="27"/>
  <c r="J64" i="27"/>
  <c r="J99" i="27"/>
  <c r="J89" i="27"/>
  <c r="J55" i="27"/>
  <c r="J51" i="27"/>
  <c r="J47" i="27"/>
  <c r="J43" i="27"/>
  <c r="J90" i="27"/>
  <c r="J74" i="27"/>
  <c r="J105" i="27"/>
  <c r="J91" i="27"/>
  <c r="J81" i="27"/>
  <c r="J69" i="27"/>
  <c r="J65" i="27"/>
  <c r="J106" i="27"/>
  <c r="J100" i="27"/>
  <c r="J92" i="27"/>
  <c r="J82" i="27"/>
  <c r="J56" i="27"/>
  <c r="J52" i="27"/>
  <c r="J48" i="27"/>
  <c r="J44" i="27"/>
  <c r="J107" i="27"/>
  <c r="J93" i="27"/>
  <c r="J83" i="27"/>
  <c r="J75" i="27"/>
  <c r="J61" i="27"/>
  <c r="J114" i="27"/>
  <c r="J108" i="27"/>
  <c r="J94" i="27"/>
  <c r="J84" i="27"/>
  <c r="J70" i="27"/>
  <c r="J66" i="27"/>
  <c r="J62" i="27"/>
  <c r="J60" i="27"/>
  <c r="J113" i="27"/>
  <c r="J109" i="27"/>
  <c r="J101" i="27"/>
  <c r="J85" i="27"/>
  <c r="J71" i="27"/>
  <c r="H58" i="27"/>
  <c r="J58" i="27" s="1"/>
  <c r="J53" i="27"/>
  <c r="J49" i="27"/>
  <c r="J45" i="27"/>
  <c r="J118" i="27"/>
  <c r="J112" i="27"/>
  <c r="J86" i="27"/>
  <c r="J76" i="27"/>
  <c r="J72" i="27"/>
  <c r="N12" i="27"/>
  <c r="J111" i="27"/>
  <c r="J95" i="27"/>
  <c r="J87" i="27"/>
  <c r="J77" i="27"/>
  <c r="J67" i="27"/>
  <c r="J63" i="27"/>
  <c r="J41" i="27"/>
  <c r="J103" i="27"/>
  <c r="J97" i="27"/>
  <c r="J79" i="27"/>
  <c r="J73" i="27"/>
  <c r="J78" i="27"/>
  <c r="J50" i="27"/>
  <c r="J42" i="27"/>
  <c r="J102" i="27"/>
  <c r="J54" i="27"/>
  <c r="J46" i="27"/>
  <c r="J96" i="27"/>
  <c r="D305" i="3"/>
  <c r="T27" i="50"/>
  <c r="Z18" i="50"/>
  <c r="T27" i="44"/>
  <c r="Z18" i="44"/>
  <c r="T27" i="43"/>
  <c r="Z18" i="43"/>
  <c r="X18" i="41"/>
  <c r="P27" i="41"/>
  <c r="P27" i="40"/>
  <c r="X18" i="40"/>
  <c r="L18" i="31"/>
  <c r="D27" i="31"/>
  <c r="X18" i="26"/>
  <c r="P27" i="26"/>
  <c r="P27" i="32"/>
  <c r="X18" i="32"/>
  <c r="D27" i="19"/>
  <c r="L18" i="19"/>
  <c r="L18" i="13"/>
  <c r="D27" i="13"/>
  <c r="H27" i="14"/>
  <c r="N18" i="14"/>
  <c r="D27" i="11"/>
  <c r="L18" i="11"/>
  <c r="P37" i="86"/>
  <c r="D71" i="79"/>
  <c r="L16" i="68"/>
  <c r="D58" i="68"/>
  <c r="P122" i="36"/>
  <c r="J207" i="15"/>
  <c r="J197" i="15"/>
  <c r="J187" i="15"/>
  <c r="J179" i="15"/>
  <c r="J173" i="15"/>
  <c r="J159" i="15"/>
  <c r="J252" i="15"/>
  <c r="J220" i="15"/>
  <c r="J208" i="15"/>
  <c r="J188" i="15"/>
  <c r="J180" i="15"/>
  <c r="J168" i="15"/>
  <c r="J164" i="15"/>
  <c r="J160" i="15"/>
  <c r="J158" i="15"/>
  <c r="J156" i="15"/>
  <c r="J251" i="15"/>
  <c r="J239" i="15"/>
  <c r="J231" i="15"/>
  <c r="J227" i="15"/>
  <c r="J215" i="15"/>
  <c r="J209" i="15"/>
  <c r="J169" i="15"/>
  <c r="H156" i="15"/>
  <c r="J151" i="15"/>
  <c r="J147" i="15"/>
  <c r="J143" i="15"/>
  <c r="J139" i="15"/>
  <c r="J135" i="15"/>
  <c r="J131" i="15"/>
  <c r="J127" i="15"/>
  <c r="J123" i="15"/>
  <c r="J119" i="15"/>
  <c r="J115" i="15"/>
  <c r="J111" i="15"/>
  <c r="J107" i="15"/>
  <c r="J256" i="15"/>
  <c r="J250" i="15"/>
  <c r="J232" i="15"/>
  <c r="J210" i="15"/>
  <c r="J198" i="15"/>
  <c r="J174" i="15"/>
  <c r="J170" i="15"/>
  <c r="J249" i="15"/>
  <c r="J233" i="15"/>
  <c r="J221" i="15"/>
  <c r="J199" i="15"/>
  <c r="J189" i="15"/>
  <c r="J181" i="15"/>
  <c r="J165" i="15"/>
  <c r="J161" i="15"/>
  <c r="J248" i="15"/>
  <c r="J240" i="15"/>
  <c r="J228" i="15"/>
  <c r="J222" i="15"/>
  <c r="J216" i="15"/>
  <c r="J200" i="15"/>
  <c r="J190" i="15"/>
  <c r="J182" i="15"/>
  <c r="J152" i="15"/>
  <c r="J148" i="15"/>
  <c r="J144" i="15"/>
  <c r="J140" i="15"/>
  <c r="J136" i="15"/>
  <c r="J132" i="15"/>
  <c r="J128" i="15"/>
  <c r="J124" i="15"/>
  <c r="J120" i="15"/>
  <c r="J116" i="15"/>
  <c r="J112" i="15"/>
  <c r="J108" i="15"/>
  <c r="J247" i="15"/>
  <c r="J241" i="15"/>
  <c r="J223" i="15"/>
  <c r="J217" i="15"/>
  <c r="J211" i="15"/>
  <c r="J201" i="15"/>
  <c r="J191" i="15"/>
  <c r="J183" i="15"/>
  <c r="J175" i="15"/>
  <c r="J171" i="15"/>
  <c r="J246" i="15"/>
  <c r="J242" i="15"/>
  <c r="J234" i="15"/>
  <c r="J218" i="15"/>
  <c r="J202" i="15"/>
  <c r="J192" i="15"/>
  <c r="J184" i="15"/>
  <c r="J166" i="15"/>
  <c r="J162" i="15"/>
  <c r="J245" i="15"/>
  <c r="J235" i="15"/>
  <c r="J229" i="15"/>
  <c r="J203" i="15"/>
  <c r="J193" i="15"/>
  <c r="J185" i="15"/>
  <c r="J153" i="15"/>
  <c r="J149" i="15"/>
  <c r="J145" i="15"/>
  <c r="J141" i="15"/>
  <c r="J137" i="15"/>
  <c r="J133" i="15"/>
  <c r="J129" i="15"/>
  <c r="J125" i="15"/>
  <c r="J121" i="15"/>
  <c r="J117" i="15"/>
  <c r="J113" i="15"/>
  <c r="J109" i="15"/>
  <c r="J244" i="15"/>
  <c r="J236" i="15"/>
  <c r="J224" i="15"/>
  <c r="J212" i="15"/>
  <c r="J204" i="15"/>
  <c r="J194" i="15"/>
  <c r="J176" i="15"/>
  <c r="J172" i="15"/>
  <c r="N12" i="15"/>
  <c r="J237" i="15"/>
  <c r="J225" i="15"/>
  <c r="J219" i="15"/>
  <c r="J213" i="15"/>
  <c r="J205" i="15"/>
  <c r="J195" i="15"/>
  <c r="J177" i="15"/>
  <c r="J167" i="15"/>
  <c r="J163" i="15"/>
  <c r="J238" i="15"/>
  <c r="J230" i="15"/>
  <c r="J226" i="15"/>
  <c r="J214" i="15"/>
  <c r="J206" i="15"/>
  <c r="J196" i="15"/>
  <c r="J186" i="15"/>
  <c r="J178" i="15"/>
  <c r="J154" i="15"/>
  <c r="J150" i="15"/>
  <c r="J146" i="15"/>
  <c r="J142" i="15"/>
  <c r="J138" i="15"/>
  <c r="J134" i="15"/>
  <c r="J130" i="15"/>
  <c r="J126" i="15"/>
  <c r="J122" i="15"/>
  <c r="J118" i="15"/>
  <c r="J114" i="15"/>
  <c r="J110" i="15"/>
  <c r="J106" i="15"/>
  <c r="J105" i="15"/>
  <c r="L12" i="15"/>
  <c r="H27" i="37"/>
  <c r="N18" i="37"/>
  <c r="F71" i="95"/>
  <c r="F53" i="95"/>
  <c r="F17" i="95"/>
  <c r="F16" i="95"/>
  <c r="F44" i="95"/>
  <c r="F43" i="95"/>
  <c r="F36" i="95"/>
  <c r="F73" i="95"/>
  <c r="F67" i="95"/>
  <c r="F63" i="95"/>
  <c r="F55" i="95"/>
  <c r="F54" i="95"/>
  <c r="F31" i="95"/>
  <c r="F27" i="95"/>
  <c r="F46" i="95"/>
  <c r="F45" i="95"/>
  <c r="F57" i="95"/>
  <c r="F56" i="95"/>
  <c r="F37" i="95"/>
  <c r="F33" i="95"/>
  <c r="F32" i="95"/>
  <c r="F68" i="95"/>
  <c r="F64" i="95"/>
  <c r="F48" i="95"/>
  <c r="F47" i="95"/>
  <c r="F28" i="95"/>
  <c r="F24" i="95"/>
  <c r="F23" i="95"/>
  <c r="F69" i="95"/>
  <c r="F59" i="95"/>
  <c r="F58" i="95"/>
  <c r="F50" i="95"/>
  <c r="F49" i="95"/>
  <c r="F38" i="95"/>
  <c r="F34" i="95"/>
  <c r="D20" i="95"/>
  <c r="F41" i="95"/>
  <c r="F30" i="95"/>
  <c r="F20" i="95"/>
  <c r="F70" i="95"/>
  <c r="F39" i="95"/>
  <c r="F26" i="95"/>
  <c r="F62" i="95"/>
  <c r="F35" i="95"/>
  <c r="F77" i="95"/>
  <c r="F66" i="95"/>
  <c r="F60" i="95"/>
  <c r="F51" i="95"/>
  <c r="F42" i="95"/>
  <c r="F22" i="95"/>
  <c r="L12" i="95"/>
  <c r="N12" i="95" s="1"/>
  <c r="F18" i="95"/>
  <c r="F40" i="95"/>
  <c r="F29" i="95"/>
  <c r="F25" i="95"/>
  <c r="F61" i="95"/>
  <c r="F65" i="95"/>
  <c r="F52" i="95"/>
  <c r="Z16" i="59"/>
  <c r="T62" i="59"/>
  <c r="F23" i="102"/>
  <c r="D81" i="98"/>
  <c r="L20" i="98"/>
  <c r="N20" i="98" s="1"/>
  <c r="L18" i="99"/>
  <c r="D41" i="99"/>
  <c r="R20" i="96"/>
  <c r="T71" i="94"/>
  <c r="N16" i="92"/>
  <c r="H87" i="92"/>
  <c r="L87" i="92" s="1"/>
  <c r="F20" i="94"/>
  <c r="D91" i="92"/>
  <c r="X57" i="79"/>
  <c r="Z57" i="79" s="1"/>
  <c r="T82" i="84"/>
  <c r="Z20" i="84"/>
  <c r="V21" i="83"/>
  <c r="V57" i="79"/>
  <c r="R53" i="77"/>
  <c r="R79" i="74"/>
  <c r="R78" i="74"/>
  <c r="R70" i="74"/>
  <c r="R63" i="74"/>
  <c r="R62" i="74"/>
  <c r="R58" i="74"/>
  <c r="R49" i="74"/>
  <c r="R45" i="74"/>
  <c r="R41" i="74"/>
  <c r="R37" i="74"/>
  <c r="R80" i="74"/>
  <c r="R64" i="74"/>
  <c r="X12" i="74"/>
  <c r="Z12" i="74" s="1"/>
  <c r="R82" i="74"/>
  <c r="R72" i="74"/>
  <c r="R71" i="74"/>
  <c r="R59" i="74"/>
  <c r="R55" i="74"/>
  <c r="R50" i="74"/>
  <c r="R46" i="74"/>
  <c r="R42" i="74"/>
  <c r="R38" i="74"/>
  <c r="R74" i="74"/>
  <c r="R73" i="74"/>
  <c r="R65" i="74"/>
  <c r="R54" i="74"/>
  <c r="R60" i="74"/>
  <c r="R56" i="74"/>
  <c r="P52" i="74"/>
  <c r="R86" i="74"/>
  <c r="R67" i="74"/>
  <c r="R66" i="74"/>
  <c r="R35" i="74"/>
  <c r="R75" i="74"/>
  <c r="R68" i="74"/>
  <c r="R47" i="74"/>
  <c r="R39" i="74"/>
  <c r="R76" i="74"/>
  <c r="R57" i="74"/>
  <c r="R43" i="74"/>
  <c r="R69" i="74"/>
  <c r="R61" i="74"/>
  <c r="R48" i="74"/>
  <c r="R40" i="74"/>
  <c r="R77" i="74"/>
  <c r="R36" i="74"/>
  <c r="R44" i="74"/>
  <c r="F86" i="74"/>
  <c r="F66" i="74"/>
  <c r="D52" i="74"/>
  <c r="F77" i="74"/>
  <c r="F76" i="74"/>
  <c r="F61" i="74"/>
  <c r="F57" i="74"/>
  <c r="F68" i="74"/>
  <c r="F67" i="74"/>
  <c r="F48" i="74"/>
  <c r="F44" i="74"/>
  <c r="F40" i="74"/>
  <c r="F36" i="74"/>
  <c r="F35" i="74"/>
  <c r="F78" i="74"/>
  <c r="F70" i="74"/>
  <c r="F69" i="74"/>
  <c r="F62" i="74"/>
  <c r="F58" i="74"/>
  <c r="F49" i="74"/>
  <c r="F45" i="74"/>
  <c r="F41" i="74"/>
  <c r="F37" i="74"/>
  <c r="F80" i="74"/>
  <c r="F79" i="74"/>
  <c r="F64" i="74"/>
  <c r="F63" i="74"/>
  <c r="L12" i="74"/>
  <c r="N12" i="74" s="1"/>
  <c r="F50" i="74"/>
  <c r="F46" i="74"/>
  <c r="F42" i="74"/>
  <c r="F38" i="74"/>
  <c r="F56" i="74"/>
  <c r="F74" i="74"/>
  <c r="F82" i="74"/>
  <c r="F72" i="74"/>
  <c r="F60" i="74"/>
  <c r="F54" i="74"/>
  <c r="F75" i="74"/>
  <c r="F55" i="74"/>
  <c r="F47" i="74"/>
  <c r="F39" i="74"/>
  <c r="F73" i="74"/>
  <c r="F52" i="74"/>
  <c r="F43" i="74"/>
  <c r="F71" i="74"/>
  <c r="F59" i="74"/>
  <c r="F65" i="74"/>
  <c r="H53" i="60"/>
  <c r="H64" i="57"/>
  <c r="N16" i="57"/>
  <c r="H35" i="55"/>
  <c r="T67" i="48"/>
  <c r="Z17" i="48"/>
  <c r="H67" i="48"/>
  <c r="J94" i="45"/>
  <c r="J82" i="45"/>
  <c r="J72" i="45"/>
  <c r="J56" i="45"/>
  <c r="J83" i="45"/>
  <c r="J73" i="45"/>
  <c r="J67" i="45"/>
  <c r="J57" i="45"/>
  <c r="J84" i="45"/>
  <c r="J78" i="45"/>
  <c r="J74" i="45"/>
  <c r="J58" i="45"/>
  <c r="J46" i="45"/>
  <c r="J86" i="45"/>
  <c r="J70" i="45"/>
  <c r="J62" i="45"/>
  <c r="J50" i="45"/>
  <c r="J88" i="45"/>
  <c r="J80" i="45"/>
  <c r="J76" i="45"/>
  <c r="J64" i="45"/>
  <c r="J71" i="45"/>
  <c r="J65" i="45"/>
  <c r="J53" i="45"/>
  <c r="J43" i="45"/>
  <c r="J39" i="45"/>
  <c r="J87" i="45"/>
  <c r="J42" i="45"/>
  <c r="J90" i="45"/>
  <c r="J85" i="45"/>
  <c r="J75" i="45"/>
  <c r="J34" i="45"/>
  <c r="J30" i="45"/>
  <c r="J20" i="45"/>
  <c r="J79" i="45"/>
  <c r="J68" i="45"/>
  <c r="J63" i="45"/>
  <c r="J60" i="45"/>
  <c r="J47" i="45"/>
  <c r="J21" i="45"/>
  <c r="J77" i="45"/>
  <c r="J81" i="45"/>
  <c r="J66" i="45"/>
  <c r="J54" i="45"/>
  <c r="J51" i="45"/>
  <c r="J40" i="45"/>
  <c r="J35" i="45"/>
  <c r="J31" i="45"/>
  <c r="J69" i="45"/>
  <c r="J22" i="45"/>
  <c r="J61" i="45"/>
  <c r="J48" i="45"/>
  <c r="J27" i="45"/>
  <c r="J55" i="45"/>
  <c r="J36" i="45"/>
  <c r="J32" i="45"/>
  <c r="J28" i="45"/>
  <c r="J26" i="45"/>
  <c r="J44" i="45"/>
  <c r="J41" i="45"/>
  <c r="J37" i="45"/>
  <c r="H24" i="45"/>
  <c r="J24" i="45" s="1"/>
  <c r="J45" i="45"/>
  <c r="J33" i="45"/>
  <c r="J29" i="45"/>
  <c r="J59" i="45"/>
  <c r="J52" i="45"/>
  <c r="J49" i="45"/>
  <c r="J38" i="45"/>
  <c r="F90" i="45"/>
  <c r="F81" i="45"/>
  <c r="F77" i="45"/>
  <c r="F94" i="45"/>
  <c r="F72" i="45"/>
  <c r="F56" i="45"/>
  <c r="F55" i="45"/>
  <c r="F83" i="45"/>
  <c r="F82" i="45"/>
  <c r="F67" i="45"/>
  <c r="F85" i="45"/>
  <c r="F84" i="45"/>
  <c r="F87" i="45"/>
  <c r="F86" i="45"/>
  <c r="F79" i="45"/>
  <c r="F75" i="45"/>
  <c r="F88" i="45"/>
  <c r="F80" i="45"/>
  <c r="F76" i="45"/>
  <c r="F64" i="45"/>
  <c r="F63" i="45"/>
  <c r="F52" i="45"/>
  <c r="F51" i="45"/>
  <c r="F59" i="45"/>
  <c r="F49" i="45"/>
  <c r="F33" i="45"/>
  <c r="F29" i="45"/>
  <c r="F45" i="45"/>
  <c r="F65" i="45"/>
  <c r="F50" i="45"/>
  <c r="F46" i="45"/>
  <c r="F42" i="45"/>
  <c r="F39" i="45"/>
  <c r="F53" i="45"/>
  <c r="F34" i="45"/>
  <c r="F30" i="45"/>
  <c r="F68" i="45"/>
  <c r="F60" i="45"/>
  <c r="F21" i="45"/>
  <c r="F20" i="45"/>
  <c r="F73" i="45"/>
  <c r="F71" i="45"/>
  <c r="F57" i="45"/>
  <c r="F47" i="45"/>
  <c r="L12" i="45"/>
  <c r="N12" i="45" s="1"/>
  <c r="F66" i="45"/>
  <c r="F54" i="45"/>
  <c r="F43" i="45"/>
  <c r="F40" i="45"/>
  <c r="F35" i="45"/>
  <c r="F31" i="45"/>
  <c r="F22" i="45"/>
  <c r="F69" i="45"/>
  <c r="F48" i="45"/>
  <c r="F74" i="45"/>
  <c r="F61" i="45"/>
  <c r="F58" i="45"/>
  <c r="F36" i="45"/>
  <c r="F32" i="45"/>
  <c r="F28" i="45"/>
  <c r="F27" i="45"/>
  <c r="F62" i="45"/>
  <c r="F38" i="45"/>
  <c r="F37" i="45"/>
  <c r="D24" i="45"/>
  <c r="F24" i="45" s="1"/>
  <c r="F26" i="45"/>
  <c r="F70" i="45"/>
  <c r="F78" i="45"/>
  <c r="F44" i="45"/>
  <c r="F41" i="45"/>
  <c r="R120" i="39"/>
  <c r="R113" i="39"/>
  <c r="R112" i="39"/>
  <c r="R108" i="39"/>
  <c r="R73" i="39"/>
  <c r="R72" i="39"/>
  <c r="R64" i="39"/>
  <c r="R121" i="39"/>
  <c r="R104" i="39"/>
  <c r="R103" i="39"/>
  <c r="R92" i="39"/>
  <c r="R91" i="39"/>
  <c r="R84" i="39"/>
  <c r="R83" i="39"/>
  <c r="R55" i="39"/>
  <c r="R51" i="39"/>
  <c r="R32" i="39"/>
  <c r="R131" i="39"/>
  <c r="R115" i="39"/>
  <c r="R114" i="39"/>
  <c r="R98" i="39"/>
  <c r="R75" i="39"/>
  <c r="R74" i="39"/>
  <c r="R109" i="39"/>
  <c r="R105" i="39"/>
  <c r="R93" i="39"/>
  <c r="R86" i="39"/>
  <c r="R85" i="39"/>
  <c r="R65" i="39"/>
  <c r="R33" i="39"/>
  <c r="R122" i="39"/>
  <c r="R117" i="39"/>
  <c r="R116" i="39"/>
  <c r="R77" i="39"/>
  <c r="R76" i="39"/>
  <c r="R57" i="39"/>
  <c r="R56" i="39"/>
  <c r="R52" i="39"/>
  <c r="X12" i="39"/>
  <c r="Z12" i="39" s="1"/>
  <c r="R99" i="39"/>
  <c r="R88" i="39"/>
  <c r="R87" i="39"/>
  <c r="R124" i="39"/>
  <c r="R118" i="39"/>
  <c r="R110" i="39"/>
  <c r="R106" i="39"/>
  <c r="R95" i="39"/>
  <c r="R94" i="39"/>
  <c r="R78" i="39"/>
  <c r="R67" i="39"/>
  <c r="R66" i="39"/>
  <c r="R59" i="39"/>
  <c r="R58" i="39"/>
  <c r="R39" i="39"/>
  <c r="R126" i="39"/>
  <c r="R125" i="39"/>
  <c r="R89" i="39"/>
  <c r="R53" i="39"/>
  <c r="R38" i="39"/>
  <c r="R127" i="39"/>
  <c r="R101" i="39"/>
  <c r="R100" i="39"/>
  <c r="R96" i="39"/>
  <c r="R119" i="39"/>
  <c r="R111" i="39"/>
  <c r="R107" i="39"/>
  <c r="R97" i="39"/>
  <c r="R82" i="39"/>
  <c r="R81" i="39"/>
  <c r="R45" i="39"/>
  <c r="R41" i="39"/>
  <c r="R42" i="39"/>
  <c r="R61" i="39"/>
  <c r="R69" i="39"/>
  <c r="R63" i="39"/>
  <c r="R47" i="39"/>
  <c r="R40" i="39"/>
  <c r="P36" i="39"/>
  <c r="R71" i="39"/>
  <c r="R79" i="39"/>
  <c r="R43" i="39"/>
  <c r="R50" i="39"/>
  <c r="R80" i="39"/>
  <c r="R48" i="39"/>
  <c r="R62" i="39"/>
  <c r="R60" i="39"/>
  <c r="R46" i="39"/>
  <c r="R102" i="39"/>
  <c r="R90" i="39"/>
  <c r="R49" i="39"/>
  <c r="R44" i="39"/>
  <c r="R70" i="39"/>
  <c r="R54" i="39"/>
  <c r="R34" i="39"/>
  <c r="R68" i="39"/>
  <c r="Z142" i="30"/>
  <c r="X142" i="30"/>
  <c r="V36" i="39"/>
  <c r="V124" i="36"/>
  <c r="V110" i="36"/>
  <c r="V102" i="36"/>
  <c r="V98" i="36"/>
  <c r="V86" i="36"/>
  <c r="V95" i="36"/>
  <c r="V83" i="36"/>
  <c r="V111" i="36"/>
  <c r="V106" i="36"/>
  <c r="V99" i="36"/>
  <c r="V75" i="36"/>
  <c r="V67" i="36"/>
  <c r="V39" i="36"/>
  <c r="V35" i="36"/>
  <c r="V115" i="36"/>
  <c r="V78" i="36"/>
  <c r="V66" i="36"/>
  <c r="V58" i="36"/>
  <c r="V26" i="36"/>
  <c r="V119" i="36"/>
  <c r="V92" i="36"/>
  <c r="V89" i="36"/>
  <c r="V88" i="36"/>
  <c r="V77" i="36"/>
  <c r="V69" i="36"/>
  <c r="V49" i="36"/>
  <c r="V45" i="36"/>
  <c r="V120" i="36"/>
  <c r="V118" i="36"/>
  <c r="V117" i="36"/>
  <c r="V97" i="36"/>
  <c r="V84" i="36"/>
  <c r="V68" i="36"/>
  <c r="V40" i="36"/>
  <c r="V36" i="36"/>
  <c r="V112" i="36"/>
  <c r="V103" i="36"/>
  <c r="V100" i="36"/>
  <c r="V96" i="36"/>
  <c r="V59" i="36"/>
  <c r="V51" i="36"/>
  <c r="V27" i="36"/>
  <c r="V108" i="36"/>
  <c r="V107" i="36"/>
  <c r="V80" i="36"/>
  <c r="V79" i="36"/>
  <c r="V70" i="36"/>
  <c r="V50" i="36"/>
  <c r="V46" i="36"/>
  <c r="V90" i="36"/>
  <c r="V85" i="36"/>
  <c r="V61" i="36"/>
  <c r="V53" i="36"/>
  <c r="V41" i="36"/>
  <c r="V37" i="36"/>
  <c r="V33" i="36"/>
  <c r="V113" i="36"/>
  <c r="V101" i="36"/>
  <c r="V93" i="36"/>
  <c r="V72" i="36"/>
  <c r="V60" i="36"/>
  <c r="V52" i="36"/>
  <c r="V32" i="36"/>
  <c r="V28" i="36"/>
  <c r="V114" i="36"/>
  <c r="V109" i="36"/>
  <c r="V104" i="36"/>
  <c r="V82" i="36"/>
  <c r="V71" i="36"/>
  <c r="V63" i="36"/>
  <c r="V55" i="36"/>
  <c r="V47" i="36"/>
  <c r="V43" i="36"/>
  <c r="T30" i="36"/>
  <c r="X30" i="36" s="1"/>
  <c r="V81" i="36"/>
  <c r="V74" i="36"/>
  <c r="V62" i="36"/>
  <c r="V54" i="36"/>
  <c r="V42" i="36"/>
  <c r="V38" i="36"/>
  <c r="V34" i="36"/>
  <c r="V105" i="36"/>
  <c r="V94" i="36"/>
  <c r="V76" i="36"/>
  <c r="V64" i="36"/>
  <c r="V56" i="36"/>
  <c r="V48" i="36"/>
  <c r="V44" i="36"/>
  <c r="Z12" i="36"/>
  <c r="V65" i="36"/>
  <c r="V87" i="36"/>
  <c r="V73" i="36"/>
  <c r="V91" i="36"/>
  <c r="V57" i="36"/>
  <c r="J112" i="24"/>
  <c r="J119" i="24"/>
  <c r="J103" i="24"/>
  <c r="J122" i="24"/>
  <c r="J114" i="24"/>
  <c r="J106" i="24"/>
  <c r="J96" i="24"/>
  <c r="J123" i="24"/>
  <c r="J116" i="24"/>
  <c r="J125" i="24"/>
  <c r="J117" i="24"/>
  <c r="J109" i="24"/>
  <c r="J129" i="24"/>
  <c r="J111" i="24"/>
  <c r="J101" i="24"/>
  <c r="J94" i="24"/>
  <c r="J89" i="24"/>
  <c r="J79" i="24"/>
  <c r="J107" i="24"/>
  <c r="J104" i="24"/>
  <c r="J99" i="24"/>
  <c r="J84" i="24"/>
  <c r="J80" i="24"/>
  <c r="J78" i="24"/>
  <c r="J120" i="24"/>
  <c r="J100" i="24"/>
  <c r="J95" i="24"/>
  <c r="H76" i="24"/>
  <c r="L76" i="24" s="1"/>
  <c r="J71" i="24"/>
  <c r="J67" i="24"/>
  <c r="J63" i="24"/>
  <c r="J59" i="24"/>
  <c r="J55" i="24"/>
  <c r="J118" i="24"/>
  <c r="J110" i="24"/>
  <c r="J90" i="24"/>
  <c r="J113" i="24"/>
  <c r="J108" i="24"/>
  <c r="J85" i="24"/>
  <c r="J81" i="24"/>
  <c r="J51" i="24"/>
  <c r="J72" i="24"/>
  <c r="J68" i="24"/>
  <c r="J64" i="24"/>
  <c r="J60" i="24"/>
  <c r="J56" i="24"/>
  <c r="J52" i="24"/>
  <c r="J105" i="24"/>
  <c r="J102" i="24"/>
  <c r="J97" i="24"/>
  <c r="J91" i="24"/>
  <c r="J86" i="24"/>
  <c r="J82" i="24"/>
  <c r="J73" i="24"/>
  <c r="J69" i="24"/>
  <c r="J65" i="24"/>
  <c r="J61" i="24"/>
  <c r="J57" i="24"/>
  <c r="J53" i="24"/>
  <c r="J121" i="24"/>
  <c r="J98" i="24"/>
  <c r="J92" i="24"/>
  <c r="N12" i="24"/>
  <c r="J115" i="24"/>
  <c r="J88" i="24"/>
  <c r="J74" i="24"/>
  <c r="J70" i="24"/>
  <c r="J66" i="24"/>
  <c r="J62" i="24"/>
  <c r="J58" i="24"/>
  <c r="J54" i="24"/>
  <c r="J87" i="24"/>
  <c r="J83" i="24"/>
  <c r="J93" i="24"/>
  <c r="V247" i="15"/>
  <c r="V241" i="15"/>
  <c r="V233" i="15"/>
  <c r="V221" i="15"/>
  <c r="V217" i="15"/>
  <c r="V201" i="15"/>
  <c r="V189" i="15"/>
  <c r="V181" i="15"/>
  <c r="V165" i="15"/>
  <c r="V161" i="15"/>
  <c r="V246" i="15"/>
  <c r="V240" i="15"/>
  <c r="V228" i="15"/>
  <c r="V216" i="15"/>
  <c r="V200" i="15"/>
  <c r="V192" i="15"/>
  <c r="V184" i="15"/>
  <c r="V152" i="15"/>
  <c r="V148" i="15"/>
  <c r="V144" i="15"/>
  <c r="V140" i="15"/>
  <c r="V136" i="15"/>
  <c r="V132" i="15"/>
  <c r="V128" i="15"/>
  <c r="V124" i="15"/>
  <c r="V120" i="15"/>
  <c r="V116" i="15"/>
  <c r="V112" i="15"/>
  <c r="V108" i="15"/>
  <c r="V245" i="15"/>
  <c r="V235" i="15"/>
  <c r="V223" i="15"/>
  <c r="V211" i="15"/>
  <c r="V203" i="15"/>
  <c r="V191" i="15"/>
  <c r="V183" i="15"/>
  <c r="V175" i="15"/>
  <c r="V171" i="15"/>
  <c r="V244" i="15"/>
  <c r="V242" i="15"/>
  <c r="V234" i="15"/>
  <c r="V218" i="15"/>
  <c r="V202" i="15"/>
  <c r="V194" i="15"/>
  <c r="V166" i="15"/>
  <c r="V162" i="15"/>
  <c r="V237" i="15"/>
  <c r="V229" i="15"/>
  <c r="V225" i="15"/>
  <c r="V213" i="15"/>
  <c r="V205" i="15"/>
  <c r="V193" i="15"/>
  <c r="V185" i="15"/>
  <c r="V177" i="15"/>
  <c r="V153" i="15"/>
  <c r="V149" i="15"/>
  <c r="V145" i="15"/>
  <c r="V141" i="15"/>
  <c r="V137" i="15"/>
  <c r="V133" i="15"/>
  <c r="V129" i="15"/>
  <c r="V125" i="15"/>
  <c r="V121" i="15"/>
  <c r="V117" i="15"/>
  <c r="V113" i="15"/>
  <c r="V109" i="15"/>
  <c r="V105" i="15"/>
  <c r="V236" i="15"/>
  <c r="V224" i="15"/>
  <c r="V212" i="15"/>
  <c r="V204" i="15"/>
  <c r="V196" i="15"/>
  <c r="V176" i="15"/>
  <c r="V172" i="15"/>
  <c r="Z12" i="15"/>
  <c r="V219" i="15"/>
  <c r="V207" i="15"/>
  <c r="V195" i="15"/>
  <c r="V187" i="15"/>
  <c r="V179" i="15"/>
  <c r="V167" i="15"/>
  <c r="V163" i="15"/>
  <c r="V159" i="15"/>
  <c r="V252" i="15"/>
  <c r="V238" i="15"/>
  <c r="V230" i="15"/>
  <c r="V226" i="15"/>
  <c r="V214" i="15"/>
  <c r="V206" i="15"/>
  <c r="V186" i="15"/>
  <c r="V178" i="15"/>
  <c r="V158" i="15"/>
  <c r="V154" i="15"/>
  <c r="V150" i="15"/>
  <c r="V146" i="15"/>
  <c r="V142" i="15"/>
  <c r="V138" i="15"/>
  <c r="V134" i="15"/>
  <c r="V130" i="15"/>
  <c r="V126" i="15"/>
  <c r="V122" i="15"/>
  <c r="V118" i="15"/>
  <c r="V114" i="15"/>
  <c r="V110" i="15"/>
  <c r="V106" i="15"/>
  <c r="V251" i="15"/>
  <c r="V209" i="15"/>
  <c r="V197" i="15"/>
  <c r="V173" i="15"/>
  <c r="V169" i="15"/>
  <c r="T156" i="15"/>
  <c r="V250" i="15"/>
  <c r="V232" i="15"/>
  <c r="V220" i="15"/>
  <c r="V208" i="15"/>
  <c r="V188" i="15"/>
  <c r="V180" i="15"/>
  <c r="V168" i="15"/>
  <c r="V164" i="15"/>
  <c r="V160" i="15"/>
  <c r="V249" i="15"/>
  <c r="V239" i="15"/>
  <c r="V231" i="15"/>
  <c r="V227" i="15"/>
  <c r="V215" i="15"/>
  <c r="V199" i="15"/>
  <c r="V256" i="15"/>
  <c r="V248" i="15"/>
  <c r="V222" i="15"/>
  <c r="V210" i="15"/>
  <c r="V198" i="15"/>
  <c r="V190" i="15"/>
  <c r="V182" i="15"/>
  <c r="V174" i="15"/>
  <c r="V170" i="15"/>
  <c r="V143" i="15"/>
  <c r="V135" i="15"/>
  <c r="V123" i="15"/>
  <c r="V111" i="15"/>
  <c r="V151" i="15"/>
  <c r="V131" i="15"/>
  <c r="V119" i="15"/>
  <c r="V107" i="15"/>
  <c r="V139" i="15"/>
  <c r="V115" i="15"/>
  <c r="V127" i="15"/>
  <c r="V147" i="15"/>
  <c r="L18" i="111"/>
  <c r="D27" i="111"/>
  <c r="T27" i="112"/>
  <c r="Z18" i="112"/>
  <c r="L18" i="53"/>
  <c r="D27" i="53"/>
  <c r="T27" i="49"/>
  <c r="Z18" i="49"/>
  <c r="D27" i="43"/>
  <c r="L18" i="43"/>
  <c r="L18" i="32"/>
  <c r="D27" i="32"/>
  <c r="T27" i="29"/>
  <c r="Z18" i="29"/>
  <c r="T27" i="32"/>
  <c r="Z18" i="32"/>
  <c r="X18" i="20"/>
  <c r="P27" i="20"/>
  <c r="H27" i="26"/>
  <c r="N18" i="26"/>
  <c r="H27" i="23"/>
  <c r="N18" i="23"/>
  <c r="X18" i="14"/>
  <c r="P27" i="14"/>
  <c r="N21" i="106"/>
  <c r="H85" i="106"/>
  <c r="P75" i="95"/>
  <c r="X20" i="95"/>
  <c r="Z20" i="95" s="1"/>
  <c r="X12" i="81"/>
  <c r="Z12" i="81" s="1"/>
  <c r="F116" i="69"/>
  <c r="F86" i="69"/>
  <c r="F85" i="69"/>
  <c r="F105" i="69"/>
  <c r="F104" i="69"/>
  <c r="F97" i="69"/>
  <c r="F96" i="69"/>
  <c r="F81" i="69"/>
  <c r="F80" i="69"/>
  <c r="F88" i="69"/>
  <c r="F87" i="69"/>
  <c r="F76" i="69"/>
  <c r="F72" i="69"/>
  <c r="F71" i="69"/>
  <c r="F99" i="69"/>
  <c r="F98" i="69"/>
  <c r="F70" i="69"/>
  <c r="F68" i="69"/>
  <c r="F63" i="69"/>
  <c r="F59" i="69"/>
  <c r="F55" i="69"/>
  <c r="F51" i="69"/>
  <c r="F106" i="69"/>
  <c r="F90" i="69"/>
  <c r="F89" i="69"/>
  <c r="F82" i="69"/>
  <c r="D68" i="69"/>
  <c r="F77" i="69"/>
  <c r="F73" i="69"/>
  <c r="F108" i="69"/>
  <c r="F107" i="69"/>
  <c r="F100" i="69"/>
  <c r="F64" i="69"/>
  <c r="F60" i="69"/>
  <c r="F56" i="69"/>
  <c r="F52" i="69"/>
  <c r="F91" i="69"/>
  <c r="F83" i="69"/>
  <c r="F92" i="69"/>
  <c r="F62" i="69"/>
  <c r="F109" i="69"/>
  <c r="F102" i="69"/>
  <c r="F58" i="69"/>
  <c r="F54" i="69"/>
  <c r="F50" i="69"/>
  <c r="F47" i="69"/>
  <c r="F48" i="69"/>
  <c r="F95" i="69"/>
  <c r="F75" i="69"/>
  <c r="F110" i="69"/>
  <c r="F93" i="69"/>
  <c r="F65" i="69"/>
  <c r="F79" i="69"/>
  <c r="F61" i="69"/>
  <c r="F57" i="69"/>
  <c r="F53" i="69"/>
  <c r="L12" i="69"/>
  <c r="N12" i="69" s="1"/>
  <c r="F103" i="69"/>
  <c r="F101" i="69"/>
  <c r="F49" i="69"/>
  <c r="F112" i="69"/>
  <c r="F78" i="69"/>
  <c r="F66" i="69"/>
  <c r="F74" i="69"/>
  <c r="F94" i="69"/>
  <c r="F84" i="69"/>
  <c r="J84" i="42"/>
  <c r="J78" i="42"/>
  <c r="J58" i="42"/>
  <c r="J108" i="42"/>
  <c r="J100" i="42"/>
  <c r="J96" i="42"/>
  <c r="J90" i="42"/>
  <c r="J115" i="42"/>
  <c r="J109" i="42"/>
  <c r="J114" i="42"/>
  <c r="J110" i="42"/>
  <c r="J102" i="42"/>
  <c r="J92" i="42"/>
  <c r="J86" i="42"/>
  <c r="J70" i="42"/>
  <c r="J60" i="42"/>
  <c r="J52" i="42"/>
  <c r="J46" i="42"/>
  <c r="J32" i="42"/>
  <c r="J119" i="42"/>
  <c r="J113" i="42"/>
  <c r="J103" i="42"/>
  <c r="J97" i="42"/>
  <c r="J93" i="42"/>
  <c r="J71" i="42"/>
  <c r="J61" i="42"/>
  <c r="J53" i="42"/>
  <c r="J112" i="42"/>
  <c r="J104" i="42"/>
  <c r="J105" i="42"/>
  <c r="J87" i="42"/>
  <c r="J81" i="42"/>
  <c r="J73" i="42"/>
  <c r="J106" i="42"/>
  <c r="J107" i="42"/>
  <c r="J99" i="42"/>
  <c r="J95" i="42"/>
  <c r="J83" i="42"/>
  <c r="J77" i="42"/>
  <c r="J67" i="42"/>
  <c r="J39" i="42"/>
  <c r="J35" i="42"/>
  <c r="J25" i="42"/>
  <c r="J80" i="42"/>
  <c r="J75" i="42"/>
  <c r="J72" i="42"/>
  <c r="J62" i="42"/>
  <c r="J55" i="42"/>
  <c r="J48" i="42"/>
  <c r="J38" i="42"/>
  <c r="J91" i="42"/>
  <c r="J69" i="42"/>
  <c r="J66" i="42"/>
  <c r="J26" i="42"/>
  <c r="N12" i="42"/>
  <c r="J101" i="42"/>
  <c r="J85" i="42"/>
  <c r="J59" i="42"/>
  <c r="J56" i="42"/>
  <c r="J41" i="42"/>
  <c r="J33" i="42"/>
  <c r="J89" i="42"/>
  <c r="J49" i="42"/>
  <c r="J44" i="42"/>
  <c r="J36" i="42"/>
  <c r="J76" i="42"/>
  <c r="J63" i="42"/>
  <c r="J42" i="42"/>
  <c r="J94" i="42"/>
  <c r="J79" i="42"/>
  <c r="J57" i="42"/>
  <c r="J47" i="42"/>
  <c r="J27" i="42"/>
  <c r="J54" i="42"/>
  <c r="J50" i="42"/>
  <c r="J34" i="42"/>
  <c r="J74" i="42"/>
  <c r="J64" i="42"/>
  <c r="J45" i="42"/>
  <c r="J98" i="42"/>
  <c r="J82" i="42"/>
  <c r="J37" i="42"/>
  <c r="J65" i="42"/>
  <c r="J31" i="42"/>
  <c r="J40" i="42"/>
  <c r="J88" i="42"/>
  <c r="J68" i="42"/>
  <c r="H29" i="42"/>
  <c r="J51" i="42"/>
  <c r="J43" i="42"/>
  <c r="T116" i="27"/>
  <c r="T27" i="25"/>
  <c r="Z18" i="25"/>
  <c r="R20" i="93"/>
  <c r="V21" i="105"/>
  <c r="P83" i="104"/>
  <c r="X22" i="104"/>
  <c r="Z22" i="104" s="1"/>
  <c r="R82" i="102"/>
  <c r="Z23" i="102"/>
  <c r="T82" i="102"/>
  <c r="F78" i="98"/>
  <c r="J20" i="95"/>
  <c r="V120" i="85"/>
  <c r="V109" i="85"/>
  <c r="V99" i="85"/>
  <c r="V116" i="85"/>
  <c r="V114" i="85"/>
  <c r="V106" i="85"/>
  <c r="V103" i="85"/>
  <c r="V89" i="85"/>
  <c r="V77" i="85"/>
  <c r="V69" i="85"/>
  <c r="V113" i="85"/>
  <c r="V92" i="85"/>
  <c r="V91" i="85"/>
  <c r="V79" i="85"/>
  <c r="V51" i="85"/>
  <c r="V47" i="85"/>
  <c r="V43" i="85"/>
  <c r="V39" i="85"/>
  <c r="V110" i="85"/>
  <c r="V94" i="85"/>
  <c r="V82" i="85"/>
  <c r="V70" i="85"/>
  <c r="V107" i="85"/>
  <c r="V104" i="85"/>
  <c r="V93" i="85"/>
  <c r="V81" i="85"/>
  <c r="V65" i="85"/>
  <c r="V61" i="85"/>
  <c r="V111" i="85"/>
  <c r="V84" i="85"/>
  <c r="V72" i="85"/>
  <c r="V52" i="85"/>
  <c r="V48" i="85"/>
  <c r="V44" i="85"/>
  <c r="V40" i="85"/>
  <c r="V36" i="85"/>
  <c r="V101" i="85"/>
  <c r="V100" i="85"/>
  <c r="V95" i="85"/>
  <c r="V83" i="85"/>
  <c r="V71" i="85"/>
  <c r="V67" i="85"/>
  <c r="V86" i="85"/>
  <c r="V74" i="85"/>
  <c r="V66" i="85"/>
  <c r="V62" i="85"/>
  <c r="V58" i="85"/>
  <c r="V87" i="85"/>
  <c r="V75" i="85"/>
  <c r="V63" i="85"/>
  <c r="V59" i="85"/>
  <c r="V112" i="85"/>
  <c r="V53" i="85"/>
  <c r="V105" i="85"/>
  <c r="V57" i="85"/>
  <c r="V42" i="85"/>
  <c r="V38" i="85"/>
  <c r="V73" i="85"/>
  <c r="V78" i="85"/>
  <c r="V76" i="85"/>
  <c r="V46" i="85"/>
  <c r="V98" i="85"/>
  <c r="V96" i="85"/>
  <c r="V85" i="85"/>
  <c r="V80" i="85"/>
  <c r="V50" i="85"/>
  <c r="V90" i="85"/>
  <c r="V88" i="85"/>
  <c r="V102" i="85"/>
  <c r="V68" i="85"/>
  <c r="V55" i="85"/>
  <c r="V41" i="85"/>
  <c r="V37" i="85"/>
  <c r="V97" i="85"/>
  <c r="V60" i="85"/>
  <c r="T55" i="85"/>
  <c r="V108" i="85"/>
  <c r="Z12" i="85"/>
  <c r="V64" i="85"/>
  <c r="V45" i="85"/>
  <c r="V49" i="85"/>
  <c r="H64" i="79"/>
  <c r="N25" i="79"/>
  <c r="T29" i="82"/>
  <c r="Z29" i="82" s="1"/>
  <c r="Z26" i="82"/>
  <c r="H68" i="80"/>
  <c r="D69" i="76"/>
  <c r="L28" i="76"/>
  <c r="J112" i="71"/>
  <c r="J108" i="71"/>
  <c r="J100" i="71"/>
  <c r="J84" i="71"/>
  <c r="J70" i="71"/>
  <c r="H57" i="71"/>
  <c r="J52" i="71"/>
  <c r="J48" i="71"/>
  <c r="J44" i="71"/>
  <c r="J102" i="71"/>
  <c r="J96" i="71"/>
  <c r="J78" i="71"/>
  <c r="J72" i="71"/>
  <c r="J103" i="71"/>
  <c r="J97" i="71"/>
  <c r="J87" i="71"/>
  <c r="J79" i="71"/>
  <c r="J67" i="71"/>
  <c r="J63" i="71"/>
  <c r="J89" i="71"/>
  <c r="J73" i="71"/>
  <c r="J117" i="71"/>
  <c r="J111" i="71"/>
  <c r="J90" i="71"/>
  <c r="J86" i="71"/>
  <c r="J62" i="71"/>
  <c r="J75" i="71"/>
  <c r="J59" i="71"/>
  <c r="J107" i="71"/>
  <c r="J83" i="71"/>
  <c r="J65" i="71"/>
  <c r="J54" i="71"/>
  <c r="J49" i="71"/>
  <c r="J113" i="71"/>
  <c r="J68" i="71"/>
  <c r="J94" i="71"/>
  <c r="J91" i="71"/>
  <c r="J76" i="71"/>
  <c r="J71" i="71"/>
  <c r="J60" i="71"/>
  <c r="J47" i="71"/>
  <c r="J42" i="71"/>
  <c r="J104" i="71"/>
  <c r="J98" i="71"/>
  <c r="J80" i="71"/>
  <c r="J95" i="71"/>
  <c r="J88" i="71"/>
  <c r="J55" i="71"/>
  <c r="J45" i="71"/>
  <c r="J66" i="71"/>
  <c r="J61" i="71"/>
  <c r="J50" i="71"/>
  <c r="J69" i="71"/>
  <c r="J53" i="71"/>
  <c r="J43" i="71"/>
  <c r="J40" i="71"/>
  <c r="J101" i="71"/>
  <c r="J82" i="71"/>
  <c r="J64" i="71"/>
  <c r="J110" i="71"/>
  <c r="J92" i="71"/>
  <c r="J74" i="71"/>
  <c r="J81" i="71"/>
  <c r="J57" i="71"/>
  <c r="J106" i="71"/>
  <c r="J85" i="71"/>
  <c r="J51" i="71"/>
  <c r="J46" i="71"/>
  <c r="J93" i="71"/>
  <c r="J77" i="71"/>
  <c r="J41" i="71"/>
  <c r="N12" i="71"/>
  <c r="J99" i="71"/>
  <c r="J105" i="71"/>
  <c r="R69" i="73"/>
  <c r="R33" i="73"/>
  <c r="R29" i="73"/>
  <c r="R65" i="73"/>
  <c r="R64" i="73"/>
  <c r="R57" i="73"/>
  <c r="R56" i="73"/>
  <c r="R45" i="73"/>
  <c r="R44" i="73"/>
  <c r="R81" i="73"/>
  <c r="R39" i="73"/>
  <c r="R70" i="73"/>
  <c r="R66" i="73"/>
  <c r="R58" i="73"/>
  <c r="R47" i="73"/>
  <c r="R46" i="73"/>
  <c r="R34" i="73"/>
  <c r="R30" i="73"/>
  <c r="R49" i="73"/>
  <c r="R48" i="73"/>
  <c r="R40" i="73"/>
  <c r="R21" i="73"/>
  <c r="X12" i="73"/>
  <c r="Z12" i="73" s="1"/>
  <c r="R72" i="73"/>
  <c r="R71" i="73"/>
  <c r="R67" i="73"/>
  <c r="R59" i="73"/>
  <c r="R35" i="73"/>
  <c r="R31" i="73"/>
  <c r="R74" i="73"/>
  <c r="R73" i="73"/>
  <c r="R41" i="73"/>
  <c r="R23" i="73"/>
  <c r="R55" i="73"/>
  <c r="R50" i="73"/>
  <c r="R62" i="73"/>
  <c r="R53" i="73"/>
  <c r="R75" i="73"/>
  <c r="R60" i="73"/>
  <c r="R51" i="73"/>
  <c r="R43" i="73"/>
  <c r="R37" i="73"/>
  <c r="P25" i="73"/>
  <c r="R63" i="73"/>
  <c r="R27" i="73"/>
  <c r="R22" i="73"/>
  <c r="R52" i="73"/>
  <c r="R38" i="73"/>
  <c r="R32" i="73"/>
  <c r="R28" i="73"/>
  <c r="R77" i="73"/>
  <c r="R61" i="73"/>
  <c r="R42" i="73"/>
  <c r="R68" i="73"/>
  <c r="R36" i="73"/>
  <c r="R54" i="73"/>
  <c r="D49" i="60"/>
  <c r="L16" i="60"/>
  <c r="T56" i="60"/>
  <c r="X49" i="60"/>
  <c r="Z49" i="60" s="1"/>
  <c r="P53" i="60"/>
  <c r="D71" i="58"/>
  <c r="L16" i="58"/>
  <c r="Z16" i="56"/>
  <c r="T71" i="56"/>
  <c r="H71" i="56"/>
  <c r="N16" i="56"/>
  <c r="L17" i="48"/>
  <c r="N17" i="48" s="1"/>
  <c r="D67" i="48"/>
  <c r="L63" i="48"/>
  <c r="N63" i="48" s="1"/>
  <c r="F63" i="48"/>
  <c r="R30" i="36"/>
  <c r="X111" i="27"/>
  <c r="Z111" i="27" s="1"/>
  <c r="J30" i="36"/>
  <c r="H91" i="33"/>
  <c r="L12" i="18"/>
  <c r="N12" i="18" s="1"/>
  <c r="X16" i="9"/>
  <c r="P90" i="9"/>
  <c r="V245" i="12"/>
  <c r="V217" i="12"/>
  <c r="V205" i="12"/>
  <c r="V197" i="12"/>
  <c r="V189" i="12"/>
  <c r="V157" i="12"/>
  <c r="V153" i="12"/>
  <c r="V149" i="12"/>
  <c r="V145" i="12"/>
  <c r="V141" i="12"/>
  <c r="V137" i="12"/>
  <c r="V133" i="12"/>
  <c r="V129" i="12"/>
  <c r="V125" i="12"/>
  <c r="V121" i="12"/>
  <c r="V117" i="12"/>
  <c r="V113" i="12"/>
  <c r="V109" i="12"/>
  <c r="V261" i="12"/>
  <c r="V247" i="12"/>
  <c r="V239" i="12"/>
  <c r="V235" i="12"/>
  <c r="V223" i="12"/>
  <c r="V207" i="12"/>
  <c r="V199" i="12"/>
  <c r="V260" i="12"/>
  <c r="V230" i="12"/>
  <c r="V218" i="12"/>
  <c r="V210" i="12"/>
  <c r="V198" i="12"/>
  <c r="V190" i="12"/>
  <c r="V182" i="12"/>
  <c r="V158" i="12"/>
  <c r="V154" i="12"/>
  <c r="V150" i="12"/>
  <c r="V146" i="12"/>
  <c r="V259" i="12"/>
  <c r="V241" i="12"/>
  <c r="V229" i="12"/>
  <c r="V225" i="12"/>
  <c r="V209" i="12"/>
  <c r="V201" i="12"/>
  <c r="V181" i="12"/>
  <c r="V177" i="12"/>
  <c r="V258" i="12"/>
  <c r="V248" i="12"/>
  <c r="V240" i="12"/>
  <c r="V236" i="12"/>
  <c r="V220" i="12"/>
  <c r="V212" i="12"/>
  <c r="V200" i="12"/>
  <c r="V192" i="12"/>
  <c r="V184" i="12"/>
  <c r="V172" i="12"/>
  <c r="V168" i="12"/>
  <c r="V164" i="12"/>
  <c r="V265" i="12"/>
  <c r="V257" i="12"/>
  <c r="V231" i="12"/>
  <c r="V219" i="12"/>
  <c r="V211" i="12"/>
  <c r="V191" i="12"/>
  <c r="V183" i="12"/>
  <c r="V163" i="12"/>
  <c r="V161" i="12"/>
  <c r="V159" i="12"/>
  <c r="V155" i="12"/>
  <c r="V151" i="12"/>
  <c r="V147" i="12"/>
  <c r="V143" i="12"/>
  <c r="V139" i="12"/>
  <c r="V135" i="12"/>
  <c r="V131" i="12"/>
  <c r="V127" i="12"/>
  <c r="V123" i="12"/>
  <c r="V119" i="12"/>
  <c r="V115" i="12"/>
  <c r="V256" i="12"/>
  <c r="V250" i="12"/>
  <c r="V242" i="12"/>
  <c r="V226" i="12"/>
  <c r="V214" i="12"/>
  <c r="V202" i="12"/>
  <c r="V178" i="12"/>
  <c r="V174" i="12"/>
  <c r="V255" i="12"/>
  <c r="V249" i="12"/>
  <c r="V237" i="12"/>
  <c r="V233" i="12"/>
  <c r="V221" i="12"/>
  <c r="V213" i="12"/>
  <c r="V193" i="12"/>
  <c r="V185" i="12"/>
  <c r="V173" i="12"/>
  <c r="V169" i="12"/>
  <c r="V165" i="12"/>
  <c r="V254" i="12"/>
  <c r="V244" i="12"/>
  <c r="V232" i="12"/>
  <c r="V216" i="12"/>
  <c r="V204" i="12"/>
  <c r="V246" i="12"/>
  <c r="V238" i="12"/>
  <c r="V234" i="12"/>
  <c r="V222" i="12"/>
  <c r="V206" i="12"/>
  <c r="V194" i="12"/>
  <c r="V186" i="12"/>
  <c r="V170" i="12"/>
  <c r="V166" i="12"/>
  <c r="V180" i="12"/>
  <c r="V175" i="12"/>
  <c r="V130" i="12"/>
  <c r="V122" i="12"/>
  <c r="V111" i="12"/>
  <c r="Z12" i="12"/>
  <c r="V243" i="12"/>
  <c r="V208" i="12"/>
  <c r="V152" i="12"/>
  <c r="V140" i="12"/>
  <c r="V114" i="12"/>
  <c r="V228" i="12"/>
  <c r="V167" i="12"/>
  <c r="V188" i="12"/>
  <c r="V138" i="12"/>
  <c r="V128" i="12"/>
  <c r="V120" i="12"/>
  <c r="V148" i="12"/>
  <c r="V112" i="12"/>
  <c r="V253" i="12"/>
  <c r="V224" i="12"/>
  <c r="V136" i="12"/>
  <c r="V187" i="12"/>
  <c r="V179" i="12"/>
  <c r="V176" i="12"/>
  <c r="T161" i="12"/>
  <c r="V126" i="12"/>
  <c r="V118" i="12"/>
  <c r="V227" i="12"/>
  <c r="V134" i="12"/>
  <c r="V251" i="12"/>
  <c r="V196" i="12"/>
  <c r="V171" i="12"/>
  <c r="V110" i="12"/>
  <c r="V195" i="12"/>
  <c r="V142" i="12"/>
  <c r="V108" i="12"/>
  <c r="V132" i="12"/>
  <c r="V203" i="12"/>
  <c r="V124" i="12"/>
  <c r="V156" i="12"/>
  <c r="V144" i="12"/>
  <c r="V116" i="12"/>
  <c r="V215" i="12"/>
  <c r="T305" i="3"/>
  <c r="H27" i="111"/>
  <c r="N18" i="111"/>
  <c r="T27" i="111"/>
  <c r="Z18" i="111"/>
  <c r="H27" i="46"/>
  <c r="N18" i="46"/>
  <c r="T27" i="47"/>
  <c r="Z18" i="47"/>
  <c r="T27" i="37"/>
  <c r="Z18" i="37"/>
  <c r="L18" i="23"/>
  <c r="D27" i="23"/>
  <c r="L18" i="17"/>
  <c r="D27" i="17"/>
  <c r="H27" i="13"/>
  <c r="N18" i="13"/>
  <c r="T27" i="8"/>
  <c r="Z18" i="8"/>
  <c r="Z18" i="11"/>
  <c r="T27" i="11"/>
  <c r="P27" i="4"/>
  <c r="X18" i="4"/>
  <c r="R78" i="98"/>
  <c r="R70" i="98"/>
  <c r="R66" i="98"/>
  <c r="R59" i="98"/>
  <c r="R58" i="98"/>
  <c r="R43" i="98"/>
  <c r="R42" i="98"/>
  <c r="R30" i="98"/>
  <c r="R26" i="98"/>
  <c r="R83" i="98"/>
  <c r="R53" i="98"/>
  <c r="R60" i="98"/>
  <c r="R61" i="98"/>
  <c r="R73" i="98"/>
  <c r="R72" i="98"/>
  <c r="R68" i="98"/>
  <c r="R56" i="98"/>
  <c r="R28" i="98"/>
  <c r="R24" i="98"/>
  <c r="R75" i="98"/>
  <c r="R74" i="98"/>
  <c r="R63" i="98"/>
  <c r="R62" i="98"/>
  <c r="R39" i="98"/>
  <c r="R38" i="98"/>
  <c r="R34" i="98"/>
  <c r="R65" i="98"/>
  <c r="R37" i="98"/>
  <c r="R18" i="98"/>
  <c r="R51" i="98"/>
  <c r="R47" i="98"/>
  <c r="R44" i="98"/>
  <c r="R41" i="98"/>
  <c r="R35" i="98"/>
  <c r="R25" i="98"/>
  <c r="R54" i="98"/>
  <c r="R48" i="98"/>
  <c r="R52" i="98"/>
  <c r="R45" i="98"/>
  <c r="R33" i="98"/>
  <c r="R22" i="98"/>
  <c r="P20" i="98"/>
  <c r="R20" i="98" s="1"/>
  <c r="R16" i="98"/>
  <c r="X12" i="98"/>
  <c r="Z12" i="98" s="1"/>
  <c r="R23" i="98"/>
  <c r="R57" i="98"/>
  <c r="R55" i="98"/>
  <c r="R36" i="98"/>
  <c r="R49" i="98"/>
  <c r="R17" i="98"/>
  <c r="R46" i="98"/>
  <c r="R31" i="98"/>
  <c r="R79" i="98"/>
  <c r="R71" i="98"/>
  <c r="R64" i="98"/>
  <c r="R29" i="98"/>
  <c r="R67" i="98"/>
  <c r="R76" i="98"/>
  <c r="R40" i="98"/>
  <c r="R69" i="98"/>
  <c r="R50" i="98"/>
  <c r="R32" i="98"/>
  <c r="R27" i="98"/>
  <c r="R60" i="79"/>
  <c r="R54" i="79"/>
  <c r="R53" i="79"/>
  <c r="R45" i="79"/>
  <c r="R37" i="79"/>
  <c r="R18" i="79"/>
  <c r="R66" i="79"/>
  <c r="R59" i="79"/>
  <c r="R32" i="79"/>
  <c r="R58" i="79"/>
  <c r="R55" i="79"/>
  <c r="R28" i="79"/>
  <c r="R57" i="79"/>
  <c r="R47" i="79"/>
  <c r="R46" i="79"/>
  <c r="R38" i="79"/>
  <c r="R27" i="79"/>
  <c r="R42" i="79"/>
  <c r="R41" i="79"/>
  <c r="R21" i="79"/>
  <c r="R52" i="79"/>
  <c r="R62" i="79"/>
  <c r="R50" i="79"/>
  <c r="R30" i="79"/>
  <c r="R22" i="79"/>
  <c r="R51" i="79"/>
  <c r="R36" i="79"/>
  <c r="R33" i="79"/>
  <c r="R20" i="79"/>
  <c r="R39" i="79"/>
  <c r="R48" i="79"/>
  <c r="R31" i="79"/>
  <c r="R23" i="79"/>
  <c r="R49" i="79"/>
  <c r="R34" i="79"/>
  <c r="R61" i="79"/>
  <c r="R40" i="79"/>
  <c r="R29" i="79"/>
  <c r="R43" i="79"/>
  <c r="R44" i="79"/>
  <c r="R35" i="79"/>
  <c r="X12" i="79"/>
  <c r="Z12" i="79" s="1"/>
  <c r="P25" i="79"/>
  <c r="R19" i="79"/>
  <c r="T96" i="45"/>
  <c r="H27" i="41"/>
  <c r="N18" i="41"/>
  <c r="X18" i="28"/>
  <c r="P27" i="28"/>
  <c r="J17" i="110"/>
  <c r="F91" i="108"/>
  <c r="V22" i="104"/>
  <c r="J85" i="104"/>
  <c r="J73" i="104"/>
  <c r="J75" i="104"/>
  <c r="J69" i="104"/>
  <c r="J76" i="104"/>
  <c r="J64" i="104"/>
  <c r="J58" i="104"/>
  <c r="J77" i="104"/>
  <c r="J59" i="104"/>
  <c r="J66" i="104"/>
  <c r="J60" i="104"/>
  <c r="J52" i="104"/>
  <c r="J49" i="104"/>
  <c r="J42" i="104"/>
  <c r="J29" i="104"/>
  <c r="J25" i="104"/>
  <c r="J81" i="104"/>
  <c r="J65" i="104"/>
  <c r="J56" i="104"/>
  <c r="J38" i="104"/>
  <c r="J26" i="104"/>
  <c r="J24" i="104"/>
  <c r="J72" i="104"/>
  <c r="J63" i="104"/>
  <c r="J50" i="104"/>
  <c r="J43" i="104"/>
  <c r="J33" i="104"/>
  <c r="H22" i="104"/>
  <c r="J70" i="104"/>
  <c r="J30" i="104"/>
  <c r="J78" i="104"/>
  <c r="J68" i="104"/>
  <c r="J57" i="104"/>
  <c r="J51" i="104"/>
  <c r="J44" i="104"/>
  <c r="J39" i="104"/>
  <c r="J34" i="104"/>
  <c r="J27" i="104"/>
  <c r="J45" i="104"/>
  <c r="J35" i="104"/>
  <c r="J61" i="104"/>
  <c r="J53" i="104"/>
  <c r="J46" i="104"/>
  <c r="J36" i="104"/>
  <c r="J31" i="104"/>
  <c r="J18" i="104"/>
  <c r="J67" i="104"/>
  <c r="J41" i="104"/>
  <c r="J20" i="104"/>
  <c r="J19" i="104"/>
  <c r="J48" i="104"/>
  <c r="J40" i="104"/>
  <c r="J32" i="104"/>
  <c r="J71" i="104"/>
  <c r="J55" i="104"/>
  <c r="J79" i="104"/>
  <c r="J37" i="104"/>
  <c r="J54" i="104"/>
  <c r="J47" i="104"/>
  <c r="J74" i="104"/>
  <c r="J62" i="104"/>
  <c r="J28" i="104"/>
  <c r="T61" i="101"/>
  <c r="V20" i="101"/>
  <c r="T43" i="100"/>
  <c r="Z17" i="100"/>
  <c r="N20" i="96"/>
  <c r="H87" i="96"/>
  <c r="L87" i="96" s="1"/>
  <c r="D91" i="96"/>
  <c r="L20" i="89"/>
  <c r="D71" i="89"/>
  <c r="F75" i="81"/>
  <c r="F53" i="81"/>
  <c r="F52" i="81"/>
  <c r="F41" i="81"/>
  <c r="F40" i="81"/>
  <c r="F29" i="81"/>
  <c r="F25" i="81"/>
  <c r="F64" i="81"/>
  <c r="F60" i="81"/>
  <c r="F59" i="81"/>
  <c r="F43" i="81"/>
  <c r="F42" i="81"/>
  <c r="F35" i="81"/>
  <c r="F54" i="81"/>
  <c r="F30" i="81"/>
  <c r="F26" i="81"/>
  <c r="F65" i="81"/>
  <c r="F61" i="81"/>
  <c r="F45" i="81"/>
  <c r="F44" i="81"/>
  <c r="F17" i="81"/>
  <c r="F16" i="81"/>
  <c r="F56" i="81"/>
  <c r="F55" i="81"/>
  <c r="F67" i="81"/>
  <c r="F66" i="81"/>
  <c r="F47" i="81"/>
  <c r="F46" i="81"/>
  <c r="F31" i="81"/>
  <c r="F27" i="81"/>
  <c r="F62" i="81"/>
  <c r="F18" i="81"/>
  <c r="F69" i="81"/>
  <c r="F68" i="81"/>
  <c r="F57" i="81"/>
  <c r="F49" i="81"/>
  <c r="F48" i="81"/>
  <c r="F37" i="81"/>
  <c r="F33" i="81"/>
  <c r="F32" i="81"/>
  <c r="F28" i="81"/>
  <c r="F24" i="81"/>
  <c r="F23" i="81"/>
  <c r="F50" i="81"/>
  <c r="F20" i="81"/>
  <c r="F71" i="81"/>
  <c r="F38" i="81"/>
  <c r="F36" i="81"/>
  <c r="D20" i="81"/>
  <c r="F34" i="81"/>
  <c r="F63" i="81"/>
  <c r="F58" i="81"/>
  <c r="L12" i="81"/>
  <c r="N12" i="81" s="1"/>
  <c r="F51" i="81"/>
  <c r="F22" i="81"/>
  <c r="F39" i="81"/>
  <c r="J114" i="85"/>
  <c r="J109" i="85"/>
  <c r="J110" i="85"/>
  <c r="J111" i="85"/>
  <c r="J108" i="85"/>
  <c r="J85" i="85"/>
  <c r="J73" i="85"/>
  <c r="J67" i="85"/>
  <c r="J53" i="85"/>
  <c r="J49" i="85"/>
  <c r="J45" i="85"/>
  <c r="J41" i="85"/>
  <c r="J37" i="85"/>
  <c r="J112" i="85"/>
  <c r="J96" i="85"/>
  <c r="J120" i="85"/>
  <c r="J116" i="85"/>
  <c r="J102" i="85"/>
  <c r="J97" i="85"/>
  <c r="J87" i="85"/>
  <c r="J75" i="85"/>
  <c r="J63" i="85"/>
  <c r="J59" i="85"/>
  <c r="J57" i="85"/>
  <c r="J98" i="85"/>
  <c r="J88" i="85"/>
  <c r="J76" i="85"/>
  <c r="H55" i="85"/>
  <c r="J55" i="85" s="1"/>
  <c r="J50" i="85"/>
  <c r="J106" i="85"/>
  <c r="J89" i="85"/>
  <c r="J77" i="85"/>
  <c r="J69" i="85"/>
  <c r="J113" i="85"/>
  <c r="J103" i="85"/>
  <c r="J90" i="85"/>
  <c r="J78" i="85"/>
  <c r="J64" i="85"/>
  <c r="J60" i="85"/>
  <c r="J99" i="85"/>
  <c r="J91" i="85"/>
  <c r="J79" i="85"/>
  <c r="J51" i="85"/>
  <c r="J47" i="85"/>
  <c r="J43" i="85"/>
  <c r="J39" i="85"/>
  <c r="J92" i="85"/>
  <c r="J80" i="85"/>
  <c r="J70" i="85"/>
  <c r="J100" i="85"/>
  <c r="J95" i="85"/>
  <c r="J83" i="85"/>
  <c r="J71" i="85"/>
  <c r="J86" i="85"/>
  <c r="J62" i="85"/>
  <c r="J81" i="85"/>
  <c r="J66" i="85"/>
  <c r="N12" i="85"/>
  <c r="J101" i="85"/>
  <c r="J84" i="85"/>
  <c r="J93" i="85"/>
  <c r="J61" i="85"/>
  <c r="J105" i="85"/>
  <c r="J65" i="85"/>
  <c r="J42" i="85"/>
  <c r="J40" i="85"/>
  <c r="J38" i="85"/>
  <c r="J107" i="85"/>
  <c r="J82" i="85"/>
  <c r="J44" i="85"/>
  <c r="J36" i="85"/>
  <c r="J48" i="85"/>
  <c r="J46" i="85"/>
  <c r="J94" i="85"/>
  <c r="J72" i="85"/>
  <c r="J68" i="85"/>
  <c r="J74" i="85"/>
  <c r="J58" i="85"/>
  <c r="J104" i="85"/>
  <c r="J52" i="85"/>
  <c r="F72" i="84"/>
  <c r="F74" i="84"/>
  <c r="F70" i="84"/>
  <c r="F78" i="84"/>
  <c r="F77" i="84"/>
  <c r="F67" i="84"/>
  <c r="F49" i="84"/>
  <c r="F48" i="84"/>
  <c r="F29" i="84"/>
  <c r="F25" i="84"/>
  <c r="F84" i="84"/>
  <c r="F76" i="84"/>
  <c r="F73" i="84"/>
  <c r="F64" i="84"/>
  <c r="F60" i="84"/>
  <c r="F40" i="84"/>
  <c r="F39" i="84"/>
  <c r="F51" i="84"/>
  <c r="F50" i="84"/>
  <c r="F35" i="84"/>
  <c r="F42" i="84"/>
  <c r="F41" i="84"/>
  <c r="F30" i="84"/>
  <c r="F26" i="84"/>
  <c r="F80" i="84"/>
  <c r="F71" i="84"/>
  <c r="F61" i="84"/>
  <c r="F53" i="84"/>
  <c r="F52" i="84"/>
  <c r="F17" i="84"/>
  <c r="F16" i="84"/>
  <c r="F68" i="84"/>
  <c r="F65" i="84"/>
  <c r="F44" i="84"/>
  <c r="F43" i="84"/>
  <c r="F36" i="84"/>
  <c r="L12" i="84"/>
  <c r="N12" i="84" s="1"/>
  <c r="F55" i="84"/>
  <c r="F54" i="84"/>
  <c r="F31" i="84"/>
  <c r="F27" i="84"/>
  <c r="F62" i="84"/>
  <c r="F46" i="84"/>
  <c r="F45" i="84"/>
  <c r="F18" i="84"/>
  <c r="F69" i="84"/>
  <c r="F63" i="84"/>
  <c r="F57" i="84"/>
  <c r="F56" i="84"/>
  <c r="F37" i="84"/>
  <c r="F33" i="84"/>
  <c r="F32" i="84"/>
  <c r="F75" i="84"/>
  <c r="F28" i="84"/>
  <c r="F24" i="84"/>
  <c r="F23" i="84"/>
  <c r="F38" i="84"/>
  <c r="F34" i="84"/>
  <c r="D20" i="84"/>
  <c r="F58" i="84"/>
  <c r="F47" i="84"/>
  <c r="F22" i="84"/>
  <c r="F59" i="84"/>
  <c r="F66" i="84"/>
  <c r="F20" i="84"/>
  <c r="J53" i="77"/>
  <c r="H100" i="77"/>
  <c r="X110" i="71"/>
  <c r="Z110" i="71" s="1"/>
  <c r="T58" i="68"/>
  <c r="Z16" i="68"/>
  <c r="T58" i="61"/>
  <c r="R107" i="69"/>
  <c r="R106" i="69"/>
  <c r="R90" i="69"/>
  <c r="R82" i="69"/>
  <c r="R77" i="69"/>
  <c r="R73" i="69"/>
  <c r="R109" i="69"/>
  <c r="R108" i="69"/>
  <c r="R101" i="69"/>
  <c r="R100" i="69"/>
  <c r="R64" i="69"/>
  <c r="R60" i="69"/>
  <c r="R56" i="69"/>
  <c r="R52" i="69"/>
  <c r="R48" i="69"/>
  <c r="R92" i="69"/>
  <c r="R91" i="69"/>
  <c r="R83" i="69"/>
  <c r="R110" i="69"/>
  <c r="R102" i="69"/>
  <c r="R78" i="69"/>
  <c r="R74" i="69"/>
  <c r="R112" i="69"/>
  <c r="R94" i="69"/>
  <c r="R93" i="69"/>
  <c r="R65" i="69"/>
  <c r="R61" i="69"/>
  <c r="R57" i="69"/>
  <c r="R53" i="69"/>
  <c r="R49" i="69"/>
  <c r="R85" i="69"/>
  <c r="R84" i="69"/>
  <c r="R104" i="69"/>
  <c r="R103" i="69"/>
  <c r="R96" i="69"/>
  <c r="R95" i="69"/>
  <c r="R80" i="69"/>
  <c r="R79" i="69"/>
  <c r="R75" i="69"/>
  <c r="R98" i="69"/>
  <c r="R88" i="69"/>
  <c r="R81" i="69"/>
  <c r="R68" i="69"/>
  <c r="R105" i="69"/>
  <c r="R86" i="69"/>
  <c r="P68" i="69"/>
  <c r="R63" i="69"/>
  <c r="R89" i="69"/>
  <c r="R59" i="69"/>
  <c r="R55" i="69"/>
  <c r="R51" i="69"/>
  <c r="X12" i="69"/>
  <c r="Z12" i="69" s="1"/>
  <c r="R72" i="69"/>
  <c r="R87" i="69"/>
  <c r="R99" i="69"/>
  <c r="R76" i="69"/>
  <c r="R70" i="69"/>
  <c r="R66" i="69"/>
  <c r="R62" i="69"/>
  <c r="R47" i="69"/>
  <c r="R54" i="69"/>
  <c r="R116" i="69"/>
  <c r="R97" i="69"/>
  <c r="R58" i="69"/>
  <c r="R50" i="69"/>
  <c r="R71" i="69"/>
  <c r="D58" i="61"/>
  <c r="L58" i="61" s="1"/>
  <c r="L55" i="61"/>
  <c r="N55" i="61" s="1"/>
  <c r="R63" i="48"/>
  <c r="L29" i="42"/>
  <c r="D117" i="42"/>
  <c r="X83" i="33"/>
  <c r="Z83" i="33" s="1"/>
  <c r="J37" i="33"/>
  <c r="V93" i="33"/>
  <c r="V85" i="33"/>
  <c r="V79" i="33"/>
  <c r="V67" i="33"/>
  <c r="V55" i="33"/>
  <c r="V39" i="33"/>
  <c r="V35" i="33"/>
  <c r="V31" i="33"/>
  <c r="V84" i="33"/>
  <c r="V74" i="33"/>
  <c r="V66" i="33"/>
  <c r="V58" i="33"/>
  <c r="V50" i="33"/>
  <c r="T37" i="33"/>
  <c r="V83" i="33"/>
  <c r="V81" i="33"/>
  <c r="V57" i="33"/>
  <c r="V68" i="33"/>
  <c r="V60" i="33"/>
  <c r="V75" i="33"/>
  <c r="V59" i="33"/>
  <c r="V51" i="33"/>
  <c r="V70" i="33"/>
  <c r="V69" i="33"/>
  <c r="V61" i="33"/>
  <c r="V33" i="33"/>
  <c r="V76" i="33"/>
  <c r="V72" i="33"/>
  <c r="V52" i="33"/>
  <c r="V89" i="33"/>
  <c r="V88" i="33"/>
  <c r="V78" i="33"/>
  <c r="V62" i="33"/>
  <c r="V54" i="33"/>
  <c r="V86" i="33"/>
  <c r="V80" i="33"/>
  <c r="V64" i="33"/>
  <c r="V56" i="33"/>
  <c r="V48" i="33"/>
  <c r="V44" i="33"/>
  <c r="V40" i="33"/>
  <c r="V46" i="33"/>
  <c r="V77" i="33"/>
  <c r="V34" i="33"/>
  <c r="V32" i="33"/>
  <c r="V43" i="33"/>
  <c r="V41" i="33"/>
  <c r="V63" i="33"/>
  <c r="V30" i="33"/>
  <c r="V87" i="33"/>
  <c r="V65" i="33"/>
  <c r="V71" i="33"/>
  <c r="V47" i="33"/>
  <c r="V45" i="33"/>
  <c r="V53" i="33"/>
  <c r="V49" i="33"/>
  <c r="V73" i="33"/>
  <c r="V42" i="33"/>
  <c r="Z12" i="33"/>
  <c r="T281" i="18"/>
  <c r="D90" i="9"/>
  <c r="L16" i="9"/>
  <c r="F259" i="12"/>
  <c r="F242" i="12"/>
  <c r="F241" i="12"/>
  <c r="F226" i="12"/>
  <c r="F202" i="12"/>
  <c r="F201" i="12"/>
  <c r="F178" i="12"/>
  <c r="F258" i="12"/>
  <c r="F249" i="12"/>
  <c r="F257" i="12"/>
  <c r="F232" i="12"/>
  <c r="F256" i="12"/>
  <c r="F251" i="12"/>
  <c r="F250" i="12"/>
  <c r="F243" i="12"/>
  <c r="F227" i="12"/>
  <c r="F215" i="12"/>
  <c r="F214" i="12"/>
  <c r="F203" i="12"/>
  <c r="F179" i="12"/>
  <c r="F175" i="12"/>
  <c r="F174" i="12"/>
  <c r="D161" i="12"/>
  <c r="F255" i="12"/>
  <c r="F238" i="12"/>
  <c r="F234" i="12"/>
  <c r="F233" i="12"/>
  <c r="F222" i="12"/>
  <c r="F194" i="12"/>
  <c r="F186" i="12"/>
  <c r="F170" i="12"/>
  <c r="F166" i="12"/>
  <c r="F254" i="12"/>
  <c r="F245" i="12"/>
  <c r="F244" i="12"/>
  <c r="F217" i="12"/>
  <c r="F216" i="12"/>
  <c r="F205" i="12"/>
  <c r="F204" i="12"/>
  <c r="F157" i="12"/>
  <c r="F153" i="12"/>
  <c r="F149" i="12"/>
  <c r="F145" i="12"/>
  <c r="F141" i="12"/>
  <c r="F137" i="12"/>
  <c r="F133" i="12"/>
  <c r="F129" i="12"/>
  <c r="F125" i="12"/>
  <c r="F121" i="12"/>
  <c r="F117" i="12"/>
  <c r="F113" i="12"/>
  <c r="F109" i="12"/>
  <c r="F108" i="12"/>
  <c r="F253" i="12"/>
  <c r="F228" i="12"/>
  <c r="F196" i="12"/>
  <c r="F195" i="12"/>
  <c r="F188" i="12"/>
  <c r="F187" i="12"/>
  <c r="F180" i="12"/>
  <c r="F176" i="12"/>
  <c r="F247" i="12"/>
  <c r="F246" i="12"/>
  <c r="F239" i="12"/>
  <c r="F235" i="12"/>
  <c r="F223" i="12"/>
  <c r="F207" i="12"/>
  <c r="F206" i="12"/>
  <c r="F171" i="12"/>
  <c r="F167" i="12"/>
  <c r="F218" i="12"/>
  <c r="F198" i="12"/>
  <c r="F197" i="12"/>
  <c r="F190" i="12"/>
  <c r="F189" i="12"/>
  <c r="F158" i="12"/>
  <c r="F154" i="12"/>
  <c r="F150" i="12"/>
  <c r="F146" i="12"/>
  <c r="F142" i="12"/>
  <c r="F138" i="12"/>
  <c r="F134" i="12"/>
  <c r="F229" i="12"/>
  <c r="F225" i="12"/>
  <c r="F224" i="12"/>
  <c r="F209" i="12"/>
  <c r="F208" i="12"/>
  <c r="F181" i="12"/>
  <c r="F177" i="12"/>
  <c r="F265" i="12"/>
  <c r="F260" i="12"/>
  <c r="F231" i="12"/>
  <c r="F230" i="12"/>
  <c r="F219" i="12"/>
  <c r="F211" i="12"/>
  <c r="F210" i="12"/>
  <c r="F191" i="12"/>
  <c r="F183" i="12"/>
  <c r="F182" i="12"/>
  <c r="F159" i="12"/>
  <c r="F155" i="12"/>
  <c r="F151" i="12"/>
  <c r="F147" i="12"/>
  <c r="F143" i="12"/>
  <c r="F139" i="12"/>
  <c r="F135" i="12"/>
  <c r="F131" i="12"/>
  <c r="F127" i="12"/>
  <c r="F123" i="12"/>
  <c r="F119" i="12"/>
  <c r="F115" i="12"/>
  <c r="F111" i="12"/>
  <c r="F200" i="12"/>
  <c r="F193" i="12"/>
  <c r="F110" i="12"/>
  <c r="F173" i="12"/>
  <c r="F165" i="12"/>
  <c r="F144" i="12"/>
  <c r="F132" i="12"/>
  <c r="F124" i="12"/>
  <c r="F156" i="12"/>
  <c r="F116" i="12"/>
  <c r="F184" i="12"/>
  <c r="F163" i="12"/>
  <c r="F130" i="12"/>
  <c r="F122" i="12"/>
  <c r="F240" i="12"/>
  <c r="F220" i="12"/>
  <c r="F212" i="12"/>
  <c r="F172" i="12"/>
  <c r="F152" i="12"/>
  <c r="F140" i="12"/>
  <c r="F114" i="12"/>
  <c r="L12" i="12"/>
  <c r="F261" i="12"/>
  <c r="F237" i="12"/>
  <c r="F199" i="12"/>
  <c r="F192" i="12"/>
  <c r="F169" i="12"/>
  <c r="F128" i="12"/>
  <c r="F120" i="12"/>
  <c r="F185" i="12"/>
  <c r="F164" i="12"/>
  <c r="F112" i="12"/>
  <c r="F168" i="12"/>
  <c r="F118" i="12"/>
  <c r="F248" i="12"/>
  <c r="F148" i="12"/>
  <c r="F221" i="12"/>
  <c r="F161" i="12"/>
  <c r="F213" i="12"/>
  <c r="F236" i="12"/>
  <c r="F136" i="12"/>
  <c r="F126" i="12"/>
  <c r="R297" i="3"/>
  <c r="R271" i="3"/>
  <c r="R270" i="3"/>
  <c r="R206" i="3"/>
  <c r="R202" i="3"/>
  <c r="R296" i="3"/>
  <c r="R281" i="3"/>
  <c r="R265" i="3"/>
  <c r="R254" i="3"/>
  <c r="R253" i="3"/>
  <c r="R242" i="3"/>
  <c r="R241" i="3"/>
  <c r="R234" i="3"/>
  <c r="R233" i="3"/>
  <c r="R225" i="3"/>
  <c r="R218" i="3"/>
  <c r="R217" i="3"/>
  <c r="R198" i="3"/>
  <c r="R193" i="3"/>
  <c r="R189" i="3"/>
  <c r="R185" i="3"/>
  <c r="R181" i="3"/>
  <c r="R177" i="3"/>
  <c r="R295" i="3"/>
  <c r="R289" i="3"/>
  <c r="R288" i="3"/>
  <c r="R276" i="3"/>
  <c r="R272" i="3"/>
  <c r="R260" i="3"/>
  <c r="R212" i="3"/>
  <c r="R197" i="3"/>
  <c r="R294" i="3"/>
  <c r="R255" i="3"/>
  <c r="R244" i="3"/>
  <c r="R243" i="3"/>
  <c r="R236" i="3"/>
  <c r="R235" i="3"/>
  <c r="R219" i="3"/>
  <c r="R208" i="3"/>
  <c r="R207" i="3"/>
  <c r="R203" i="3"/>
  <c r="R199" i="3"/>
  <c r="R293" i="3"/>
  <c r="R290" i="3"/>
  <c r="R283" i="3"/>
  <c r="R282" i="3"/>
  <c r="R266" i="3"/>
  <c r="R227" i="3"/>
  <c r="R226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292" i="3"/>
  <c r="R277" i="3"/>
  <c r="R273" i="3"/>
  <c r="R262" i="3"/>
  <c r="R261" i="3"/>
  <c r="R246" i="3"/>
  <c r="R245" i="3"/>
  <c r="R237" i="3"/>
  <c r="R213" i="3"/>
  <c r="R209" i="3"/>
  <c r="R303" i="3"/>
  <c r="R285" i="3"/>
  <c r="R284" i="3"/>
  <c r="R256" i="3"/>
  <c r="R228" i="3"/>
  <c r="R221" i="3"/>
  <c r="R220" i="3"/>
  <c r="R204" i="3"/>
  <c r="R200" i="3"/>
  <c r="R302" i="3"/>
  <c r="R268" i="3"/>
  <c r="R267" i="3"/>
  <c r="R263" i="3"/>
  <c r="R248" i="3"/>
  <c r="R247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301" i="3"/>
  <c r="R286" i="3"/>
  <c r="R278" i="3"/>
  <c r="R274" i="3"/>
  <c r="R239" i="3"/>
  <c r="R238" i="3"/>
  <c r="R223" i="3"/>
  <c r="R222" i="3"/>
  <c r="R214" i="3"/>
  <c r="R210" i="3"/>
  <c r="R135" i="3"/>
  <c r="R298" i="3"/>
  <c r="R287" i="3"/>
  <c r="R280" i="3"/>
  <c r="R279" i="3"/>
  <c r="R275" i="3"/>
  <c r="R259" i="3"/>
  <c r="R252" i="3"/>
  <c r="R251" i="3"/>
  <c r="R232" i="3"/>
  <c r="R231" i="3"/>
  <c r="R216" i="3"/>
  <c r="R215" i="3"/>
  <c r="R211" i="3"/>
  <c r="R205" i="3"/>
  <c r="P195" i="3"/>
  <c r="R173" i="3"/>
  <c r="R160" i="3"/>
  <c r="R148" i="3"/>
  <c r="R141" i="3"/>
  <c r="R180" i="3"/>
  <c r="R136" i="3"/>
  <c r="R269" i="3"/>
  <c r="R257" i="3"/>
  <c r="R229" i="3"/>
  <c r="R164" i="3"/>
  <c r="R157" i="3"/>
  <c r="R145" i="3"/>
  <c r="R192" i="3"/>
  <c r="R264" i="3"/>
  <c r="R240" i="3"/>
  <c r="R152" i="3"/>
  <c r="X12" i="3"/>
  <c r="Z12" i="3" s="1"/>
  <c r="R299" i="3"/>
  <c r="R250" i="3"/>
  <c r="R184" i="3"/>
  <c r="R140" i="3"/>
  <c r="R312" i="3"/>
  <c r="R224" i="3"/>
  <c r="R172" i="3"/>
  <c r="R168" i="3"/>
  <c r="R161" i="3"/>
  <c r="R144" i="3"/>
  <c r="R176" i="3"/>
  <c r="R307" i="3"/>
  <c r="R149" i="3"/>
  <c r="R258" i="3"/>
  <c r="R230" i="3"/>
  <c r="R201" i="3"/>
  <c r="R188" i="3"/>
  <c r="R156" i="3"/>
  <c r="R137" i="3"/>
  <c r="R165" i="3"/>
  <c r="R311" i="3"/>
  <c r="R300" i="3"/>
  <c r="R249" i="3"/>
  <c r="R169" i="3"/>
  <c r="R153" i="3"/>
  <c r="J257" i="12"/>
  <c r="J249" i="12"/>
  <c r="J237" i="12"/>
  <c r="J221" i="12"/>
  <c r="J213" i="12"/>
  <c r="J193" i="12"/>
  <c r="J185" i="12"/>
  <c r="J173" i="12"/>
  <c r="J169" i="12"/>
  <c r="J165" i="12"/>
  <c r="J163" i="12"/>
  <c r="J161" i="12"/>
  <c r="J256" i="12"/>
  <c r="J250" i="12"/>
  <c r="J255" i="12"/>
  <c r="J251" i="12"/>
  <c r="J243" i="12"/>
  <c r="J233" i="12"/>
  <c r="J227" i="12"/>
  <c r="J215" i="12"/>
  <c r="J203" i="12"/>
  <c r="J254" i="12"/>
  <c r="J244" i="12"/>
  <c r="J238" i="12"/>
  <c r="J234" i="12"/>
  <c r="J222" i="12"/>
  <c r="J216" i="12"/>
  <c r="J204" i="12"/>
  <c r="J194" i="12"/>
  <c r="J186" i="12"/>
  <c r="J170" i="12"/>
  <c r="J166" i="12"/>
  <c r="J253" i="12"/>
  <c r="J245" i="12"/>
  <c r="J217" i="12"/>
  <c r="J205" i="12"/>
  <c r="J195" i="12"/>
  <c r="J187" i="12"/>
  <c r="J246" i="12"/>
  <c r="J228" i="12"/>
  <c r="J206" i="12"/>
  <c r="J196" i="12"/>
  <c r="J188" i="12"/>
  <c r="J180" i="12"/>
  <c r="J176" i="12"/>
  <c r="J247" i="12"/>
  <c r="J239" i="12"/>
  <c r="J235" i="12"/>
  <c r="J223" i="12"/>
  <c r="J207" i="12"/>
  <c r="J197" i="12"/>
  <c r="J189" i="12"/>
  <c r="J171" i="12"/>
  <c r="J167" i="12"/>
  <c r="J224" i="12"/>
  <c r="J218" i="12"/>
  <c r="J208" i="12"/>
  <c r="J198" i="12"/>
  <c r="J190" i="12"/>
  <c r="J261" i="12"/>
  <c r="J229" i="12"/>
  <c r="J225" i="12"/>
  <c r="J209" i="12"/>
  <c r="J199" i="12"/>
  <c r="J181" i="12"/>
  <c r="J177" i="12"/>
  <c r="J260" i="12"/>
  <c r="J248" i="12"/>
  <c r="J240" i="12"/>
  <c r="J236" i="12"/>
  <c r="J230" i="12"/>
  <c r="J210" i="12"/>
  <c r="J200" i="12"/>
  <c r="J182" i="12"/>
  <c r="J172" i="12"/>
  <c r="J168" i="12"/>
  <c r="J258" i="12"/>
  <c r="J242" i="12"/>
  <c r="J226" i="12"/>
  <c r="J220" i="12"/>
  <c r="J212" i="12"/>
  <c r="J202" i="12"/>
  <c r="J192" i="12"/>
  <c r="J184" i="12"/>
  <c r="J178" i="12"/>
  <c r="J164" i="12"/>
  <c r="J231" i="12"/>
  <c r="J219" i="12"/>
  <c r="J211" i="12"/>
  <c r="J149" i="12"/>
  <c r="J144" i="12"/>
  <c r="J132" i="12"/>
  <c r="J124" i="12"/>
  <c r="J113" i="12"/>
  <c r="J156" i="12"/>
  <c r="J137" i="12"/>
  <c r="J116" i="12"/>
  <c r="J214" i="12"/>
  <c r="J191" i="12"/>
  <c r="J175" i="12"/>
  <c r="J154" i="12"/>
  <c r="J142" i="12"/>
  <c r="J127" i="12"/>
  <c r="J119" i="12"/>
  <c r="J135" i="12"/>
  <c r="J130" i="12"/>
  <c r="J122" i="12"/>
  <c r="J159" i="12"/>
  <c r="J152" i="12"/>
  <c r="J147" i="12"/>
  <c r="J140" i="12"/>
  <c r="J114" i="12"/>
  <c r="J111" i="12"/>
  <c r="J108" i="12"/>
  <c r="N12" i="12"/>
  <c r="J157" i="12"/>
  <c r="J150" i="12"/>
  <c r="J145" i="12"/>
  <c r="J133" i="12"/>
  <c r="J125" i="12"/>
  <c r="J259" i="12"/>
  <c r="J232" i="12"/>
  <c r="J201" i="12"/>
  <c r="J174" i="12"/>
  <c r="J138" i="12"/>
  <c r="J128" i="12"/>
  <c r="J120" i="12"/>
  <c r="J117" i="12"/>
  <c r="J143" i="12"/>
  <c r="J112" i="12"/>
  <c r="J109" i="12"/>
  <c r="J179" i="12"/>
  <c r="J155" i="12"/>
  <c r="J148" i="12"/>
  <c r="J136" i="12"/>
  <c r="J131" i="12"/>
  <c r="J123" i="12"/>
  <c r="J265" i="12"/>
  <c r="J151" i="12"/>
  <c r="J139" i="12"/>
  <c r="J129" i="12"/>
  <c r="J121" i="12"/>
  <c r="J110" i="12"/>
  <c r="J158" i="12"/>
  <c r="J146" i="12"/>
  <c r="J141" i="12"/>
  <c r="J118" i="12"/>
  <c r="H161" i="12"/>
  <c r="J153" i="12"/>
  <c r="J115" i="12"/>
  <c r="J183" i="12"/>
  <c r="J134" i="12"/>
  <c r="J126" i="12"/>
  <c r="J241" i="12"/>
  <c r="V292" i="3"/>
  <c r="V195" i="3"/>
  <c r="L18" i="112"/>
  <c r="D27" i="112"/>
  <c r="X18" i="112"/>
  <c r="P27" i="112"/>
  <c r="X18" i="111"/>
  <c r="P27" i="111"/>
  <c r="X18" i="44"/>
  <c r="P27" i="44"/>
  <c r="L18" i="40"/>
  <c r="D27" i="40"/>
  <c r="X18" i="34"/>
  <c r="P27" i="34"/>
  <c r="L18" i="38"/>
  <c r="D27" i="38"/>
  <c r="L18" i="35"/>
  <c r="D27" i="35"/>
  <c r="T27" i="31"/>
  <c r="Z18" i="31"/>
  <c r="T27" i="20"/>
  <c r="Z18" i="20"/>
  <c r="D27" i="7"/>
  <c r="L18" i="7"/>
  <c r="R87" i="75"/>
  <c r="R59" i="75"/>
  <c r="R55" i="75"/>
  <c r="P51" i="75"/>
  <c r="R105" i="75"/>
  <c r="R102" i="75"/>
  <c r="R94" i="75"/>
  <c r="R79" i="75"/>
  <c r="R78" i="75"/>
  <c r="R71" i="75"/>
  <c r="R70" i="75"/>
  <c r="R46" i="75"/>
  <c r="R104" i="75"/>
  <c r="R65" i="75"/>
  <c r="R34" i="75"/>
  <c r="R89" i="75"/>
  <c r="R88" i="75"/>
  <c r="R81" i="75"/>
  <c r="R80" i="75"/>
  <c r="R72" i="75"/>
  <c r="R60" i="75"/>
  <c r="R56" i="75"/>
  <c r="R91" i="75"/>
  <c r="R90" i="75"/>
  <c r="R83" i="75"/>
  <c r="R82" i="75"/>
  <c r="R66" i="75"/>
  <c r="R98" i="75"/>
  <c r="R97" i="75"/>
  <c r="R74" i="75"/>
  <c r="R73" i="75"/>
  <c r="R92" i="75"/>
  <c r="R84" i="75"/>
  <c r="R48" i="75"/>
  <c r="R44" i="75"/>
  <c r="R40" i="75"/>
  <c r="R36" i="75"/>
  <c r="R101" i="75"/>
  <c r="R93" i="75"/>
  <c r="R86" i="75"/>
  <c r="R85" i="75"/>
  <c r="R77" i="75"/>
  <c r="R54" i="75"/>
  <c r="R49" i="75"/>
  <c r="R45" i="75"/>
  <c r="R41" i="75"/>
  <c r="R43" i="75"/>
  <c r="R95" i="75"/>
  <c r="R76" i="75"/>
  <c r="R47" i="75"/>
  <c r="R39" i="75"/>
  <c r="R37" i="75"/>
  <c r="R53" i="75"/>
  <c r="R100" i="75"/>
  <c r="X12" i="75"/>
  <c r="Z12" i="75" s="1"/>
  <c r="R109" i="75"/>
  <c r="R35" i="75"/>
  <c r="R96" i="75"/>
  <c r="R68" i="75"/>
  <c r="R64" i="75"/>
  <c r="R58" i="75"/>
  <c r="R42" i="75"/>
  <c r="R75" i="75"/>
  <c r="R51" i="75"/>
  <c r="R67" i="75"/>
  <c r="R57" i="75"/>
  <c r="R69" i="75"/>
  <c r="R62" i="75"/>
  <c r="R63" i="75"/>
  <c r="R61" i="75"/>
  <c r="R38" i="75"/>
  <c r="R99" i="75"/>
  <c r="T103" i="21"/>
  <c r="Z253" i="12"/>
  <c r="V74" i="106"/>
  <c r="V70" i="106"/>
  <c r="V58" i="106"/>
  <c r="V76" i="106"/>
  <c r="V75" i="106"/>
  <c r="V71" i="106"/>
  <c r="V67" i="106"/>
  <c r="V77" i="106"/>
  <c r="V61" i="106"/>
  <c r="V53" i="106"/>
  <c r="V41" i="106"/>
  <c r="V62" i="106"/>
  <c r="V54" i="106"/>
  <c r="V42" i="106"/>
  <c r="V83" i="106"/>
  <c r="V81" i="106"/>
  <c r="V59" i="106"/>
  <c r="V47" i="106"/>
  <c r="V80" i="106"/>
  <c r="V78" i="106"/>
  <c r="V63" i="106"/>
  <c r="V46" i="106"/>
  <c r="V43" i="106"/>
  <c r="V55" i="106"/>
  <c r="V36" i="106"/>
  <c r="V30" i="106"/>
  <c r="V72" i="106"/>
  <c r="V39" i="106"/>
  <c r="V33" i="106"/>
  <c r="V25" i="106"/>
  <c r="V17" i="106"/>
  <c r="V65" i="106"/>
  <c r="V49" i="106"/>
  <c r="V34" i="106"/>
  <c r="V28" i="106"/>
  <c r="Z12" i="106"/>
  <c r="V87" i="106"/>
  <c r="V52" i="106"/>
  <c r="V48" i="106"/>
  <c r="V68" i="106"/>
  <c r="V44" i="106"/>
  <c r="V37" i="106"/>
  <c r="V31" i="106"/>
  <c r="V18" i="106"/>
  <c r="V73" i="106"/>
  <c r="V45" i="106"/>
  <c r="V40" i="106"/>
  <c r="V26" i="106"/>
  <c r="V66" i="106"/>
  <c r="V50" i="106"/>
  <c r="V38" i="106"/>
  <c r="V32" i="106"/>
  <c r="V24" i="106"/>
  <c r="V21" i="106"/>
  <c r="V60" i="106"/>
  <c r="V57" i="106"/>
  <c r="V51" i="106"/>
  <c r="V27" i="106"/>
  <c r="V56" i="106"/>
  <c r="T21" i="106"/>
  <c r="V79" i="106"/>
  <c r="V35" i="106"/>
  <c r="V64" i="106"/>
  <c r="V19" i="106"/>
  <c r="V29" i="106"/>
  <c r="V69" i="106"/>
  <c r="V23" i="106"/>
  <c r="Z63" i="110"/>
  <c r="X63" i="110"/>
  <c r="D37" i="109"/>
  <c r="L16" i="109"/>
  <c r="X37" i="109"/>
  <c r="Z37" i="109" s="1"/>
  <c r="P41" i="109"/>
  <c r="R21" i="106"/>
  <c r="L54" i="103"/>
  <c r="D57" i="103"/>
  <c r="P61" i="101"/>
  <c r="R20" i="101"/>
  <c r="X20" i="101"/>
  <c r="Z20" i="101" s="1"/>
  <c r="H43" i="100"/>
  <c r="L43" i="100" s="1"/>
  <c r="N17" i="100"/>
  <c r="F81" i="104"/>
  <c r="F72" i="104"/>
  <c r="F68" i="104"/>
  <c r="F74" i="104"/>
  <c r="F73" i="104"/>
  <c r="F69" i="104"/>
  <c r="F57" i="104"/>
  <c r="F56" i="104"/>
  <c r="F76" i="104"/>
  <c r="F75" i="104"/>
  <c r="F64" i="104"/>
  <c r="F65" i="104"/>
  <c r="F79" i="104"/>
  <c r="F71" i="104"/>
  <c r="F67" i="104"/>
  <c r="F66" i="104"/>
  <c r="F51" i="104"/>
  <c r="F50" i="104"/>
  <c r="F31" i="104"/>
  <c r="F27" i="104"/>
  <c r="F77" i="104"/>
  <c r="F48" i="104"/>
  <c r="F41" i="104"/>
  <c r="F20" i="104"/>
  <c r="F49" i="104"/>
  <c r="F29" i="104"/>
  <c r="F85" i="104"/>
  <c r="F60" i="104"/>
  <c r="F42" i="104"/>
  <c r="F38" i="104"/>
  <c r="F26" i="104"/>
  <c r="F25" i="104"/>
  <c r="F63" i="104"/>
  <c r="F43" i="104"/>
  <c r="F33" i="104"/>
  <c r="F24" i="104"/>
  <c r="F70" i="104"/>
  <c r="F30" i="104"/>
  <c r="D22" i="104"/>
  <c r="L12" i="104"/>
  <c r="N12" i="104" s="1"/>
  <c r="F78" i="104"/>
  <c r="F44" i="104"/>
  <c r="F39" i="104"/>
  <c r="F34" i="104"/>
  <c r="F58" i="104"/>
  <c r="F52" i="104"/>
  <c r="F45" i="104"/>
  <c r="F62" i="104"/>
  <c r="F55" i="104"/>
  <c r="F37" i="104"/>
  <c r="F32" i="104"/>
  <c r="F36" i="104"/>
  <c r="F46" i="104"/>
  <c r="F19" i="104"/>
  <c r="F40" i="104"/>
  <c r="F59" i="104"/>
  <c r="F53" i="104"/>
  <c r="F61" i="104"/>
  <c r="F18" i="104"/>
  <c r="F47" i="104"/>
  <c r="F35" i="104"/>
  <c r="F54" i="104"/>
  <c r="F28" i="104"/>
  <c r="X83" i="92"/>
  <c r="Z83" i="92" s="1"/>
  <c r="J20" i="93"/>
  <c r="L83" i="92"/>
  <c r="N83" i="92" s="1"/>
  <c r="X20" i="89"/>
  <c r="P71" i="89"/>
  <c r="X12" i="89"/>
  <c r="Z12" i="89" s="1"/>
  <c r="N20" i="89"/>
  <c r="H71" i="89"/>
  <c r="Z20" i="88"/>
  <c r="T82" i="88"/>
  <c r="X82" i="88" s="1"/>
  <c r="N16" i="82"/>
  <c r="H22" i="82"/>
  <c r="P22" i="82"/>
  <c r="X16" i="82"/>
  <c r="T64" i="79"/>
  <c r="T68" i="70"/>
  <c r="Z20" i="70"/>
  <c r="V20" i="70"/>
  <c r="H62" i="59"/>
  <c r="N16" i="59"/>
  <c r="X16" i="58"/>
  <c r="P71" i="58"/>
  <c r="X16" i="55"/>
  <c r="P31" i="55"/>
  <c r="T26" i="54"/>
  <c r="Z22" i="54"/>
  <c r="P75" i="56"/>
  <c r="X71" i="56"/>
  <c r="T68" i="57"/>
  <c r="X16" i="54"/>
  <c r="P22" i="54"/>
  <c r="V112" i="42"/>
  <c r="V110" i="42"/>
  <c r="V102" i="42"/>
  <c r="V86" i="42"/>
  <c r="V70" i="42"/>
  <c r="V62" i="42"/>
  <c r="V54" i="42"/>
  <c r="V46" i="42"/>
  <c r="V42" i="42"/>
  <c r="V104" i="42"/>
  <c r="V80" i="42"/>
  <c r="V106" i="42"/>
  <c r="V98" i="42"/>
  <c r="V94" i="42"/>
  <c r="V82" i="42"/>
  <c r="V74" i="42"/>
  <c r="V66" i="42"/>
  <c r="V38" i="42"/>
  <c r="V34" i="42"/>
  <c r="V77" i="42"/>
  <c r="V65" i="42"/>
  <c r="V57" i="42"/>
  <c r="V107" i="42"/>
  <c r="V99" i="42"/>
  <c r="V95" i="42"/>
  <c r="V83" i="42"/>
  <c r="V115" i="42"/>
  <c r="V109" i="42"/>
  <c r="V101" i="42"/>
  <c r="V89" i="42"/>
  <c r="V113" i="42"/>
  <c r="V103" i="42"/>
  <c r="V91" i="42"/>
  <c r="V79" i="42"/>
  <c r="V71" i="42"/>
  <c r="V59" i="42"/>
  <c r="V51" i="42"/>
  <c r="V31" i="42"/>
  <c r="V29" i="42"/>
  <c r="V27" i="42"/>
  <c r="V97" i="42"/>
  <c r="V85" i="42"/>
  <c r="V81" i="42"/>
  <c r="V44" i="42"/>
  <c r="V105" i="42"/>
  <c r="V53" i="42"/>
  <c r="V49" i="42"/>
  <c r="V108" i="42"/>
  <c r="V87" i="42"/>
  <c r="V76" i="42"/>
  <c r="V67" i="42"/>
  <c r="V60" i="42"/>
  <c r="V50" i="42"/>
  <c r="V36" i="42"/>
  <c r="V92" i="42"/>
  <c r="V64" i="42"/>
  <c r="V63" i="42"/>
  <c r="V39" i="42"/>
  <c r="V47" i="42"/>
  <c r="V90" i="42"/>
  <c r="V84" i="42"/>
  <c r="V45" i="42"/>
  <c r="V37" i="42"/>
  <c r="T29" i="42"/>
  <c r="V61" i="42"/>
  <c r="V25" i="42"/>
  <c r="V96" i="42"/>
  <c r="V88" i="42"/>
  <c r="V58" i="42"/>
  <c r="V75" i="42"/>
  <c r="V68" i="42"/>
  <c r="V48" i="42"/>
  <c r="V43" i="42"/>
  <c r="V40" i="42"/>
  <c r="V32" i="42"/>
  <c r="V114" i="42"/>
  <c r="V100" i="42"/>
  <c r="V93" i="42"/>
  <c r="V72" i="42"/>
  <c r="V69" i="42"/>
  <c r="V52" i="42"/>
  <c r="V35" i="42"/>
  <c r="V73" i="42"/>
  <c r="V41" i="42"/>
  <c r="V33" i="42"/>
  <c r="V56" i="42"/>
  <c r="V26" i="42"/>
  <c r="V78" i="42"/>
  <c r="Z12" i="42"/>
  <c r="V119" i="42"/>
  <c r="V55" i="42"/>
  <c r="X117" i="36"/>
  <c r="Z117" i="36" s="1"/>
  <c r="R69" i="30"/>
  <c r="J93" i="21"/>
  <c r="J89" i="21"/>
  <c r="J83" i="21"/>
  <c r="J77" i="21"/>
  <c r="J69" i="21"/>
  <c r="J57" i="21"/>
  <c r="J47" i="21"/>
  <c r="J37" i="21"/>
  <c r="J33" i="21"/>
  <c r="J94" i="21"/>
  <c r="J84" i="21"/>
  <c r="J78" i="21"/>
  <c r="J70" i="21"/>
  <c r="J58" i="21"/>
  <c r="J48" i="21"/>
  <c r="J95" i="21"/>
  <c r="J79" i="21"/>
  <c r="J71" i="21"/>
  <c r="J59" i="21"/>
  <c r="J49" i="21"/>
  <c r="J43" i="21"/>
  <c r="J96" i="21"/>
  <c r="J90" i="21"/>
  <c r="J72" i="21"/>
  <c r="J60" i="21"/>
  <c r="J50" i="21"/>
  <c r="J38" i="21"/>
  <c r="J34" i="21"/>
  <c r="J24" i="21"/>
  <c r="J97" i="21"/>
  <c r="J85" i="21"/>
  <c r="J73" i="21"/>
  <c r="J61" i="21"/>
  <c r="J51" i="21"/>
  <c r="J25" i="21"/>
  <c r="J98" i="21"/>
  <c r="J86" i="21"/>
  <c r="J80" i="21"/>
  <c r="J62" i="21"/>
  <c r="J52" i="21"/>
  <c r="J44" i="21"/>
  <c r="N12" i="21"/>
  <c r="J99" i="21"/>
  <c r="J91" i="21"/>
  <c r="J87" i="21"/>
  <c r="J63" i="21"/>
  <c r="J53" i="21"/>
  <c r="J39" i="21"/>
  <c r="J35" i="21"/>
  <c r="J74" i="21"/>
  <c r="J64" i="21"/>
  <c r="J54" i="21"/>
  <c r="J40" i="21"/>
  <c r="J26" i="21"/>
  <c r="J101" i="21"/>
  <c r="J81" i="21"/>
  <c r="J65" i="21"/>
  <c r="J45" i="21"/>
  <c r="J41" i="21"/>
  <c r="J31" i="21"/>
  <c r="J92" i="21"/>
  <c r="J88" i="21"/>
  <c r="J66" i="21"/>
  <c r="J36" i="21"/>
  <c r="J32" i="21"/>
  <c r="J30" i="21"/>
  <c r="J28" i="21"/>
  <c r="J82" i="21"/>
  <c r="J76" i="21"/>
  <c r="J68" i="21"/>
  <c r="J56" i="21"/>
  <c r="J46" i="21"/>
  <c r="J42" i="21"/>
  <c r="J67" i="21"/>
  <c r="J105" i="21"/>
  <c r="J55" i="21"/>
  <c r="H28" i="21"/>
  <c r="J75" i="21"/>
  <c r="V58" i="27"/>
  <c r="X244" i="15"/>
  <c r="Z244" i="15" s="1"/>
  <c r="J307" i="3"/>
  <c r="J301" i="3"/>
  <c r="J269" i="3"/>
  <c r="J257" i="3"/>
  <c r="J249" i="3"/>
  <c r="J239" i="3"/>
  <c r="J229" i="3"/>
  <c r="J223" i="3"/>
  <c r="J205" i="3"/>
  <c r="J201" i="3"/>
  <c r="J135" i="3"/>
  <c r="J300" i="3"/>
  <c r="J264" i="3"/>
  <c r="J258" i="3"/>
  <c r="J250" i="3"/>
  <c r="J240" i="3"/>
  <c r="J230" i="3"/>
  <c r="J224" i="3"/>
  <c r="J192" i="3"/>
  <c r="J188" i="3"/>
  <c r="J184" i="3"/>
  <c r="J180" i="3"/>
  <c r="J176" i="3"/>
  <c r="J312" i="3"/>
  <c r="J311" i="3"/>
  <c r="J299" i="3"/>
  <c r="J287" i="3"/>
  <c r="J279" i="3"/>
  <c r="J275" i="3"/>
  <c r="J259" i="3"/>
  <c r="J251" i="3"/>
  <c r="J231" i="3"/>
  <c r="J215" i="3"/>
  <c r="J211" i="3"/>
  <c r="J298" i="3"/>
  <c r="J280" i="3"/>
  <c r="J270" i="3"/>
  <c r="J252" i="3"/>
  <c r="J232" i="3"/>
  <c r="J216" i="3"/>
  <c r="J206" i="3"/>
  <c r="J202" i="3"/>
  <c r="J297" i="3"/>
  <c r="J281" i="3"/>
  <c r="J271" i="3"/>
  <c r="J265" i="3"/>
  <c r="J253" i="3"/>
  <c r="J241" i="3"/>
  <c r="J233" i="3"/>
  <c r="J225" i="3"/>
  <c r="J217" i="3"/>
  <c r="J193" i="3"/>
  <c r="J189" i="3"/>
  <c r="J185" i="3"/>
  <c r="J181" i="3"/>
  <c r="J177" i="3"/>
  <c r="J173" i="3"/>
  <c r="J169" i="3"/>
  <c r="J165" i="3"/>
  <c r="J161" i="3"/>
  <c r="J157" i="3"/>
  <c r="J153" i="3"/>
  <c r="J149" i="3"/>
  <c r="J145" i="3"/>
  <c r="J141" i="3"/>
  <c r="J137" i="3"/>
  <c r="J296" i="3"/>
  <c r="J288" i="3"/>
  <c r="J276" i="3"/>
  <c r="J272" i="3"/>
  <c r="J260" i="3"/>
  <c r="J254" i="3"/>
  <c r="J242" i="3"/>
  <c r="J234" i="3"/>
  <c r="J218" i="3"/>
  <c r="J212" i="3"/>
  <c r="J198" i="3"/>
  <c r="J295" i="3"/>
  <c r="J289" i="3"/>
  <c r="J255" i="3"/>
  <c r="J243" i="3"/>
  <c r="J235" i="3"/>
  <c r="J219" i="3"/>
  <c r="J207" i="3"/>
  <c r="J203" i="3"/>
  <c r="J199" i="3"/>
  <c r="J197" i="3"/>
  <c r="J195" i="3"/>
  <c r="J294" i="3"/>
  <c r="J290" i="3"/>
  <c r="J282" i="3"/>
  <c r="J266" i="3"/>
  <c r="J244" i="3"/>
  <c r="J236" i="3"/>
  <c r="J226" i="3"/>
  <c r="J208" i="3"/>
  <c r="H195" i="3"/>
  <c r="L195" i="3" s="1"/>
  <c r="J190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138" i="3"/>
  <c r="J293" i="3"/>
  <c r="J283" i="3"/>
  <c r="J277" i="3"/>
  <c r="J273" i="3"/>
  <c r="J261" i="3"/>
  <c r="J245" i="3"/>
  <c r="J237" i="3"/>
  <c r="J227" i="3"/>
  <c r="J213" i="3"/>
  <c r="J209" i="3"/>
  <c r="J302" i="3"/>
  <c r="J286" i="3"/>
  <c r="J278" i="3"/>
  <c r="J274" i="3"/>
  <c r="J268" i="3"/>
  <c r="J248" i="3"/>
  <c r="J238" i="3"/>
  <c r="J222" i="3"/>
  <c r="J214" i="3"/>
  <c r="J210" i="3"/>
  <c r="J167" i="3"/>
  <c r="J160" i="3"/>
  <c r="J155" i="3"/>
  <c r="J221" i="3"/>
  <c r="J187" i="3"/>
  <c r="J247" i="3"/>
  <c r="J171" i="3"/>
  <c r="J163" i="3"/>
  <c r="J256" i="3"/>
  <c r="J262" i="3"/>
  <c r="J200" i="3"/>
  <c r="J175" i="3"/>
  <c r="J143" i="3"/>
  <c r="J136" i="3"/>
  <c r="N12" i="3"/>
  <c r="J228" i="3"/>
  <c r="J303" i="3"/>
  <c r="J292" i="3"/>
  <c r="J284" i="3"/>
  <c r="J267" i="3"/>
  <c r="J191" i="3"/>
  <c r="J220" i="3"/>
  <c r="J164" i="3"/>
  <c r="J179" i="3"/>
  <c r="J159" i="3"/>
  <c r="J152" i="3"/>
  <c r="J147" i="3"/>
  <c r="J263" i="3"/>
  <c r="J151" i="3"/>
  <c r="J246" i="3"/>
  <c r="J204" i="3"/>
  <c r="J140" i="3"/>
  <c r="J285" i="3"/>
  <c r="J172" i="3"/>
  <c r="J168" i="3"/>
  <c r="J183" i="3"/>
  <c r="J144" i="3"/>
  <c r="J139" i="3"/>
  <c r="J148" i="3"/>
  <c r="J156" i="3"/>
  <c r="X18" i="113"/>
  <c r="P27" i="113"/>
  <c r="P27" i="52"/>
  <c r="X18" i="52"/>
  <c r="X18" i="46"/>
  <c r="P27" i="46"/>
  <c r="L18" i="47"/>
  <c r="D27" i="47"/>
  <c r="P27" i="50"/>
  <c r="X18" i="50"/>
  <c r="Z18" i="46"/>
  <c r="T27" i="46"/>
  <c r="T27" i="35"/>
  <c r="Z18" i="35"/>
  <c r="T27" i="26"/>
  <c r="Z18" i="26"/>
  <c r="X18" i="31"/>
  <c r="P27" i="31"/>
  <c r="X18" i="19"/>
  <c r="P27" i="19"/>
  <c r="X18" i="22"/>
  <c r="P27" i="22"/>
  <c r="Z18" i="17"/>
  <c r="T27" i="17"/>
  <c r="H27" i="5"/>
  <c r="N18" i="5"/>
  <c r="P26" i="54" l="1"/>
  <c r="X22" i="54"/>
  <c r="P26" i="82"/>
  <c r="X22" i="82"/>
  <c r="P305" i="3"/>
  <c r="X195" i="3"/>
  <c r="Z195" i="3" s="1"/>
  <c r="D94" i="9"/>
  <c r="L90" i="9"/>
  <c r="T99" i="45"/>
  <c r="V96" i="45"/>
  <c r="Z27" i="47"/>
  <c r="T31" i="47"/>
  <c r="H75" i="56"/>
  <c r="L49" i="60"/>
  <c r="N49" i="60" s="1"/>
  <c r="D53" i="60"/>
  <c r="T86" i="102"/>
  <c r="V82" i="102"/>
  <c r="T120" i="27"/>
  <c r="V116" i="27"/>
  <c r="Z27" i="29"/>
  <c r="T31" i="29"/>
  <c r="X36" i="39"/>
  <c r="Z36" i="39" s="1"/>
  <c r="P129" i="39"/>
  <c r="X57" i="71"/>
  <c r="P115" i="71"/>
  <c r="L22" i="54"/>
  <c r="D26" i="54"/>
  <c r="D31" i="29"/>
  <c r="L27" i="29"/>
  <c r="D31" i="37"/>
  <c r="L27" i="37"/>
  <c r="X156" i="15"/>
  <c r="P254" i="15"/>
  <c r="H31" i="112"/>
  <c r="N27" i="112"/>
  <c r="L27" i="8"/>
  <c r="D31" i="8"/>
  <c r="D31" i="14"/>
  <c r="L27" i="14"/>
  <c r="N27" i="7"/>
  <c r="H31" i="7"/>
  <c r="N27" i="44"/>
  <c r="H31" i="44"/>
  <c r="D75" i="56"/>
  <c r="L71" i="56"/>
  <c r="N71" i="56" s="1"/>
  <c r="P89" i="88"/>
  <c r="R86" i="88"/>
  <c r="H66" i="59"/>
  <c r="N22" i="82"/>
  <c r="H26" i="82"/>
  <c r="X61" i="101"/>
  <c r="P65" i="101"/>
  <c r="R61" i="101"/>
  <c r="X27" i="34"/>
  <c r="P31" i="34"/>
  <c r="T91" i="33"/>
  <c r="L20" i="84"/>
  <c r="N20" i="84" s="1"/>
  <c r="D82" i="84"/>
  <c r="T47" i="100"/>
  <c r="X27" i="14"/>
  <c r="P31" i="14"/>
  <c r="L27" i="32"/>
  <c r="D31" i="32"/>
  <c r="F71" i="79"/>
  <c r="P31" i="32"/>
  <c r="X27" i="32"/>
  <c r="T31" i="44"/>
  <c r="Z27" i="44"/>
  <c r="X43" i="100"/>
  <c r="Z43" i="100" s="1"/>
  <c r="P47" i="100"/>
  <c r="Z30" i="86"/>
  <c r="T34" i="86"/>
  <c r="X30" i="86"/>
  <c r="V30" i="86"/>
  <c r="H31" i="17"/>
  <c r="N27" i="17"/>
  <c r="N27" i="35"/>
  <c r="H31" i="35"/>
  <c r="H75" i="58"/>
  <c r="H72" i="70"/>
  <c r="J68" i="70"/>
  <c r="Z27" i="4"/>
  <c r="T31" i="4"/>
  <c r="T31" i="38"/>
  <c r="Z27" i="38"/>
  <c r="D50" i="100"/>
  <c r="H49" i="105"/>
  <c r="P31" i="17"/>
  <c r="X27" i="17"/>
  <c r="H31" i="52"/>
  <c r="N27" i="52"/>
  <c r="H44" i="109"/>
  <c r="H31" i="49"/>
  <c r="N27" i="49"/>
  <c r="X75" i="93"/>
  <c r="Z75" i="93" s="1"/>
  <c r="P79" i="93"/>
  <c r="R75" i="93"/>
  <c r="L27" i="10"/>
  <c r="D31" i="10"/>
  <c r="X27" i="43"/>
  <c r="P31" i="43"/>
  <c r="H126" i="36"/>
  <c r="J122" i="36"/>
  <c r="L22" i="104"/>
  <c r="D83" i="104"/>
  <c r="R195" i="3"/>
  <c r="T285" i="18"/>
  <c r="V281" i="18"/>
  <c r="T62" i="68"/>
  <c r="L71" i="89"/>
  <c r="D75" i="89"/>
  <c r="F71" i="89"/>
  <c r="T31" i="8"/>
  <c r="Z27" i="8"/>
  <c r="N27" i="46"/>
  <c r="H31" i="46"/>
  <c r="H95" i="33"/>
  <c r="J91" i="33"/>
  <c r="H115" i="71"/>
  <c r="H71" i="48"/>
  <c r="J67" i="48"/>
  <c r="L41" i="99"/>
  <c r="D45" i="99"/>
  <c r="F41" i="99"/>
  <c r="X27" i="26"/>
  <c r="P31" i="26"/>
  <c r="P54" i="103"/>
  <c r="X50" i="103"/>
  <c r="D31" i="26"/>
  <c r="L27" i="26"/>
  <c r="L20" i="101"/>
  <c r="D61" i="101"/>
  <c r="D68" i="57"/>
  <c r="L64" i="57"/>
  <c r="D115" i="71"/>
  <c r="L57" i="71"/>
  <c r="N57" i="71" s="1"/>
  <c r="X27" i="23"/>
  <c r="P31" i="23"/>
  <c r="N22" i="6"/>
  <c r="H26" i="6"/>
  <c r="X28" i="21"/>
  <c r="Z28" i="21" s="1"/>
  <c r="P103" i="21"/>
  <c r="L58" i="27"/>
  <c r="D116" i="27"/>
  <c r="D129" i="39"/>
  <c r="L36" i="39"/>
  <c r="P91" i="96"/>
  <c r="R87" i="96"/>
  <c r="P41" i="99"/>
  <c r="X18" i="99"/>
  <c r="R75" i="80"/>
  <c r="P281" i="18"/>
  <c r="X181" i="18"/>
  <c r="Z181" i="18" s="1"/>
  <c r="P116" i="27"/>
  <c r="X58" i="27"/>
  <c r="Z58" i="27" s="1"/>
  <c r="H31" i="38"/>
  <c r="N27" i="38"/>
  <c r="P66" i="59"/>
  <c r="X62" i="59"/>
  <c r="T71" i="57"/>
  <c r="Z82" i="88"/>
  <c r="T86" i="88"/>
  <c r="X86" i="88" s="1"/>
  <c r="V82" i="88"/>
  <c r="D31" i="40"/>
  <c r="L27" i="40"/>
  <c r="X25" i="79"/>
  <c r="Z25" i="79" s="1"/>
  <c r="P64" i="79"/>
  <c r="T263" i="12"/>
  <c r="Z71" i="56"/>
  <c r="T75" i="56"/>
  <c r="H68" i="79"/>
  <c r="J64" i="79"/>
  <c r="L64" i="79"/>
  <c r="N64" i="79" s="1"/>
  <c r="H117" i="42"/>
  <c r="N29" i="42"/>
  <c r="D114" i="69"/>
  <c r="L68" i="69"/>
  <c r="Z156" i="15"/>
  <c r="T254" i="15"/>
  <c r="X52" i="74"/>
  <c r="P84" i="74"/>
  <c r="T86" i="84"/>
  <c r="V82" i="84"/>
  <c r="R37" i="86"/>
  <c r="Z27" i="50"/>
  <c r="T31" i="50"/>
  <c r="P100" i="51"/>
  <c r="X53" i="51"/>
  <c r="N93" i="64"/>
  <c r="H97" i="64"/>
  <c r="L27" i="46"/>
  <c r="D31" i="46"/>
  <c r="H86" i="88"/>
  <c r="J82" i="88"/>
  <c r="P58" i="61"/>
  <c r="X58" i="61" s="1"/>
  <c r="Z58" i="61" s="1"/>
  <c r="X55" i="61"/>
  <c r="Z55" i="61" s="1"/>
  <c r="T79" i="73"/>
  <c r="N27" i="10"/>
  <c r="H31" i="10"/>
  <c r="H31" i="40"/>
  <c r="N27" i="40"/>
  <c r="N54" i="103"/>
  <c r="H57" i="103"/>
  <c r="Z27" i="22"/>
  <c r="T31" i="22"/>
  <c r="N27" i="53"/>
  <c r="H31" i="53"/>
  <c r="H31" i="31"/>
  <c r="N27" i="31"/>
  <c r="D35" i="55"/>
  <c r="L31" i="55"/>
  <c r="N31" i="55" s="1"/>
  <c r="N27" i="8"/>
  <c r="H31" i="8"/>
  <c r="N27" i="20"/>
  <c r="H31" i="20"/>
  <c r="N27" i="50"/>
  <c r="H31" i="50"/>
  <c r="T127" i="24"/>
  <c r="T48" i="99"/>
  <c r="Z48" i="99" s="1"/>
  <c r="Z45" i="99"/>
  <c r="P91" i="33"/>
  <c r="X37" i="33"/>
  <c r="Z37" i="33" s="1"/>
  <c r="N58" i="61"/>
  <c r="H71" i="94"/>
  <c r="J67" i="94"/>
  <c r="Z27" i="26"/>
  <c r="T31" i="26"/>
  <c r="H103" i="21"/>
  <c r="L27" i="7"/>
  <c r="D31" i="7"/>
  <c r="H104" i="77"/>
  <c r="J100" i="77"/>
  <c r="T65" i="101"/>
  <c r="Z61" i="101"/>
  <c r="V61" i="101"/>
  <c r="H31" i="13"/>
  <c r="N27" i="13"/>
  <c r="Z27" i="111"/>
  <c r="T31" i="111"/>
  <c r="P79" i="73"/>
  <c r="X25" i="73"/>
  <c r="Z25" i="73" s="1"/>
  <c r="X83" i="104"/>
  <c r="P87" i="104"/>
  <c r="R83" i="104"/>
  <c r="H31" i="23"/>
  <c r="N27" i="23"/>
  <c r="L27" i="43"/>
  <c r="D31" i="43"/>
  <c r="D92" i="45"/>
  <c r="L24" i="45"/>
  <c r="L27" i="31"/>
  <c r="D31" i="31"/>
  <c r="X27" i="8"/>
  <c r="P31" i="8"/>
  <c r="X27" i="25"/>
  <c r="P31" i="25"/>
  <c r="X58" i="68"/>
  <c r="Z58" i="68" s="1"/>
  <c r="H82" i="102"/>
  <c r="D285" i="18"/>
  <c r="F281" i="18"/>
  <c r="Z52" i="74"/>
  <c r="T84" i="74"/>
  <c r="H86" i="84"/>
  <c r="J82" i="84"/>
  <c r="X27" i="7"/>
  <c r="P31" i="7"/>
  <c r="T82" i="93"/>
  <c r="V79" i="93"/>
  <c r="D131" i="24"/>
  <c r="F127" i="24"/>
  <c r="L27" i="4"/>
  <c r="D31" i="4"/>
  <c r="N27" i="4"/>
  <c r="H31" i="4"/>
  <c r="D31" i="41"/>
  <c r="L27" i="41"/>
  <c r="D104" i="51"/>
  <c r="F100" i="51"/>
  <c r="T87" i="96"/>
  <c r="X87" i="96" s="1"/>
  <c r="Z20" i="96"/>
  <c r="X86" i="102"/>
  <c r="P89" i="102"/>
  <c r="R86" i="102"/>
  <c r="P31" i="52"/>
  <c r="X27" i="52"/>
  <c r="X27" i="113"/>
  <c r="P31" i="113"/>
  <c r="P78" i="56"/>
  <c r="X75" i="56"/>
  <c r="H75" i="89"/>
  <c r="N71" i="89"/>
  <c r="J71" i="89"/>
  <c r="F22" i="104"/>
  <c r="X41" i="109"/>
  <c r="P44" i="109"/>
  <c r="X27" i="44"/>
  <c r="P31" i="44"/>
  <c r="H83" i="104"/>
  <c r="N22" i="104"/>
  <c r="L27" i="17"/>
  <c r="D31" i="17"/>
  <c r="R25" i="73"/>
  <c r="T71" i="48"/>
  <c r="V67" i="48"/>
  <c r="L52" i="74"/>
  <c r="N52" i="74" s="1"/>
  <c r="D84" i="74"/>
  <c r="L81" i="98"/>
  <c r="D85" i="98"/>
  <c r="F81" i="98"/>
  <c r="D31" i="11"/>
  <c r="L27" i="11"/>
  <c r="D309" i="3"/>
  <c r="F305" i="3"/>
  <c r="R57" i="71"/>
  <c r="J25" i="73"/>
  <c r="Z27" i="52"/>
  <c r="T31" i="52"/>
  <c r="P65" i="68"/>
  <c r="X62" i="68"/>
  <c r="H29" i="83"/>
  <c r="Z27" i="19"/>
  <c r="T31" i="19"/>
  <c r="P117" i="42"/>
  <c r="X29" i="42"/>
  <c r="H31" i="28"/>
  <c r="N27" i="28"/>
  <c r="P31" i="47"/>
  <c r="X27" i="47"/>
  <c r="L51" i="75"/>
  <c r="D107" i="75"/>
  <c r="Z27" i="23"/>
  <c r="T31" i="23"/>
  <c r="N27" i="113"/>
  <c r="H31" i="113"/>
  <c r="H77" i="81"/>
  <c r="J73" i="81"/>
  <c r="L18" i="86"/>
  <c r="N18" i="86" s="1"/>
  <c r="D30" i="86"/>
  <c r="H65" i="101"/>
  <c r="P104" i="77"/>
  <c r="R100" i="77"/>
  <c r="Z20" i="81"/>
  <c r="T73" i="81"/>
  <c r="Z27" i="28"/>
  <c r="T31" i="28"/>
  <c r="Z27" i="53"/>
  <c r="T31" i="53"/>
  <c r="T107" i="75"/>
  <c r="N27" i="32"/>
  <c r="H31" i="32"/>
  <c r="P31" i="10"/>
  <c r="X27" i="10"/>
  <c r="D29" i="83"/>
  <c r="L21" i="83"/>
  <c r="N21" i="83" s="1"/>
  <c r="Z21" i="108"/>
  <c r="T84" i="108"/>
  <c r="X82" i="102"/>
  <c r="Z82" i="102" s="1"/>
  <c r="N27" i="5"/>
  <c r="H31" i="5"/>
  <c r="T31" i="35"/>
  <c r="Z27" i="35"/>
  <c r="T117" i="42"/>
  <c r="Z29" i="42"/>
  <c r="T85" i="106"/>
  <c r="Z21" i="106"/>
  <c r="Z27" i="20"/>
  <c r="T31" i="20"/>
  <c r="R25" i="79"/>
  <c r="N27" i="111"/>
  <c r="H31" i="111"/>
  <c r="L71" i="58"/>
  <c r="N71" i="58" s="1"/>
  <c r="D75" i="58"/>
  <c r="H31" i="26"/>
  <c r="N27" i="26"/>
  <c r="Z27" i="49"/>
  <c r="T31" i="49"/>
  <c r="H127" i="24"/>
  <c r="N76" i="24"/>
  <c r="R52" i="74"/>
  <c r="D94" i="92"/>
  <c r="L69" i="30"/>
  <c r="D145" i="30"/>
  <c r="D126" i="36"/>
  <c r="L122" i="36"/>
  <c r="N122" i="36" s="1"/>
  <c r="F122" i="36"/>
  <c r="D68" i="70"/>
  <c r="L20" i="70"/>
  <c r="N20" i="70" s="1"/>
  <c r="Z53" i="77"/>
  <c r="T100" i="77"/>
  <c r="X100" i="77" s="1"/>
  <c r="L22" i="82"/>
  <c r="D26" i="82"/>
  <c r="X27" i="49"/>
  <c r="P31" i="49"/>
  <c r="X68" i="70"/>
  <c r="P72" i="70"/>
  <c r="R68" i="70"/>
  <c r="D79" i="93"/>
  <c r="L75" i="93"/>
  <c r="F75" i="93"/>
  <c r="T53" i="105"/>
  <c r="Z49" i="105"/>
  <c r="V49" i="105"/>
  <c r="H71" i="110"/>
  <c r="J67" i="110"/>
  <c r="X21" i="106"/>
  <c r="D258" i="15"/>
  <c r="F254" i="15"/>
  <c r="H88" i="108"/>
  <c r="J84" i="108"/>
  <c r="L84" i="108"/>
  <c r="N84" i="108" s="1"/>
  <c r="L27" i="22"/>
  <c r="D31" i="22"/>
  <c r="P69" i="76"/>
  <c r="X28" i="76"/>
  <c r="X53" i="77"/>
  <c r="T94" i="92"/>
  <c r="X27" i="13"/>
  <c r="P31" i="13"/>
  <c r="D31" i="50"/>
  <c r="L27" i="50"/>
  <c r="X67" i="94"/>
  <c r="Z67" i="94" s="1"/>
  <c r="P71" i="94"/>
  <c r="R67" i="94"/>
  <c r="P53" i="105"/>
  <c r="X49" i="105"/>
  <c r="R49" i="105"/>
  <c r="T68" i="80"/>
  <c r="X20" i="80"/>
  <c r="Z20" i="80" s="1"/>
  <c r="T31" i="54"/>
  <c r="Z26" i="54"/>
  <c r="X27" i="111"/>
  <c r="P31" i="111"/>
  <c r="D94" i="96"/>
  <c r="F91" i="96"/>
  <c r="D31" i="23"/>
  <c r="L27" i="23"/>
  <c r="X53" i="60"/>
  <c r="Z53" i="60" s="1"/>
  <c r="P56" i="60"/>
  <c r="X56" i="60" s="1"/>
  <c r="X27" i="20"/>
  <c r="P31" i="20"/>
  <c r="L27" i="53"/>
  <c r="D31" i="53"/>
  <c r="N24" i="45"/>
  <c r="H92" i="45"/>
  <c r="H38" i="55"/>
  <c r="T66" i="59"/>
  <c r="Z62" i="59"/>
  <c r="D75" i="95"/>
  <c r="L20" i="95"/>
  <c r="N20" i="95" s="1"/>
  <c r="H254" i="15"/>
  <c r="H31" i="14"/>
  <c r="N27" i="14"/>
  <c r="P31" i="40"/>
  <c r="X27" i="40"/>
  <c r="H88" i="74"/>
  <c r="J84" i="74"/>
  <c r="T54" i="103"/>
  <c r="Z50" i="103"/>
  <c r="H31" i="11"/>
  <c r="N27" i="11"/>
  <c r="N27" i="34"/>
  <c r="H31" i="34"/>
  <c r="H69" i="76"/>
  <c r="N28" i="76"/>
  <c r="H31" i="25"/>
  <c r="N27" i="25"/>
  <c r="T133" i="39"/>
  <c r="V129" i="39"/>
  <c r="X85" i="106"/>
  <c r="P89" i="106"/>
  <c r="R85" i="106"/>
  <c r="L27" i="20"/>
  <c r="D31" i="20"/>
  <c r="L156" i="15"/>
  <c r="N156" i="15" s="1"/>
  <c r="N69" i="30"/>
  <c r="H145" i="30"/>
  <c r="P96" i="45"/>
  <c r="X92" i="45"/>
  <c r="Z92" i="45" s="1"/>
  <c r="R92" i="45"/>
  <c r="D83" i="73"/>
  <c r="F79" i="73"/>
  <c r="H37" i="86"/>
  <c r="J34" i="86"/>
  <c r="Z27" i="7"/>
  <c r="T31" i="7"/>
  <c r="P26" i="6"/>
  <c r="X22" i="6"/>
  <c r="L27" i="25"/>
  <c r="D31" i="25"/>
  <c r="Z27" i="113"/>
  <c r="T31" i="113"/>
  <c r="H62" i="68"/>
  <c r="N27" i="47"/>
  <c r="H31" i="47"/>
  <c r="T38" i="55"/>
  <c r="X84" i="108"/>
  <c r="P88" i="108"/>
  <c r="R84" i="108"/>
  <c r="X67" i="110"/>
  <c r="P71" i="110"/>
  <c r="R67" i="110"/>
  <c r="X31" i="55"/>
  <c r="Z31" i="55" s="1"/>
  <c r="P35" i="55"/>
  <c r="Z68" i="70"/>
  <c r="T72" i="70"/>
  <c r="V68" i="70"/>
  <c r="P75" i="89"/>
  <c r="R71" i="89"/>
  <c r="L37" i="109"/>
  <c r="N37" i="109" s="1"/>
  <c r="D41" i="109"/>
  <c r="Z27" i="31"/>
  <c r="T31" i="31"/>
  <c r="H118" i="85"/>
  <c r="N87" i="96"/>
  <c r="H91" i="96"/>
  <c r="L91" i="96" s="1"/>
  <c r="J87" i="96"/>
  <c r="X27" i="28"/>
  <c r="P31" i="28"/>
  <c r="T309" i="3"/>
  <c r="V305" i="3"/>
  <c r="R36" i="39"/>
  <c r="H91" i="92"/>
  <c r="L91" i="92" s="1"/>
  <c r="N87" i="92"/>
  <c r="P126" i="36"/>
  <c r="R122" i="36"/>
  <c r="L27" i="13"/>
  <c r="D31" i="13"/>
  <c r="P31" i="41"/>
  <c r="X27" i="41"/>
  <c r="P31" i="35"/>
  <c r="X27" i="35"/>
  <c r="L22" i="6"/>
  <c r="D26" i="6"/>
  <c r="T97" i="64"/>
  <c r="L85" i="106"/>
  <c r="D89" i="106"/>
  <c r="F85" i="106"/>
  <c r="T115" i="71"/>
  <c r="Z57" i="71"/>
  <c r="V57" i="71"/>
  <c r="Z28" i="76"/>
  <c r="T69" i="76"/>
  <c r="D31" i="49"/>
  <c r="L27" i="49"/>
  <c r="P86" i="84"/>
  <c r="X82" i="84"/>
  <c r="Z82" i="84" s="1"/>
  <c r="R82" i="84"/>
  <c r="L20" i="80"/>
  <c r="N20" i="80" s="1"/>
  <c r="D68" i="80"/>
  <c r="Z83" i="104"/>
  <c r="T87" i="104"/>
  <c r="V83" i="104"/>
  <c r="L23" i="102"/>
  <c r="N23" i="102" s="1"/>
  <c r="D31" i="113"/>
  <c r="L27" i="113"/>
  <c r="N27" i="19"/>
  <c r="H31" i="19"/>
  <c r="X27" i="53"/>
  <c r="P31" i="53"/>
  <c r="P127" i="24"/>
  <c r="X76" i="24"/>
  <c r="Z76" i="24" s="1"/>
  <c r="P97" i="64"/>
  <c r="X93" i="64"/>
  <c r="Z93" i="64" s="1"/>
  <c r="Z67" i="110"/>
  <c r="T71" i="110"/>
  <c r="V67" i="110"/>
  <c r="P118" i="85"/>
  <c r="X55" i="85"/>
  <c r="L27" i="52"/>
  <c r="D31" i="52"/>
  <c r="X91" i="92"/>
  <c r="Z91" i="92" s="1"/>
  <c r="P94" i="92"/>
  <c r="X94" i="92" s="1"/>
  <c r="T31" i="17"/>
  <c r="Z27" i="17"/>
  <c r="L27" i="35"/>
  <c r="D31" i="35"/>
  <c r="P31" i="112"/>
  <c r="X27" i="112"/>
  <c r="H263" i="12"/>
  <c r="V37" i="33"/>
  <c r="L117" i="42"/>
  <c r="D121" i="42"/>
  <c r="F117" i="42"/>
  <c r="D71" i="48"/>
  <c r="L67" i="48"/>
  <c r="N67" i="48" s="1"/>
  <c r="F67" i="48"/>
  <c r="L69" i="76"/>
  <c r="D73" i="76"/>
  <c r="F69" i="76"/>
  <c r="J29" i="42"/>
  <c r="V30" i="36"/>
  <c r="H68" i="57"/>
  <c r="N64" i="57"/>
  <c r="N51" i="75"/>
  <c r="H107" i="75"/>
  <c r="D100" i="77"/>
  <c r="L53" i="77"/>
  <c r="N53" i="77" s="1"/>
  <c r="Z27" i="14"/>
  <c r="T31" i="14"/>
  <c r="Z27" i="13"/>
  <c r="T31" i="13"/>
  <c r="T33" i="83"/>
  <c r="V29" i="83"/>
  <c r="N81" i="98"/>
  <c r="H85" i="98"/>
  <c r="J81" i="98"/>
  <c r="N27" i="29"/>
  <c r="H31" i="29"/>
  <c r="H31" i="22"/>
  <c r="N27" i="22"/>
  <c r="X67" i="48"/>
  <c r="Z67" i="48" s="1"/>
  <c r="P71" i="48"/>
  <c r="R67" i="48"/>
  <c r="T31" i="10"/>
  <c r="Z27" i="10"/>
  <c r="T31" i="34"/>
  <c r="Z27" i="34"/>
  <c r="H94" i="9"/>
  <c r="N90" i="9"/>
  <c r="H114" i="69"/>
  <c r="N68" i="69"/>
  <c r="L82" i="102"/>
  <c r="D86" i="102"/>
  <c r="F82" i="102"/>
  <c r="H31" i="16"/>
  <c r="N27" i="16"/>
  <c r="T31" i="41"/>
  <c r="Z27" i="41"/>
  <c r="L20" i="88"/>
  <c r="N20" i="88" s="1"/>
  <c r="D82" i="88"/>
  <c r="T31" i="6"/>
  <c r="Z26" i="6"/>
  <c r="Z20" i="89"/>
  <c r="T71" i="89"/>
  <c r="Z27" i="5"/>
  <c r="T31" i="5"/>
  <c r="D31" i="28"/>
  <c r="L27" i="28"/>
  <c r="N181" i="18"/>
  <c r="H281" i="18"/>
  <c r="L281" i="18" s="1"/>
  <c r="X27" i="31"/>
  <c r="P31" i="31"/>
  <c r="P31" i="50"/>
  <c r="X27" i="50"/>
  <c r="N195" i="3"/>
  <c r="H305" i="3"/>
  <c r="X71" i="58"/>
  <c r="P75" i="58"/>
  <c r="T68" i="79"/>
  <c r="V64" i="79"/>
  <c r="H47" i="100"/>
  <c r="L47" i="100" s="1"/>
  <c r="N43" i="100"/>
  <c r="T107" i="21"/>
  <c r="V103" i="21"/>
  <c r="D263" i="12"/>
  <c r="L161" i="12"/>
  <c r="N161" i="12" s="1"/>
  <c r="P31" i="4"/>
  <c r="X27" i="4"/>
  <c r="Z27" i="37"/>
  <c r="T31" i="37"/>
  <c r="P94" i="9"/>
  <c r="X90" i="9"/>
  <c r="Z56" i="60"/>
  <c r="Z27" i="25"/>
  <c r="T31" i="25"/>
  <c r="X75" i="95"/>
  <c r="Z75" i="95" s="1"/>
  <c r="P79" i="95"/>
  <c r="R75" i="95"/>
  <c r="T31" i="32"/>
  <c r="Z27" i="32"/>
  <c r="Z27" i="112"/>
  <c r="T31" i="112"/>
  <c r="V156" i="15"/>
  <c r="J76" i="24"/>
  <c r="Z30" i="36"/>
  <c r="T122" i="36"/>
  <c r="T74" i="94"/>
  <c r="V71" i="94"/>
  <c r="D62" i="68"/>
  <c r="L58" i="68"/>
  <c r="N58" i="68" s="1"/>
  <c r="R53" i="51"/>
  <c r="H79" i="93"/>
  <c r="N75" i="93"/>
  <c r="J75" i="93"/>
  <c r="N25" i="73"/>
  <c r="H79" i="73"/>
  <c r="T31" i="16"/>
  <c r="Z27" i="16"/>
  <c r="T114" i="69"/>
  <c r="D49" i="105"/>
  <c r="L21" i="105"/>
  <c r="N21" i="105" s="1"/>
  <c r="T100" i="51"/>
  <c r="Z53" i="51"/>
  <c r="L27" i="5"/>
  <c r="D31" i="5"/>
  <c r="X27" i="29"/>
  <c r="P31" i="29"/>
  <c r="T82" i="95"/>
  <c r="V79" i="95"/>
  <c r="X27" i="37"/>
  <c r="P31" i="37"/>
  <c r="N22" i="54"/>
  <c r="H26" i="54"/>
  <c r="N41" i="99"/>
  <c r="H45" i="99"/>
  <c r="P68" i="57"/>
  <c r="X64" i="57"/>
  <c r="Z64" i="57" s="1"/>
  <c r="P31" i="11"/>
  <c r="X27" i="11"/>
  <c r="T149" i="30"/>
  <c r="V145" i="30"/>
  <c r="D71" i="94"/>
  <c r="L67" i="94"/>
  <c r="N67" i="94" s="1"/>
  <c r="F67" i="94"/>
  <c r="T81" i="98"/>
  <c r="P31" i="16"/>
  <c r="X27" i="16"/>
  <c r="L27" i="44"/>
  <c r="D31" i="44"/>
  <c r="N27" i="43"/>
  <c r="H31" i="43"/>
  <c r="P31" i="46"/>
  <c r="X27" i="46"/>
  <c r="Z27" i="46"/>
  <c r="T31" i="46"/>
  <c r="X27" i="22"/>
  <c r="P31" i="22"/>
  <c r="X27" i="19"/>
  <c r="P31" i="19"/>
  <c r="L27" i="47"/>
  <c r="D31" i="47"/>
  <c r="P107" i="75"/>
  <c r="X51" i="75"/>
  <c r="Z51" i="75" s="1"/>
  <c r="L27" i="38"/>
  <c r="D31" i="38"/>
  <c r="D31" i="112"/>
  <c r="L27" i="112"/>
  <c r="P114" i="69"/>
  <c r="X68" i="69"/>
  <c r="Z68" i="69" s="1"/>
  <c r="D73" i="81"/>
  <c r="L20" i="81"/>
  <c r="N20" i="81" s="1"/>
  <c r="J22" i="104"/>
  <c r="N27" i="41"/>
  <c r="H31" i="41"/>
  <c r="P81" i="98"/>
  <c r="X20" i="98"/>
  <c r="Z20" i="98" s="1"/>
  <c r="Z27" i="11"/>
  <c r="T31" i="11"/>
  <c r="H72" i="80"/>
  <c r="J68" i="80"/>
  <c r="T118" i="85"/>
  <c r="Z55" i="85"/>
  <c r="H89" i="106"/>
  <c r="N85" i="106"/>
  <c r="J85" i="106"/>
  <c r="L27" i="111"/>
  <c r="D31" i="111"/>
  <c r="H56" i="60"/>
  <c r="N27" i="37"/>
  <c r="H31" i="37"/>
  <c r="D31" i="19"/>
  <c r="L27" i="19"/>
  <c r="Z27" i="43"/>
  <c r="T31" i="43"/>
  <c r="N58" i="27"/>
  <c r="H116" i="27"/>
  <c r="F20" i="70"/>
  <c r="L27" i="16"/>
  <c r="D31" i="16"/>
  <c r="P31" i="38"/>
  <c r="X27" i="38"/>
  <c r="N53" i="51"/>
  <c r="H100" i="51"/>
  <c r="J23" i="102"/>
  <c r="P263" i="12"/>
  <c r="X161" i="12"/>
  <c r="Z161" i="12" s="1"/>
  <c r="H129" i="39"/>
  <c r="N36" i="39"/>
  <c r="L62" i="59"/>
  <c r="N62" i="59" s="1"/>
  <c r="D66" i="59"/>
  <c r="H79" i="95"/>
  <c r="J75" i="95"/>
  <c r="X145" i="30"/>
  <c r="Z145" i="30" s="1"/>
  <c r="P149" i="30"/>
  <c r="R145" i="30"/>
  <c r="V52" i="74"/>
  <c r="X21" i="83"/>
  <c r="Z21" i="83" s="1"/>
  <c r="P29" i="83"/>
  <c r="X73" i="81"/>
  <c r="P77" i="81"/>
  <c r="R73" i="81"/>
  <c r="D118" i="85"/>
  <c r="L55" i="85"/>
  <c r="N55" i="85" s="1"/>
  <c r="L97" i="64"/>
  <c r="D100" i="64"/>
  <c r="Z27" i="40"/>
  <c r="T31" i="40"/>
  <c r="D91" i="33"/>
  <c r="L37" i="33"/>
  <c r="N37" i="33" s="1"/>
  <c r="L28" i="21"/>
  <c r="N28" i="21" s="1"/>
  <c r="D103" i="21"/>
  <c r="X27" i="5"/>
  <c r="P31" i="5"/>
  <c r="Z90" i="9"/>
  <c r="T94" i="9"/>
  <c r="L27" i="34"/>
  <c r="D31" i="34"/>
  <c r="T75" i="58"/>
  <c r="Z71" i="58"/>
  <c r="L67" i="110"/>
  <c r="N67" i="110" s="1"/>
  <c r="D71" i="110"/>
  <c r="F67" i="110"/>
  <c r="T44" i="109"/>
  <c r="Z41" i="109"/>
  <c r="Z44" i="109" l="1"/>
  <c r="D107" i="21"/>
  <c r="L103" i="21"/>
  <c r="F103" i="21"/>
  <c r="L66" i="59"/>
  <c r="D69" i="59"/>
  <c r="L31" i="111"/>
  <c r="D36" i="111"/>
  <c r="P36" i="46"/>
  <c r="X31" i="46"/>
  <c r="T36" i="32"/>
  <c r="Z36" i="32" s="1"/>
  <c r="Z31" i="32"/>
  <c r="P36" i="4"/>
  <c r="X31" i="4"/>
  <c r="T71" i="79"/>
  <c r="V68" i="79"/>
  <c r="D36" i="28"/>
  <c r="L31" i="28"/>
  <c r="H36" i="16"/>
  <c r="N36" i="16" s="1"/>
  <c r="N31" i="16"/>
  <c r="H71" i="57"/>
  <c r="N31" i="19"/>
  <c r="H36" i="19"/>
  <c r="N36" i="19" s="1"/>
  <c r="L68" i="80"/>
  <c r="N68" i="80" s="1"/>
  <c r="D72" i="80"/>
  <c r="F68" i="80"/>
  <c r="H36" i="25"/>
  <c r="N36" i="25" s="1"/>
  <c r="N31" i="25"/>
  <c r="N92" i="45"/>
  <c r="H96" i="45"/>
  <c r="J92" i="45"/>
  <c r="X53" i="105"/>
  <c r="P56" i="105"/>
  <c r="R53" i="105"/>
  <c r="P73" i="76"/>
  <c r="X69" i="76"/>
  <c r="R69" i="76"/>
  <c r="H36" i="26"/>
  <c r="N36" i="26" s="1"/>
  <c r="N31" i="26"/>
  <c r="L29" i="83"/>
  <c r="D33" i="83"/>
  <c r="F29" i="83"/>
  <c r="D107" i="51"/>
  <c r="F104" i="51"/>
  <c r="L31" i="31"/>
  <c r="D36" i="31"/>
  <c r="H107" i="77"/>
  <c r="J104" i="77"/>
  <c r="P95" i="33"/>
  <c r="X91" i="33"/>
  <c r="R91" i="33"/>
  <c r="H121" i="42"/>
  <c r="N117" i="42"/>
  <c r="J117" i="42"/>
  <c r="N31" i="35"/>
  <c r="H36" i="35"/>
  <c r="N36" i="35" s="1"/>
  <c r="D86" i="84"/>
  <c r="L82" i="84"/>
  <c r="N82" i="84" s="1"/>
  <c r="F82" i="84"/>
  <c r="N66" i="59"/>
  <c r="H69" i="59"/>
  <c r="L31" i="8"/>
  <c r="D36" i="8"/>
  <c r="L26" i="54"/>
  <c r="D31" i="54"/>
  <c r="P33" i="83"/>
  <c r="X29" i="83"/>
  <c r="Z29" i="83" s="1"/>
  <c r="R29" i="83"/>
  <c r="X81" i="98"/>
  <c r="P85" i="98"/>
  <c r="R81" i="98"/>
  <c r="N31" i="43"/>
  <c r="H36" i="43"/>
  <c r="N36" i="43" s="1"/>
  <c r="D74" i="94"/>
  <c r="L71" i="94"/>
  <c r="F71" i="94"/>
  <c r="X31" i="37"/>
  <c r="P36" i="37"/>
  <c r="D53" i="105"/>
  <c r="L49" i="105"/>
  <c r="F49" i="105"/>
  <c r="D65" i="68"/>
  <c r="L65" i="68" s="1"/>
  <c r="L62" i="68"/>
  <c r="N62" i="68" s="1"/>
  <c r="P78" i="58"/>
  <c r="X75" i="58"/>
  <c r="Z31" i="5"/>
  <c r="T36" i="5"/>
  <c r="Z36" i="5" s="1"/>
  <c r="T119" i="71"/>
  <c r="V115" i="71"/>
  <c r="L41" i="109"/>
  <c r="N41" i="109" s="1"/>
  <c r="D44" i="109"/>
  <c r="L44" i="109" s="1"/>
  <c r="H65" i="68"/>
  <c r="L31" i="20"/>
  <c r="D36" i="20"/>
  <c r="P36" i="40"/>
  <c r="X31" i="40"/>
  <c r="L31" i="22"/>
  <c r="D36" i="22"/>
  <c r="X72" i="70"/>
  <c r="P75" i="70"/>
  <c r="R72" i="70"/>
  <c r="L126" i="36"/>
  <c r="D129" i="36"/>
  <c r="F126" i="36"/>
  <c r="T89" i="106"/>
  <c r="Z85" i="106"/>
  <c r="V85" i="106"/>
  <c r="Z31" i="23"/>
  <c r="T36" i="23"/>
  <c r="Z36" i="23" s="1"/>
  <c r="X44" i="109"/>
  <c r="X31" i="7"/>
  <c r="P36" i="7"/>
  <c r="L31" i="7"/>
  <c r="D36" i="7"/>
  <c r="H89" i="88"/>
  <c r="J86" i="88"/>
  <c r="X31" i="43"/>
  <c r="P36" i="43"/>
  <c r="H36" i="52"/>
  <c r="N36" i="52" s="1"/>
  <c r="N31" i="52"/>
  <c r="P36" i="32"/>
  <c r="X31" i="32"/>
  <c r="V99" i="45"/>
  <c r="H120" i="27"/>
  <c r="J116" i="27"/>
  <c r="N31" i="41"/>
  <c r="H36" i="41"/>
  <c r="N36" i="41" s="1"/>
  <c r="P111" i="75"/>
  <c r="X107" i="75"/>
  <c r="R107" i="75"/>
  <c r="P82" i="95"/>
  <c r="X79" i="95"/>
  <c r="Z79" i="95" s="1"/>
  <c r="R79" i="95"/>
  <c r="D89" i="102"/>
  <c r="F86" i="102"/>
  <c r="T36" i="83"/>
  <c r="V33" i="83"/>
  <c r="H267" i="12"/>
  <c r="J263" i="12"/>
  <c r="X118" i="85"/>
  <c r="P122" i="85"/>
  <c r="R118" i="85"/>
  <c r="P36" i="41"/>
  <c r="X31" i="41"/>
  <c r="T314" i="3"/>
  <c r="V309" i="3"/>
  <c r="X71" i="110"/>
  <c r="P74" i="110"/>
  <c r="R71" i="110"/>
  <c r="H73" i="76"/>
  <c r="N69" i="76"/>
  <c r="J69" i="76"/>
  <c r="L31" i="53"/>
  <c r="D36" i="53"/>
  <c r="F94" i="96"/>
  <c r="X71" i="94"/>
  <c r="Z71" i="94" s="1"/>
  <c r="P74" i="94"/>
  <c r="R71" i="94"/>
  <c r="D149" i="30"/>
  <c r="L145" i="30"/>
  <c r="F145" i="30"/>
  <c r="P36" i="10"/>
  <c r="X31" i="10"/>
  <c r="R104" i="77"/>
  <c r="P107" i="77"/>
  <c r="P121" i="42"/>
  <c r="X117" i="42"/>
  <c r="R117" i="42"/>
  <c r="P36" i="52"/>
  <c r="X31" i="52"/>
  <c r="D36" i="41"/>
  <c r="L31" i="41"/>
  <c r="P83" i="73"/>
  <c r="X79" i="73"/>
  <c r="R79" i="73"/>
  <c r="D38" i="55"/>
  <c r="L38" i="55" s="1"/>
  <c r="L35" i="55"/>
  <c r="N35" i="55" s="1"/>
  <c r="L31" i="40"/>
  <c r="D36" i="40"/>
  <c r="X91" i="96"/>
  <c r="P94" i="96"/>
  <c r="R91" i="96"/>
  <c r="D119" i="71"/>
  <c r="L115" i="71"/>
  <c r="F115" i="71"/>
  <c r="L45" i="99"/>
  <c r="D48" i="99"/>
  <c r="F45" i="99"/>
  <c r="H98" i="33"/>
  <c r="J95" i="33"/>
  <c r="Z31" i="38"/>
  <c r="T36" i="38"/>
  <c r="Z36" i="38" s="1"/>
  <c r="R89" i="88"/>
  <c r="P119" i="71"/>
  <c r="X115" i="71"/>
  <c r="Z115" i="71" s="1"/>
  <c r="R115" i="71"/>
  <c r="T123" i="27"/>
  <c r="V120" i="27"/>
  <c r="H133" i="39"/>
  <c r="J129" i="39"/>
  <c r="L31" i="47"/>
  <c r="D36" i="47"/>
  <c r="T152" i="30"/>
  <c r="V149" i="30"/>
  <c r="T118" i="69"/>
  <c r="V114" i="69"/>
  <c r="V74" i="94"/>
  <c r="H309" i="3"/>
  <c r="N305" i="3"/>
  <c r="J305" i="3"/>
  <c r="T75" i="89"/>
  <c r="V71" i="89"/>
  <c r="X71" i="48"/>
  <c r="P74" i="48"/>
  <c r="R71" i="48"/>
  <c r="Z31" i="13"/>
  <c r="T36" i="13"/>
  <c r="Z36" i="13" s="1"/>
  <c r="D36" i="113"/>
  <c r="L31" i="113"/>
  <c r="L89" i="106"/>
  <c r="D92" i="106"/>
  <c r="F89" i="106"/>
  <c r="L31" i="13"/>
  <c r="D36" i="13"/>
  <c r="Z31" i="113"/>
  <c r="T36" i="113"/>
  <c r="Z36" i="113" s="1"/>
  <c r="J37" i="86"/>
  <c r="N31" i="34"/>
  <c r="H36" i="34"/>
  <c r="N36" i="34" s="1"/>
  <c r="H36" i="14"/>
  <c r="N36" i="14" s="1"/>
  <c r="N31" i="14"/>
  <c r="X31" i="111"/>
  <c r="P36" i="111"/>
  <c r="X31" i="49"/>
  <c r="P36" i="49"/>
  <c r="L75" i="58"/>
  <c r="D78" i="58"/>
  <c r="T121" i="42"/>
  <c r="Z117" i="42"/>
  <c r="V117" i="42"/>
  <c r="H36" i="32"/>
  <c r="N36" i="32" s="1"/>
  <c r="N31" i="32"/>
  <c r="D111" i="75"/>
  <c r="L107" i="75"/>
  <c r="F107" i="75"/>
  <c r="Z31" i="19"/>
  <c r="T36" i="19"/>
  <c r="Z36" i="19" s="1"/>
  <c r="Z71" i="48"/>
  <c r="T74" i="48"/>
  <c r="V71" i="48"/>
  <c r="N31" i="4"/>
  <c r="H36" i="4"/>
  <c r="N36" i="4" s="1"/>
  <c r="L285" i="18"/>
  <c r="D288" i="18"/>
  <c r="F285" i="18"/>
  <c r="L92" i="45"/>
  <c r="D96" i="45"/>
  <c r="F92" i="45"/>
  <c r="Z31" i="111"/>
  <c r="T36" i="111"/>
  <c r="Z36" i="111" s="1"/>
  <c r="H107" i="21"/>
  <c r="N103" i="21"/>
  <c r="J103" i="21"/>
  <c r="H71" i="79"/>
  <c r="J68" i="79"/>
  <c r="L68" i="79"/>
  <c r="N68" i="79" s="1"/>
  <c r="T288" i="18"/>
  <c r="V285" i="18"/>
  <c r="L31" i="10"/>
  <c r="D36" i="10"/>
  <c r="P36" i="17"/>
  <c r="X31" i="17"/>
  <c r="Z31" i="4"/>
  <c r="T36" i="4"/>
  <c r="Z36" i="4" s="1"/>
  <c r="H36" i="17"/>
  <c r="N36" i="17" s="1"/>
  <c r="N31" i="17"/>
  <c r="T95" i="33"/>
  <c r="Z91" i="33"/>
  <c r="V91" i="33"/>
  <c r="Z31" i="43"/>
  <c r="T36" i="43"/>
  <c r="Z36" i="43" s="1"/>
  <c r="N89" i="106"/>
  <c r="H92" i="106"/>
  <c r="J89" i="106"/>
  <c r="Z31" i="25"/>
  <c r="T36" i="25"/>
  <c r="Z36" i="25" s="1"/>
  <c r="D267" i="12"/>
  <c r="L263" i="12"/>
  <c r="N263" i="12" s="1"/>
  <c r="F263" i="12"/>
  <c r="D76" i="76"/>
  <c r="F73" i="76"/>
  <c r="P36" i="112"/>
  <c r="X31" i="112"/>
  <c r="Z71" i="110"/>
  <c r="T74" i="110"/>
  <c r="V71" i="110"/>
  <c r="P89" i="84"/>
  <c r="X86" i="84"/>
  <c r="R86" i="84"/>
  <c r="X31" i="28"/>
  <c r="P36" i="28"/>
  <c r="X71" i="89"/>
  <c r="Z71" i="89" s="1"/>
  <c r="X89" i="106"/>
  <c r="P92" i="106"/>
  <c r="R89" i="106"/>
  <c r="X31" i="20"/>
  <c r="P36" i="20"/>
  <c r="L305" i="3"/>
  <c r="R89" i="102"/>
  <c r="L31" i="43"/>
  <c r="D36" i="43"/>
  <c r="H36" i="31"/>
  <c r="N36" i="31" s="1"/>
  <c r="N31" i="31"/>
  <c r="H36" i="40"/>
  <c r="N36" i="40" s="1"/>
  <c r="N31" i="40"/>
  <c r="L31" i="46"/>
  <c r="D36" i="46"/>
  <c r="Z86" i="84"/>
  <c r="T89" i="84"/>
  <c r="V86" i="84"/>
  <c r="Z86" i="88"/>
  <c r="T89" i="88"/>
  <c r="V86" i="88"/>
  <c r="D133" i="39"/>
  <c r="L129" i="39"/>
  <c r="N129" i="39" s="1"/>
  <c r="F129" i="39"/>
  <c r="L68" i="57"/>
  <c r="N68" i="57" s="1"/>
  <c r="D71" i="57"/>
  <c r="L71" i="57" s="1"/>
  <c r="N31" i="46"/>
  <c r="H36" i="46"/>
  <c r="N36" i="46" s="1"/>
  <c r="N49" i="105"/>
  <c r="H53" i="105"/>
  <c r="J49" i="105"/>
  <c r="D36" i="32"/>
  <c r="L31" i="32"/>
  <c r="X31" i="34"/>
  <c r="P36" i="34"/>
  <c r="Z86" i="102"/>
  <c r="T89" i="102"/>
  <c r="V86" i="102"/>
  <c r="L71" i="110"/>
  <c r="D74" i="110"/>
  <c r="F71" i="110"/>
  <c r="T78" i="58"/>
  <c r="Z75" i="58"/>
  <c r="X263" i="12"/>
  <c r="P267" i="12"/>
  <c r="R263" i="12"/>
  <c r="X31" i="19"/>
  <c r="P36" i="19"/>
  <c r="L31" i="44"/>
  <c r="D36" i="44"/>
  <c r="V82" i="95"/>
  <c r="T36" i="16"/>
  <c r="Z36" i="16" s="1"/>
  <c r="Z31" i="16"/>
  <c r="T126" i="36"/>
  <c r="V122" i="36"/>
  <c r="H118" i="69"/>
  <c r="J114" i="69"/>
  <c r="Z31" i="14"/>
  <c r="T36" i="14"/>
  <c r="Z36" i="14" s="1"/>
  <c r="L31" i="35"/>
  <c r="D36" i="35"/>
  <c r="P78" i="89"/>
  <c r="X75" i="89"/>
  <c r="R75" i="89"/>
  <c r="P91" i="108"/>
  <c r="R88" i="108"/>
  <c r="L31" i="25"/>
  <c r="D36" i="25"/>
  <c r="D86" i="73"/>
  <c r="F83" i="73"/>
  <c r="H258" i="15"/>
  <c r="J254" i="15"/>
  <c r="L31" i="50"/>
  <c r="D36" i="50"/>
  <c r="H91" i="108"/>
  <c r="N88" i="108"/>
  <c r="L88" i="108"/>
  <c r="J88" i="108"/>
  <c r="N71" i="110"/>
  <c r="H74" i="110"/>
  <c r="J71" i="110"/>
  <c r="L26" i="82"/>
  <c r="D29" i="82"/>
  <c r="N31" i="111"/>
  <c r="H36" i="111"/>
  <c r="N36" i="111" s="1"/>
  <c r="T36" i="35"/>
  <c r="Z36" i="35" s="1"/>
  <c r="Z31" i="35"/>
  <c r="H68" i="101"/>
  <c r="L309" i="3"/>
  <c r="D314" i="3"/>
  <c r="F309" i="3"/>
  <c r="D36" i="17"/>
  <c r="L31" i="17"/>
  <c r="L31" i="4"/>
  <c r="D36" i="4"/>
  <c r="H89" i="84"/>
  <c r="J86" i="84"/>
  <c r="Z31" i="26"/>
  <c r="T36" i="26"/>
  <c r="Z36" i="26" s="1"/>
  <c r="N31" i="10"/>
  <c r="H36" i="10"/>
  <c r="N36" i="10" s="1"/>
  <c r="X84" i="74"/>
  <c r="P88" i="74"/>
  <c r="R84" i="74"/>
  <c r="Z75" i="56"/>
  <c r="T78" i="56"/>
  <c r="P120" i="27"/>
  <c r="X116" i="27"/>
  <c r="Z116" i="27" s="1"/>
  <c r="R116" i="27"/>
  <c r="D120" i="27"/>
  <c r="L116" i="27"/>
  <c r="N116" i="27" s="1"/>
  <c r="F116" i="27"/>
  <c r="D65" i="101"/>
  <c r="L61" i="101"/>
  <c r="N61" i="101" s="1"/>
  <c r="L57" i="103"/>
  <c r="N57" i="103" s="1"/>
  <c r="L75" i="56"/>
  <c r="D78" i="56"/>
  <c r="H36" i="112"/>
  <c r="N36" i="112" s="1"/>
  <c r="N31" i="112"/>
  <c r="L94" i="9"/>
  <c r="D97" i="9"/>
  <c r="L91" i="33"/>
  <c r="N91" i="33" s="1"/>
  <c r="D95" i="33"/>
  <c r="F91" i="33"/>
  <c r="T36" i="40"/>
  <c r="Z36" i="40" s="1"/>
  <c r="Z31" i="40"/>
  <c r="L31" i="34"/>
  <c r="D36" i="34"/>
  <c r="L100" i="64"/>
  <c r="T122" i="85"/>
  <c r="Z118" i="85"/>
  <c r="V118" i="85"/>
  <c r="D77" i="81"/>
  <c r="L73" i="81"/>
  <c r="N73" i="81" s="1"/>
  <c r="F73" i="81"/>
  <c r="P36" i="11"/>
  <c r="X31" i="11"/>
  <c r="X31" i="29"/>
  <c r="P36" i="29"/>
  <c r="N79" i="73"/>
  <c r="H83" i="73"/>
  <c r="J79" i="73"/>
  <c r="T110" i="21"/>
  <c r="V107" i="21"/>
  <c r="P36" i="50"/>
  <c r="X31" i="50"/>
  <c r="H36" i="22"/>
  <c r="N36" i="22" s="1"/>
  <c r="N31" i="22"/>
  <c r="T90" i="104"/>
  <c r="V87" i="104"/>
  <c r="Z97" i="64"/>
  <c r="T100" i="64"/>
  <c r="X126" i="36"/>
  <c r="P129" i="36"/>
  <c r="R126" i="36"/>
  <c r="L79" i="73"/>
  <c r="N31" i="11"/>
  <c r="H36" i="11"/>
  <c r="N36" i="11" s="1"/>
  <c r="X31" i="13"/>
  <c r="P36" i="13"/>
  <c r="N31" i="5"/>
  <c r="H36" i="5"/>
  <c r="N36" i="5" s="1"/>
  <c r="Z107" i="75"/>
  <c r="T111" i="75"/>
  <c r="V107" i="75"/>
  <c r="L30" i="86"/>
  <c r="N30" i="86" s="1"/>
  <c r="D34" i="86"/>
  <c r="F30" i="86"/>
  <c r="N29" i="83"/>
  <c r="H33" i="83"/>
  <c r="J29" i="83"/>
  <c r="N75" i="89"/>
  <c r="H78" i="89"/>
  <c r="J75" i="89"/>
  <c r="H86" i="102"/>
  <c r="N82" i="102"/>
  <c r="J82" i="102"/>
  <c r="H36" i="13"/>
  <c r="N36" i="13" s="1"/>
  <c r="N31" i="13"/>
  <c r="T131" i="24"/>
  <c r="V127" i="24"/>
  <c r="N97" i="64"/>
  <c r="H100" i="64"/>
  <c r="L83" i="104"/>
  <c r="D87" i="104"/>
  <c r="F83" i="104"/>
  <c r="X79" i="93"/>
  <c r="Z79" i="93" s="1"/>
  <c r="P82" i="93"/>
  <c r="R79" i="93"/>
  <c r="T37" i="86"/>
  <c r="V34" i="86"/>
  <c r="X34" i="86"/>
  <c r="Z34" i="86" s="1"/>
  <c r="X31" i="14"/>
  <c r="P36" i="14"/>
  <c r="N31" i="44"/>
  <c r="H36" i="44"/>
  <c r="N36" i="44" s="1"/>
  <c r="P258" i="15"/>
  <c r="X254" i="15"/>
  <c r="R254" i="15"/>
  <c r="D56" i="60"/>
  <c r="L56" i="60" s="1"/>
  <c r="L53" i="60"/>
  <c r="N53" i="60" s="1"/>
  <c r="X149" i="30"/>
  <c r="Z149" i="30" s="1"/>
  <c r="P152" i="30"/>
  <c r="R149" i="30"/>
  <c r="H104" i="51"/>
  <c r="L104" i="51" s="1"/>
  <c r="J100" i="51"/>
  <c r="D36" i="19"/>
  <c r="L31" i="19"/>
  <c r="X31" i="22"/>
  <c r="P36" i="22"/>
  <c r="X31" i="31"/>
  <c r="P36" i="31"/>
  <c r="D86" i="88"/>
  <c r="L82" i="88"/>
  <c r="N82" i="88" s="1"/>
  <c r="F82" i="88"/>
  <c r="N94" i="9"/>
  <c r="H97" i="9"/>
  <c r="N31" i="29"/>
  <c r="H36" i="29"/>
  <c r="N36" i="29" s="1"/>
  <c r="X97" i="64"/>
  <c r="P100" i="64"/>
  <c r="X100" i="64" s="1"/>
  <c r="L26" i="6"/>
  <c r="D31" i="6"/>
  <c r="X122" i="36"/>
  <c r="Z122" i="36" s="1"/>
  <c r="N91" i="96"/>
  <c r="H94" i="96"/>
  <c r="J91" i="96"/>
  <c r="Z72" i="70"/>
  <c r="T75" i="70"/>
  <c r="V72" i="70"/>
  <c r="L75" i="95"/>
  <c r="N75" i="95" s="1"/>
  <c r="D79" i="95"/>
  <c r="F75" i="95"/>
  <c r="Z100" i="77"/>
  <c r="T104" i="77"/>
  <c r="X104" i="77" s="1"/>
  <c r="V100" i="77"/>
  <c r="Z31" i="53"/>
  <c r="T36" i="53"/>
  <c r="Z36" i="53" s="1"/>
  <c r="D36" i="11"/>
  <c r="L31" i="11"/>
  <c r="H36" i="23"/>
  <c r="N36" i="23" s="1"/>
  <c r="N31" i="23"/>
  <c r="N31" i="50"/>
  <c r="H36" i="50"/>
  <c r="N36" i="50" s="1"/>
  <c r="T83" i="73"/>
  <c r="Z79" i="73"/>
  <c r="V79" i="73"/>
  <c r="T258" i="15"/>
  <c r="Z254" i="15"/>
  <c r="V254" i="15"/>
  <c r="Z71" i="57"/>
  <c r="P285" i="18"/>
  <c r="X281" i="18"/>
  <c r="Z281" i="18" s="1"/>
  <c r="R281" i="18"/>
  <c r="X103" i="21"/>
  <c r="Z103" i="21" s="1"/>
  <c r="P107" i="21"/>
  <c r="R103" i="21"/>
  <c r="T36" i="8"/>
  <c r="Z36" i="8" s="1"/>
  <c r="Z31" i="8"/>
  <c r="H75" i="70"/>
  <c r="J72" i="70"/>
  <c r="X65" i="101"/>
  <c r="P68" i="101"/>
  <c r="R65" i="101"/>
  <c r="X305" i="3"/>
  <c r="Z305" i="3" s="1"/>
  <c r="P309" i="3"/>
  <c r="R305" i="3"/>
  <c r="H36" i="37"/>
  <c r="N36" i="37" s="1"/>
  <c r="N31" i="37"/>
  <c r="H75" i="80"/>
  <c r="J72" i="80"/>
  <c r="X114" i="69"/>
  <c r="Z114" i="69" s="1"/>
  <c r="P118" i="69"/>
  <c r="R114" i="69"/>
  <c r="P36" i="16"/>
  <c r="X31" i="16"/>
  <c r="X68" i="57"/>
  <c r="Z68" i="57" s="1"/>
  <c r="P71" i="57"/>
  <c r="X71" i="57" s="1"/>
  <c r="L31" i="5"/>
  <c r="D36" i="5"/>
  <c r="P97" i="9"/>
  <c r="X94" i="9"/>
  <c r="D104" i="77"/>
  <c r="L100" i="77"/>
  <c r="N100" i="77" s="1"/>
  <c r="F100" i="77"/>
  <c r="D74" i="48"/>
  <c r="L71" i="48"/>
  <c r="F71" i="48"/>
  <c r="T36" i="17"/>
  <c r="Z36" i="17" s="1"/>
  <c r="Z31" i="17"/>
  <c r="D36" i="49"/>
  <c r="L31" i="49"/>
  <c r="T57" i="103"/>
  <c r="T72" i="80"/>
  <c r="X68" i="80"/>
  <c r="Z68" i="80" s="1"/>
  <c r="V68" i="80"/>
  <c r="Z94" i="92"/>
  <c r="D261" i="15"/>
  <c r="F258" i="15"/>
  <c r="Z53" i="105"/>
  <c r="T56" i="105"/>
  <c r="V53" i="105"/>
  <c r="H131" i="24"/>
  <c r="L131" i="24" s="1"/>
  <c r="N127" i="24"/>
  <c r="J127" i="24"/>
  <c r="P36" i="47"/>
  <c r="X31" i="47"/>
  <c r="H87" i="104"/>
  <c r="N83" i="104"/>
  <c r="J83" i="104"/>
  <c r="D134" i="24"/>
  <c r="F131" i="24"/>
  <c r="Z84" i="74"/>
  <c r="T88" i="74"/>
  <c r="V84" i="74"/>
  <c r="X31" i="25"/>
  <c r="P36" i="25"/>
  <c r="N71" i="94"/>
  <c r="H74" i="94"/>
  <c r="J71" i="94"/>
  <c r="Z263" i="12"/>
  <c r="T267" i="12"/>
  <c r="V263" i="12"/>
  <c r="D36" i="26"/>
  <c r="L31" i="26"/>
  <c r="H74" i="48"/>
  <c r="N71" i="48"/>
  <c r="J71" i="48"/>
  <c r="P50" i="100"/>
  <c r="X50" i="100" s="1"/>
  <c r="X47" i="100"/>
  <c r="N31" i="7"/>
  <c r="H36" i="7"/>
  <c r="N36" i="7" s="1"/>
  <c r="P133" i="39"/>
  <c r="X129" i="39"/>
  <c r="Z129" i="39" s="1"/>
  <c r="R129" i="39"/>
  <c r="Z94" i="9"/>
  <c r="T97" i="9"/>
  <c r="L118" i="85"/>
  <c r="N118" i="85" s="1"/>
  <c r="D122" i="85"/>
  <c r="F118" i="85"/>
  <c r="Z31" i="46"/>
  <c r="T36" i="46"/>
  <c r="Z36" i="46" s="1"/>
  <c r="N45" i="99"/>
  <c r="H48" i="99"/>
  <c r="N48" i="99" s="1"/>
  <c r="Z31" i="112"/>
  <c r="T36" i="112"/>
  <c r="Z36" i="112" s="1"/>
  <c r="T36" i="37"/>
  <c r="Z36" i="37" s="1"/>
  <c r="Z31" i="37"/>
  <c r="H50" i="100"/>
  <c r="N47" i="100"/>
  <c r="N281" i="18"/>
  <c r="H285" i="18"/>
  <c r="J281" i="18"/>
  <c r="T36" i="34"/>
  <c r="Z36" i="34" s="1"/>
  <c r="Z31" i="34"/>
  <c r="N107" i="75"/>
  <c r="H111" i="75"/>
  <c r="J107" i="75"/>
  <c r="X127" i="24"/>
  <c r="Z127" i="24" s="1"/>
  <c r="P131" i="24"/>
  <c r="R127" i="24"/>
  <c r="T73" i="76"/>
  <c r="Z69" i="76"/>
  <c r="V69" i="76"/>
  <c r="H94" i="92"/>
  <c r="L94" i="92" s="1"/>
  <c r="N91" i="92"/>
  <c r="H122" i="85"/>
  <c r="J118" i="85"/>
  <c r="X35" i="55"/>
  <c r="Z35" i="55" s="1"/>
  <c r="P38" i="55"/>
  <c r="X38" i="55" s="1"/>
  <c r="Z38" i="55" s="1"/>
  <c r="P99" i="45"/>
  <c r="X96" i="45"/>
  <c r="Z96" i="45" s="1"/>
  <c r="R96" i="45"/>
  <c r="T69" i="59"/>
  <c r="Z66" i="59"/>
  <c r="L254" i="15"/>
  <c r="N254" i="15" s="1"/>
  <c r="Z31" i="49"/>
  <c r="T36" i="49"/>
  <c r="Z36" i="49" s="1"/>
  <c r="T88" i="108"/>
  <c r="Z84" i="108"/>
  <c r="V84" i="108"/>
  <c r="Z31" i="28"/>
  <c r="T36" i="28"/>
  <c r="Z36" i="28" s="1"/>
  <c r="Z31" i="52"/>
  <c r="T36" i="52"/>
  <c r="Z36" i="52" s="1"/>
  <c r="L85" i="98"/>
  <c r="D88" i="98"/>
  <c r="F85" i="98"/>
  <c r="T91" i="96"/>
  <c r="Z87" i="96"/>
  <c r="V87" i="96"/>
  <c r="L127" i="24"/>
  <c r="X87" i="104"/>
  <c r="Z87" i="104" s="1"/>
  <c r="P90" i="104"/>
  <c r="R87" i="104"/>
  <c r="Z65" i="101"/>
  <c r="T68" i="101"/>
  <c r="V65" i="101"/>
  <c r="N31" i="20"/>
  <c r="H36" i="20"/>
  <c r="N36" i="20" s="1"/>
  <c r="N31" i="53"/>
  <c r="H36" i="53"/>
  <c r="N36" i="53" s="1"/>
  <c r="X100" i="51"/>
  <c r="P104" i="51"/>
  <c r="R100" i="51"/>
  <c r="P68" i="79"/>
  <c r="X64" i="79"/>
  <c r="Z64" i="79" s="1"/>
  <c r="R64" i="79"/>
  <c r="P69" i="59"/>
  <c r="X69" i="59" s="1"/>
  <c r="X66" i="59"/>
  <c r="N26" i="6"/>
  <c r="H31" i="6"/>
  <c r="L75" i="89"/>
  <c r="D78" i="89"/>
  <c r="F75" i="89"/>
  <c r="H36" i="49"/>
  <c r="N36" i="49" s="1"/>
  <c r="N31" i="49"/>
  <c r="N26" i="82"/>
  <c r="H29" i="82"/>
  <c r="N29" i="82" s="1"/>
  <c r="D36" i="37"/>
  <c r="L31" i="37"/>
  <c r="N75" i="56"/>
  <c r="H78" i="56"/>
  <c r="X26" i="82"/>
  <c r="P29" i="82"/>
  <c r="X29" i="82" s="1"/>
  <c r="X31" i="5"/>
  <c r="P36" i="5"/>
  <c r="P36" i="38"/>
  <c r="X31" i="38"/>
  <c r="T36" i="11"/>
  <c r="Z36" i="11" s="1"/>
  <c r="Z31" i="11"/>
  <c r="D36" i="112"/>
  <c r="L31" i="112"/>
  <c r="T85" i="98"/>
  <c r="Z81" i="98"/>
  <c r="V81" i="98"/>
  <c r="N79" i="93"/>
  <c r="H82" i="93"/>
  <c r="J79" i="93"/>
  <c r="Z31" i="41"/>
  <c r="T36" i="41"/>
  <c r="Z36" i="41" s="1"/>
  <c r="H88" i="98"/>
  <c r="N85" i="98"/>
  <c r="J85" i="98"/>
  <c r="L121" i="42"/>
  <c r="D124" i="42"/>
  <c r="F121" i="42"/>
  <c r="X31" i="53"/>
  <c r="P36" i="53"/>
  <c r="P36" i="35"/>
  <c r="X31" i="35"/>
  <c r="X26" i="6"/>
  <c r="P31" i="6"/>
  <c r="X31" i="6" s="1"/>
  <c r="Z31" i="6" s="1"/>
  <c r="H149" i="30"/>
  <c r="N145" i="30"/>
  <c r="J145" i="30"/>
  <c r="T136" i="39"/>
  <c r="V133" i="39"/>
  <c r="D72" i="70"/>
  <c r="L68" i="70"/>
  <c r="N68" i="70" s="1"/>
  <c r="F68" i="70"/>
  <c r="Z31" i="20"/>
  <c r="T36" i="20"/>
  <c r="Z36" i="20" s="1"/>
  <c r="H80" i="81"/>
  <c r="J77" i="81"/>
  <c r="H36" i="28"/>
  <c r="N36" i="28" s="1"/>
  <c r="N31" i="28"/>
  <c r="X78" i="56"/>
  <c r="X31" i="8"/>
  <c r="P36" i="8"/>
  <c r="T36" i="50"/>
  <c r="Z36" i="50" s="1"/>
  <c r="Z31" i="50"/>
  <c r="D118" i="69"/>
  <c r="L114" i="69"/>
  <c r="N114" i="69" s="1"/>
  <c r="F114" i="69"/>
  <c r="P57" i="103"/>
  <c r="X57" i="103" s="1"/>
  <c r="X54" i="103"/>
  <c r="Z54" i="103" s="1"/>
  <c r="H119" i="71"/>
  <c r="N115" i="71"/>
  <c r="J115" i="71"/>
  <c r="N75" i="58"/>
  <c r="H78" i="58"/>
  <c r="Z47" i="100"/>
  <c r="T50" i="100"/>
  <c r="Z31" i="29"/>
  <c r="T36" i="29"/>
  <c r="Z36" i="29" s="1"/>
  <c r="Z31" i="47"/>
  <c r="T36" i="47"/>
  <c r="Z36" i="47" s="1"/>
  <c r="P80" i="81"/>
  <c r="R77" i="81"/>
  <c r="H82" i="95"/>
  <c r="J79" i="95"/>
  <c r="D36" i="16"/>
  <c r="L31" i="16"/>
  <c r="N56" i="60"/>
  <c r="D36" i="38"/>
  <c r="L31" i="38"/>
  <c r="N26" i="54"/>
  <c r="H31" i="54"/>
  <c r="Z100" i="51"/>
  <c r="T104" i="51"/>
  <c r="V100" i="51"/>
  <c r="T36" i="10"/>
  <c r="Z36" i="10" s="1"/>
  <c r="Z31" i="10"/>
  <c r="L31" i="52"/>
  <c r="D36" i="52"/>
  <c r="Z31" i="31"/>
  <c r="T36" i="31"/>
  <c r="Z36" i="31" s="1"/>
  <c r="N31" i="47"/>
  <c r="H36" i="47"/>
  <c r="N36" i="47" s="1"/>
  <c r="Z31" i="7"/>
  <c r="T36" i="7"/>
  <c r="Z36" i="7" s="1"/>
  <c r="H91" i="74"/>
  <c r="J88" i="74"/>
  <c r="N38" i="55"/>
  <c r="D36" i="23"/>
  <c r="L31" i="23"/>
  <c r="L79" i="93"/>
  <c r="D82" i="93"/>
  <c r="F79" i="93"/>
  <c r="Z73" i="81"/>
  <c r="T77" i="81"/>
  <c r="X77" i="81" s="1"/>
  <c r="V73" i="81"/>
  <c r="N31" i="113"/>
  <c r="H36" i="113"/>
  <c r="N36" i="113" s="1"/>
  <c r="D88" i="74"/>
  <c r="L84" i="74"/>
  <c r="N84" i="74" s="1"/>
  <c r="F84" i="74"/>
  <c r="X31" i="44"/>
  <c r="P36" i="44"/>
  <c r="X31" i="113"/>
  <c r="P36" i="113"/>
  <c r="L100" i="51"/>
  <c r="N100" i="51" s="1"/>
  <c r="V82" i="93"/>
  <c r="N31" i="8"/>
  <c r="H36" i="8"/>
  <c r="N36" i="8" s="1"/>
  <c r="Z31" i="22"/>
  <c r="T36" i="22"/>
  <c r="Z36" i="22" s="1"/>
  <c r="H36" i="38"/>
  <c r="N36" i="38" s="1"/>
  <c r="N31" i="38"/>
  <c r="P45" i="99"/>
  <c r="X41" i="99"/>
  <c r="R41" i="99"/>
  <c r="X31" i="23"/>
  <c r="P36" i="23"/>
  <c r="X31" i="26"/>
  <c r="P36" i="26"/>
  <c r="T65" i="68"/>
  <c r="Z62" i="68"/>
  <c r="H129" i="36"/>
  <c r="N126" i="36"/>
  <c r="J126" i="36"/>
  <c r="N44" i="109"/>
  <c r="T36" i="44"/>
  <c r="Z36" i="44" s="1"/>
  <c r="Z31" i="44"/>
  <c r="D36" i="14"/>
  <c r="L31" i="14"/>
  <c r="D36" i="29"/>
  <c r="L31" i="29"/>
  <c r="P31" i="54"/>
  <c r="X31" i="54" s="1"/>
  <c r="Z31" i="54" s="1"/>
  <c r="X26" i="54"/>
  <c r="L36" i="41" l="1"/>
  <c r="L36" i="112"/>
  <c r="L36" i="16"/>
  <c r="L36" i="43"/>
  <c r="L36" i="29"/>
  <c r="X36" i="23"/>
  <c r="X36" i="25"/>
  <c r="X36" i="14"/>
  <c r="L36" i="26"/>
  <c r="X36" i="5"/>
  <c r="L36" i="25"/>
  <c r="L36" i="37"/>
  <c r="L36" i="10"/>
  <c r="X36" i="113"/>
  <c r="X36" i="38"/>
  <c r="X36" i="35"/>
  <c r="L36" i="52"/>
  <c r="X36" i="8"/>
  <c r="X36" i="19"/>
  <c r="L36" i="49"/>
  <c r="L36" i="4"/>
  <c r="L36" i="113"/>
  <c r="X36" i="44"/>
  <c r="X36" i="26"/>
  <c r="L36" i="23"/>
  <c r="L36" i="11"/>
  <c r="L36" i="19"/>
  <c r="L36" i="7"/>
  <c r="X36" i="13"/>
  <c r="X36" i="16"/>
  <c r="X36" i="53"/>
  <c r="L36" i="14"/>
  <c r="L36" i="35"/>
  <c r="X36" i="111"/>
  <c r="V110" i="21"/>
  <c r="P98" i="33"/>
  <c r="X95" i="33"/>
  <c r="R95" i="33"/>
  <c r="J129" i="36"/>
  <c r="L124" i="42"/>
  <c r="F124" i="42"/>
  <c r="T88" i="98"/>
  <c r="Z85" i="98"/>
  <c r="V85" i="98"/>
  <c r="T91" i="74"/>
  <c r="Z88" i="74"/>
  <c r="V88" i="74"/>
  <c r="X107" i="21"/>
  <c r="Z107" i="21" s="1"/>
  <c r="P110" i="21"/>
  <c r="R107" i="21"/>
  <c r="J94" i="96"/>
  <c r="X152" i="30"/>
  <c r="R152" i="30"/>
  <c r="N100" i="64"/>
  <c r="J78" i="89"/>
  <c r="Z100" i="64"/>
  <c r="L77" i="81"/>
  <c r="N77" i="81" s="1"/>
  <c r="D80" i="81"/>
  <c r="F77" i="81"/>
  <c r="L95" i="33"/>
  <c r="N95" i="33" s="1"/>
  <c r="D98" i="33"/>
  <c r="F95" i="33"/>
  <c r="P91" i="74"/>
  <c r="X88" i="74"/>
  <c r="R88" i="74"/>
  <c r="L29" i="82"/>
  <c r="X78" i="89"/>
  <c r="R78" i="89"/>
  <c r="V89" i="84"/>
  <c r="X89" i="84"/>
  <c r="Z89" i="84" s="1"/>
  <c r="R89" i="84"/>
  <c r="N71" i="79"/>
  <c r="J71" i="79"/>
  <c r="L71" i="79"/>
  <c r="F288" i="18"/>
  <c r="N309" i="3"/>
  <c r="H314" i="3"/>
  <c r="L314" i="3" s="1"/>
  <c r="J309" i="3"/>
  <c r="R94" i="96"/>
  <c r="T92" i="106"/>
  <c r="Z89" i="106"/>
  <c r="V89" i="106"/>
  <c r="N96" i="45"/>
  <c r="H99" i="45"/>
  <c r="J96" i="45"/>
  <c r="N71" i="57"/>
  <c r="H261" i="15"/>
  <c r="L261" i="15" s="1"/>
  <c r="J258" i="15"/>
  <c r="L36" i="38"/>
  <c r="H152" i="30"/>
  <c r="J149" i="30"/>
  <c r="Z69" i="59"/>
  <c r="N285" i="18"/>
  <c r="H288" i="18"/>
  <c r="J285" i="18"/>
  <c r="T270" i="12"/>
  <c r="V267" i="12"/>
  <c r="X36" i="31"/>
  <c r="L97" i="9"/>
  <c r="D68" i="101"/>
  <c r="L68" i="101" s="1"/>
  <c r="N68" i="101" s="1"/>
  <c r="L65" i="101"/>
  <c r="N65" i="101" s="1"/>
  <c r="L36" i="17"/>
  <c r="L36" i="46"/>
  <c r="X36" i="20"/>
  <c r="V74" i="110"/>
  <c r="X36" i="52"/>
  <c r="X82" i="95"/>
  <c r="Z82" i="95" s="1"/>
  <c r="R82" i="95"/>
  <c r="X36" i="32"/>
  <c r="L129" i="36"/>
  <c r="N129" i="36" s="1"/>
  <c r="F129" i="36"/>
  <c r="D89" i="84"/>
  <c r="L86" i="84"/>
  <c r="N86" i="84" s="1"/>
  <c r="F86" i="84"/>
  <c r="L118" i="69"/>
  <c r="D121" i="69"/>
  <c r="F118" i="69"/>
  <c r="J80" i="81"/>
  <c r="V68" i="101"/>
  <c r="D125" i="85"/>
  <c r="L122" i="85"/>
  <c r="N122" i="85" s="1"/>
  <c r="F122" i="85"/>
  <c r="T75" i="80"/>
  <c r="V72" i="80"/>
  <c r="X72" i="80"/>
  <c r="Z72" i="80" s="1"/>
  <c r="L31" i="6"/>
  <c r="N31" i="6" s="1"/>
  <c r="N33" i="83"/>
  <c r="H36" i="83"/>
  <c r="J33" i="83"/>
  <c r="T125" i="85"/>
  <c r="V122" i="85"/>
  <c r="J74" i="110"/>
  <c r="F86" i="73"/>
  <c r="L36" i="44"/>
  <c r="N92" i="106"/>
  <c r="J92" i="106"/>
  <c r="X36" i="17"/>
  <c r="V123" i="27"/>
  <c r="J98" i="33"/>
  <c r="D152" i="30"/>
  <c r="L149" i="30"/>
  <c r="N149" i="30" s="1"/>
  <c r="F149" i="30"/>
  <c r="X74" i="110"/>
  <c r="Z74" i="110" s="1"/>
  <c r="R74" i="110"/>
  <c r="H270" i="12"/>
  <c r="N267" i="12"/>
  <c r="J267" i="12"/>
  <c r="X36" i="46"/>
  <c r="Z50" i="100"/>
  <c r="J88" i="98"/>
  <c r="T76" i="76"/>
  <c r="Z73" i="76"/>
  <c r="V73" i="76"/>
  <c r="L134" i="24"/>
  <c r="F134" i="24"/>
  <c r="H134" i="24"/>
  <c r="N131" i="24"/>
  <c r="J131" i="24"/>
  <c r="L74" i="48"/>
  <c r="F74" i="48"/>
  <c r="X68" i="101"/>
  <c r="Z68" i="101" s="1"/>
  <c r="R68" i="101"/>
  <c r="X285" i="18"/>
  <c r="Z285" i="18" s="1"/>
  <c r="P288" i="18"/>
  <c r="R285" i="18"/>
  <c r="L79" i="95"/>
  <c r="N79" i="95" s="1"/>
  <c r="D82" i="95"/>
  <c r="F79" i="95"/>
  <c r="X36" i="22"/>
  <c r="Z37" i="86"/>
  <c r="V37" i="86"/>
  <c r="X37" i="86"/>
  <c r="T134" i="24"/>
  <c r="V131" i="24"/>
  <c r="N83" i="73"/>
  <c r="H86" i="73"/>
  <c r="J83" i="73"/>
  <c r="F314" i="3"/>
  <c r="L83" i="73"/>
  <c r="Z89" i="102"/>
  <c r="V89" i="102"/>
  <c r="T124" i="42"/>
  <c r="V121" i="42"/>
  <c r="Z118" i="69"/>
  <c r="T121" i="69"/>
  <c r="V118" i="69"/>
  <c r="L36" i="40"/>
  <c r="D56" i="105"/>
  <c r="L53" i="105"/>
  <c r="F53" i="105"/>
  <c r="J107" i="77"/>
  <c r="L36" i="111"/>
  <c r="X99" i="45"/>
  <c r="Z99" i="45" s="1"/>
  <c r="R99" i="45"/>
  <c r="Z57" i="103"/>
  <c r="X118" i="69"/>
  <c r="P121" i="69"/>
  <c r="R118" i="69"/>
  <c r="L50" i="100"/>
  <c r="N50" i="100" s="1"/>
  <c r="L36" i="34"/>
  <c r="D123" i="27"/>
  <c r="L120" i="27"/>
  <c r="F120" i="27"/>
  <c r="X92" i="106"/>
  <c r="R92" i="106"/>
  <c r="X36" i="112"/>
  <c r="H110" i="21"/>
  <c r="N107" i="21"/>
  <c r="J107" i="21"/>
  <c r="Z74" i="48"/>
  <c r="V74" i="48"/>
  <c r="L78" i="58"/>
  <c r="N78" i="58" s="1"/>
  <c r="X74" i="48"/>
  <c r="R74" i="48"/>
  <c r="X121" i="42"/>
  <c r="Z121" i="42" s="1"/>
  <c r="P124" i="42"/>
  <c r="R121" i="42"/>
  <c r="X74" i="94"/>
  <c r="Z74" i="94" s="1"/>
  <c r="R74" i="94"/>
  <c r="X111" i="75"/>
  <c r="P114" i="75"/>
  <c r="R111" i="75"/>
  <c r="X36" i="43"/>
  <c r="X36" i="7"/>
  <c r="X75" i="70"/>
  <c r="R75" i="70"/>
  <c r="X36" i="37"/>
  <c r="P36" i="83"/>
  <c r="X33" i="83"/>
  <c r="Z33" i="83" s="1"/>
  <c r="R33" i="83"/>
  <c r="L36" i="31"/>
  <c r="L33" i="83"/>
  <c r="D36" i="83"/>
  <c r="F33" i="83"/>
  <c r="D91" i="74"/>
  <c r="L88" i="74"/>
  <c r="N88" i="74" s="1"/>
  <c r="F88" i="74"/>
  <c r="P71" i="79"/>
  <c r="X68" i="79"/>
  <c r="Z68" i="79" s="1"/>
  <c r="R68" i="79"/>
  <c r="X90" i="104"/>
  <c r="Z90" i="104" s="1"/>
  <c r="R90" i="104"/>
  <c r="X131" i="24"/>
  <c r="Z131" i="24" s="1"/>
  <c r="P134" i="24"/>
  <c r="R131" i="24"/>
  <c r="V56" i="105"/>
  <c r="V90" i="104"/>
  <c r="X36" i="29"/>
  <c r="X36" i="34"/>
  <c r="L48" i="99"/>
  <c r="F48" i="99"/>
  <c r="R107" i="77"/>
  <c r="V314" i="3"/>
  <c r="V36" i="83"/>
  <c r="L31" i="54"/>
  <c r="L36" i="28"/>
  <c r="L69" i="59"/>
  <c r="N69" i="59" s="1"/>
  <c r="D89" i="88"/>
  <c r="L86" i="88"/>
  <c r="N86" i="88" s="1"/>
  <c r="F86" i="88"/>
  <c r="L104" i="77"/>
  <c r="N104" i="77" s="1"/>
  <c r="D107" i="77"/>
  <c r="F104" i="77"/>
  <c r="X82" i="93"/>
  <c r="Z82" i="93" s="1"/>
  <c r="R82" i="93"/>
  <c r="H121" i="69"/>
  <c r="N118" i="69"/>
  <c r="J118" i="69"/>
  <c r="D136" i="39"/>
  <c r="L133" i="39"/>
  <c r="F133" i="39"/>
  <c r="F76" i="76"/>
  <c r="V288" i="18"/>
  <c r="X36" i="49"/>
  <c r="L36" i="13"/>
  <c r="Z152" i="30"/>
  <c r="V152" i="30"/>
  <c r="P122" i="71"/>
  <c r="X119" i="71"/>
  <c r="R119" i="71"/>
  <c r="L36" i="22"/>
  <c r="Z119" i="71"/>
  <c r="T122" i="71"/>
  <c r="V119" i="71"/>
  <c r="P76" i="76"/>
  <c r="X73" i="76"/>
  <c r="R73" i="76"/>
  <c r="D75" i="80"/>
  <c r="L72" i="80"/>
  <c r="N72" i="80" s="1"/>
  <c r="F72" i="80"/>
  <c r="X309" i="3"/>
  <c r="Z309" i="3" s="1"/>
  <c r="P314" i="3"/>
  <c r="R309" i="3"/>
  <c r="N73" i="76"/>
  <c r="H76" i="76"/>
  <c r="J73" i="76"/>
  <c r="N65" i="68"/>
  <c r="J74" i="94"/>
  <c r="J91" i="74"/>
  <c r="J82" i="95"/>
  <c r="L72" i="70"/>
  <c r="N72" i="70" s="1"/>
  <c r="D75" i="70"/>
  <c r="F72" i="70"/>
  <c r="N82" i="93"/>
  <c r="J82" i="93"/>
  <c r="X104" i="51"/>
  <c r="P107" i="51"/>
  <c r="R104" i="51"/>
  <c r="H90" i="104"/>
  <c r="J87" i="104"/>
  <c r="J75" i="80"/>
  <c r="J75" i="70"/>
  <c r="T261" i="15"/>
  <c r="Z258" i="15"/>
  <c r="V258" i="15"/>
  <c r="P261" i="15"/>
  <c r="X258" i="15"/>
  <c r="R258" i="15"/>
  <c r="D37" i="86"/>
  <c r="L34" i="86"/>
  <c r="N34" i="86" s="1"/>
  <c r="F34" i="86"/>
  <c r="L78" i="56"/>
  <c r="X120" i="27"/>
  <c r="Z120" i="27" s="1"/>
  <c r="P123" i="27"/>
  <c r="R120" i="27"/>
  <c r="N91" i="108"/>
  <c r="J91" i="108"/>
  <c r="L91" i="108"/>
  <c r="R91" i="108"/>
  <c r="X267" i="12"/>
  <c r="Z267" i="12" s="1"/>
  <c r="P270" i="12"/>
  <c r="R267" i="12"/>
  <c r="X36" i="28"/>
  <c r="L73" i="76"/>
  <c r="L94" i="96"/>
  <c r="N94" i="96" s="1"/>
  <c r="L89" i="102"/>
  <c r="F89" i="102"/>
  <c r="L36" i="8"/>
  <c r="L82" i="93"/>
  <c r="F82" i="93"/>
  <c r="N94" i="92"/>
  <c r="L74" i="110"/>
  <c r="N74" i="110" s="1"/>
  <c r="F74" i="110"/>
  <c r="Z104" i="51"/>
  <c r="T107" i="51"/>
  <c r="V104" i="51"/>
  <c r="T91" i="108"/>
  <c r="Z88" i="108"/>
  <c r="V88" i="108"/>
  <c r="H114" i="75"/>
  <c r="J111" i="75"/>
  <c r="X133" i="39"/>
  <c r="Z133" i="39" s="1"/>
  <c r="P136" i="39"/>
  <c r="R133" i="39"/>
  <c r="X65" i="68"/>
  <c r="Z65" i="68" s="1"/>
  <c r="F261" i="15"/>
  <c r="X97" i="9"/>
  <c r="Z97" i="9" s="1"/>
  <c r="Z75" i="70"/>
  <c r="V75" i="70"/>
  <c r="N97" i="9"/>
  <c r="N86" i="102"/>
  <c r="H89" i="102"/>
  <c r="J86" i="102"/>
  <c r="X36" i="11"/>
  <c r="Z78" i="56"/>
  <c r="L36" i="50"/>
  <c r="X88" i="108"/>
  <c r="L36" i="32"/>
  <c r="Z89" i="88"/>
  <c r="V89" i="88"/>
  <c r="T98" i="33"/>
  <c r="Z95" i="33"/>
  <c r="V95" i="33"/>
  <c r="L96" i="45"/>
  <c r="D99" i="45"/>
  <c r="F96" i="45"/>
  <c r="T78" i="89"/>
  <c r="Z75" i="89"/>
  <c r="V75" i="89"/>
  <c r="L36" i="47"/>
  <c r="L36" i="53"/>
  <c r="X36" i="41"/>
  <c r="L86" i="102"/>
  <c r="N120" i="27"/>
  <c r="H123" i="27"/>
  <c r="J120" i="27"/>
  <c r="J89" i="88"/>
  <c r="L74" i="94"/>
  <c r="N74" i="94" s="1"/>
  <c r="F74" i="94"/>
  <c r="F107" i="51"/>
  <c r="X56" i="105"/>
  <c r="Z56" i="105" s="1"/>
  <c r="R56" i="105"/>
  <c r="V71" i="79"/>
  <c r="X45" i="99"/>
  <c r="P48" i="99"/>
  <c r="R45" i="99"/>
  <c r="Z77" i="81"/>
  <c r="T80" i="81"/>
  <c r="V77" i="81"/>
  <c r="X80" i="81"/>
  <c r="R80" i="81"/>
  <c r="H122" i="71"/>
  <c r="N119" i="71"/>
  <c r="J119" i="71"/>
  <c r="V136" i="39"/>
  <c r="L78" i="89"/>
  <c r="N78" i="89" s="1"/>
  <c r="F78" i="89"/>
  <c r="H125" i="85"/>
  <c r="J122" i="85"/>
  <c r="N74" i="48"/>
  <c r="J74" i="48"/>
  <c r="L258" i="15"/>
  <c r="N258" i="15" s="1"/>
  <c r="L36" i="5"/>
  <c r="N104" i="51"/>
  <c r="H107" i="51"/>
  <c r="L107" i="51" s="1"/>
  <c r="J104" i="51"/>
  <c r="L87" i="104"/>
  <c r="N87" i="104" s="1"/>
  <c r="D90" i="104"/>
  <c r="F87" i="104"/>
  <c r="R129" i="36"/>
  <c r="J89" i="84"/>
  <c r="T129" i="36"/>
  <c r="X129" i="36" s="1"/>
  <c r="Z126" i="36"/>
  <c r="V126" i="36"/>
  <c r="L92" i="106"/>
  <c r="F92" i="106"/>
  <c r="L119" i="71"/>
  <c r="D122" i="71"/>
  <c r="F119" i="71"/>
  <c r="X83" i="73"/>
  <c r="P86" i="73"/>
  <c r="R83" i="73"/>
  <c r="X36" i="10"/>
  <c r="X36" i="40"/>
  <c r="N121" i="42"/>
  <c r="H124" i="42"/>
  <c r="J121" i="42"/>
  <c r="D110" i="21"/>
  <c r="L107" i="21"/>
  <c r="F107" i="21"/>
  <c r="L88" i="98"/>
  <c r="N88" i="98" s="1"/>
  <c r="F88" i="98"/>
  <c r="N133" i="39"/>
  <c r="H136" i="39"/>
  <c r="J133" i="39"/>
  <c r="X85" i="98"/>
  <c r="P88" i="98"/>
  <c r="R85" i="98"/>
  <c r="N31" i="54"/>
  <c r="N78" i="56"/>
  <c r="Z91" i="96"/>
  <c r="T94" i="96"/>
  <c r="V91" i="96"/>
  <c r="X36" i="47"/>
  <c r="T86" i="73"/>
  <c r="Z83" i="73"/>
  <c r="V83" i="73"/>
  <c r="T107" i="77"/>
  <c r="X107" i="77" s="1"/>
  <c r="Z104" i="77"/>
  <c r="V104" i="77"/>
  <c r="Z111" i="75"/>
  <c r="T114" i="75"/>
  <c r="V111" i="75"/>
  <c r="X36" i="50"/>
  <c r="Z78" i="58"/>
  <c r="N53" i="105"/>
  <c r="H56" i="105"/>
  <c r="J53" i="105"/>
  <c r="X89" i="102"/>
  <c r="D270" i="12"/>
  <c r="L267" i="12"/>
  <c r="F267" i="12"/>
  <c r="D114" i="75"/>
  <c r="L111" i="75"/>
  <c r="N111" i="75" s="1"/>
  <c r="F111" i="75"/>
  <c r="X89" i="88"/>
  <c r="P125" i="85"/>
  <c r="X122" i="85"/>
  <c r="Z122" i="85" s="1"/>
  <c r="R122" i="85"/>
  <c r="L36" i="20"/>
  <c r="X78" i="58"/>
  <c r="X36" i="4"/>
  <c r="N122" i="71" l="1"/>
  <c r="J122" i="71"/>
  <c r="V91" i="108"/>
  <c r="V261" i="15"/>
  <c r="V122" i="71"/>
  <c r="L107" i="77"/>
  <c r="N107" i="77" s="1"/>
  <c r="F107" i="77"/>
  <c r="L91" i="74"/>
  <c r="N91" i="74" s="1"/>
  <c r="F91" i="74"/>
  <c r="X123" i="27"/>
  <c r="Z123" i="27" s="1"/>
  <c r="R123" i="27"/>
  <c r="J270" i="12"/>
  <c r="X125" i="85"/>
  <c r="R125" i="85"/>
  <c r="X86" i="73"/>
  <c r="R86" i="73"/>
  <c r="V107" i="51"/>
  <c r="L75" i="70"/>
  <c r="N75" i="70" s="1"/>
  <c r="F75" i="70"/>
  <c r="X134" i="24"/>
  <c r="Z134" i="24" s="1"/>
  <c r="R134" i="24"/>
  <c r="L36" i="83"/>
  <c r="F36" i="83"/>
  <c r="X114" i="75"/>
  <c r="R114" i="75"/>
  <c r="X121" i="69"/>
  <c r="Z121" i="69" s="1"/>
  <c r="R121" i="69"/>
  <c r="L56" i="105"/>
  <c r="F56" i="105"/>
  <c r="L82" i="95"/>
  <c r="N82" i="95" s="1"/>
  <c r="F82" i="95"/>
  <c r="L121" i="69"/>
  <c r="N121" i="69" s="1"/>
  <c r="F121" i="69"/>
  <c r="V94" i="96"/>
  <c r="X314" i="3"/>
  <c r="Z314" i="3" s="1"/>
  <c r="R314" i="3"/>
  <c r="N288" i="18"/>
  <c r="J288" i="18"/>
  <c r="L288" i="18"/>
  <c r="Z80" i="81"/>
  <c r="V80" i="81"/>
  <c r="Z78" i="89"/>
  <c r="V78" i="89"/>
  <c r="L136" i="39"/>
  <c r="F136" i="39"/>
  <c r="J110" i="21"/>
  <c r="J86" i="73"/>
  <c r="L86" i="73"/>
  <c r="N86" i="73" s="1"/>
  <c r="J99" i="45"/>
  <c r="X91" i="74"/>
  <c r="Z91" i="74" s="1"/>
  <c r="R91" i="74"/>
  <c r="Z88" i="98"/>
  <c r="V88" i="98"/>
  <c r="L122" i="71"/>
  <c r="F122" i="71"/>
  <c r="V121" i="69"/>
  <c r="X288" i="18"/>
  <c r="Z288" i="18" s="1"/>
  <c r="R288" i="18"/>
  <c r="V75" i="80"/>
  <c r="X75" i="80"/>
  <c r="Z75" i="80" s="1"/>
  <c r="N136" i="39"/>
  <c r="J136" i="39"/>
  <c r="L110" i="21"/>
  <c r="N110" i="21" s="1"/>
  <c r="F110" i="21"/>
  <c r="V76" i="76"/>
  <c r="Z114" i="75"/>
  <c r="V114" i="75"/>
  <c r="X136" i="39"/>
  <c r="Z136" i="39" s="1"/>
  <c r="R136" i="39"/>
  <c r="L89" i="88"/>
  <c r="N89" i="88" s="1"/>
  <c r="F89" i="88"/>
  <c r="L37" i="86"/>
  <c r="N37" i="86" s="1"/>
  <c r="F37" i="86"/>
  <c r="L152" i="30"/>
  <c r="F152" i="30"/>
  <c r="X48" i="99"/>
  <c r="R48" i="99"/>
  <c r="N89" i="102"/>
  <c r="J89" i="102"/>
  <c r="X36" i="83"/>
  <c r="Z36" i="83" s="1"/>
  <c r="R36" i="83"/>
  <c r="X88" i="98"/>
  <c r="R88" i="98"/>
  <c r="N124" i="42"/>
  <c r="J124" i="42"/>
  <c r="J123" i="27"/>
  <c r="J114" i="75"/>
  <c r="X91" i="108"/>
  <c r="Z91" i="108" s="1"/>
  <c r="X71" i="79"/>
  <c r="Z71" i="79" s="1"/>
  <c r="R71" i="79"/>
  <c r="V134" i="24"/>
  <c r="L125" i="85"/>
  <c r="F125" i="85"/>
  <c r="N152" i="30"/>
  <c r="J152" i="30"/>
  <c r="Z92" i="106"/>
  <c r="V92" i="106"/>
  <c r="X110" i="21"/>
  <c r="Z110" i="21" s="1"/>
  <c r="R110" i="21"/>
  <c r="X122" i="71"/>
  <c r="Z122" i="71" s="1"/>
  <c r="R122" i="71"/>
  <c r="J121" i="69"/>
  <c r="N107" i="51"/>
  <c r="J107" i="51"/>
  <c r="X261" i="15"/>
  <c r="Z261" i="15" s="1"/>
  <c r="R261" i="15"/>
  <c r="X107" i="51"/>
  <c r="Z107" i="51" s="1"/>
  <c r="R107" i="51"/>
  <c r="V124" i="42"/>
  <c r="Z125" i="85"/>
  <c r="V125" i="85"/>
  <c r="L80" i="81"/>
  <c r="N80" i="81" s="1"/>
  <c r="F80" i="81"/>
  <c r="N125" i="85"/>
  <c r="J125" i="85"/>
  <c r="X270" i="12"/>
  <c r="Z270" i="12" s="1"/>
  <c r="R270" i="12"/>
  <c r="L114" i="75"/>
  <c r="N114" i="75" s="1"/>
  <c r="F114" i="75"/>
  <c r="L90" i="104"/>
  <c r="F90" i="104"/>
  <c r="L99" i="45"/>
  <c r="N99" i="45" s="1"/>
  <c r="F99" i="45"/>
  <c r="N90" i="104"/>
  <c r="J90" i="104"/>
  <c r="L89" i="84"/>
  <c r="N89" i="84" s="1"/>
  <c r="F89" i="84"/>
  <c r="L98" i="33"/>
  <c r="N98" i="33" s="1"/>
  <c r="F98" i="33"/>
  <c r="L75" i="80"/>
  <c r="N75" i="80" s="1"/>
  <c r="F75" i="80"/>
  <c r="X124" i="42"/>
  <c r="Z124" i="42" s="1"/>
  <c r="R124" i="42"/>
  <c r="L270" i="12"/>
  <c r="N270" i="12" s="1"/>
  <c r="F270" i="12"/>
  <c r="Z107" i="77"/>
  <c r="V107" i="77"/>
  <c r="Z98" i="33"/>
  <c r="V98" i="33"/>
  <c r="X76" i="76"/>
  <c r="Z76" i="76" s="1"/>
  <c r="R76" i="76"/>
  <c r="L123" i="27"/>
  <c r="N123" i="27" s="1"/>
  <c r="F123" i="27"/>
  <c r="X94" i="96"/>
  <c r="Z94" i="96" s="1"/>
  <c r="N36" i="83"/>
  <c r="J36" i="83"/>
  <c r="X98" i="33"/>
  <c r="R98" i="33"/>
  <c r="Z129" i="36"/>
  <c r="V129" i="36"/>
  <c r="N56" i="105"/>
  <c r="J56" i="105"/>
  <c r="J76" i="76"/>
  <c r="V270" i="12"/>
  <c r="N261" i="15"/>
  <c r="J261" i="15"/>
  <c r="N314" i="3"/>
  <c r="J314" i="3"/>
  <c r="V91" i="74"/>
  <c r="Z86" i="73"/>
  <c r="V86" i="73"/>
  <c r="L76" i="76"/>
  <c r="N76" i="76" s="1"/>
  <c r="N134" i="24"/>
  <c r="J134" i="24"/>
</calcChain>
</file>

<file path=xl/sharedStrings.xml><?xml version="1.0" encoding="utf-8"?>
<sst xmlns="http://schemas.openxmlformats.org/spreadsheetml/2006/main" count="2948" uniqueCount="314">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</sst>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7" fontId="2" fillId="2" borderId="1" xfId="3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7" fontId="2" fillId="2" borderId="3" xfId="3" applyNumberFormat="1" applyFont="1" applyFill="1" applyBorder="1"/>
    <xf numFmtId="167" fontId="2" fillId="0" borderId="0" xfId="3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167" fontId="0" fillId="0" borderId="0" xfId="3" applyNumberFormat="1" applyFont="1" applyAlignment="1">
      <alignment horizontal="centerContinuous"/>
    </xf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Continuous"/>
    </xf>
    <xf numFmtId="49" fontId="2" fillId="0" borderId="0" xfId="0" applyNumberFormat="1" applyFont="1" applyFill="1"/>
    <xf numFmtId="165" fontId="0" fillId="0" borderId="0" xfId="0" applyNumberFormat="1"/>
    <xf numFmtId="0" fontId="3" fillId="0" borderId="0" xfId="0" applyFont="1" applyFill="1"/>
    <xf numFmtId="164" fontId="2" fillId="0" borderId="0" xfId="1" applyNumberFormat="1" applyFont="1" applyFill="1" applyAlignment="1">
      <alignment horizontal="centerContinuous"/>
    </xf>
    <xf numFmtId="0" fontId="0" fillId="0" borderId="0" xfId="0" applyBorder="1"/>
    <xf numFmtId="0" fontId="4" fillId="0" borderId="0" xfId="0" applyFont="1" applyAlignment="1">
      <alignment horizontal="left"/>
    </xf>
    <xf numFmtId="0" fontId="5" fillId="0" borderId="0" xfId="0" applyFont="1"/>
    <xf numFmtId="0" fontId="2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Fill="1" applyBorder="1"/>
    <xf numFmtId="166" fontId="4" fillId="0" borderId="0" xfId="0" applyNumberFormat="1" applyFont="1" applyAlignment="1">
      <alignment horizontal="left"/>
    </xf>
    <xf numFmtId="0" fontId="0" fillId="0" borderId="0" xfId="0" applyFill="1" applyAlignment="1">
      <alignment horizontal="centerContinuous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309098.71000000008</v>
      </c>
      <c r="E18" s="20"/>
      <c r="F18" s="35">
        <f t="shared" ref="F18:F30" si="0">IF(D$12=0,0,D18/D$12)</f>
        <v>0</v>
      </c>
      <c r="G18" s="20"/>
      <c r="H18" s="20">
        <f>SUM(OSRRefH22x_0)</f>
        <v>369606.28999999992</v>
      </c>
      <c r="I18" s="20"/>
      <c r="J18" s="35">
        <f t="shared" ref="J18:J30" si="1">IF(H$12=0,0,H18/H$12)</f>
        <v>0</v>
      </c>
      <c r="K18" s="4"/>
      <c r="L18" s="20">
        <f t="shared" ref="L18:L30" si="2">+D18-H18</f>
        <v>-60507.579999999842</v>
      </c>
      <c r="M18" s="4"/>
      <c r="N18" s="35">
        <f t="shared" ref="N18:N30" si="3">IF(H18=0,0,L18/H18)</f>
        <v>-0.16370819879715753</v>
      </c>
      <c r="O18" s="10"/>
      <c r="P18" s="20">
        <f>SUM(OSRRefP22x_0)</f>
        <v>1354656.5099999995</v>
      </c>
      <c r="Q18" s="20"/>
      <c r="R18" s="35">
        <f t="shared" ref="R18:R30" si="4">IF(P$12=0,0,P18/P$12)</f>
        <v>0</v>
      </c>
      <c r="S18" s="20"/>
      <c r="T18" s="20">
        <f>SUM(OSRRefT22x_0)</f>
        <v>1261277.4599999997</v>
      </c>
      <c r="U18" s="20"/>
      <c r="V18" s="35">
        <f t="shared" ref="V18:V30" si="5">IF(T$12=0,0,T18/T$12)</f>
        <v>0</v>
      </c>
      <c r="W18" s="4"/>
      <c r="X18" s="20">
        <f t="shared" ref="X18:X30" si="6">+P18-T18</f>
        <v>93379.049999999814</v>
      </c>
      <c r="Y18" s="4"/>
      <c r="Z18" s="35">
        <f t="shared" ref="Z18:Z30" si="7">IF(T18=0,0,X18/T18)</f>
        <v>7.403529592925559E-2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105845.59</v>
      </c>
      <c r="E19" s="1"/>
      <c r="F19" s="5">
        <f t="shared" si="0"/>
        <v>0</v>
      </c>
      <c r="G19" s="1"/>
      <c r="H19" s="1">
        <f>SUM(OSRRefH22_0x_0)</f>
        <v>135945.22</v>
      </c>
      <c r="I19" s="1"/>
      <c r="J19" s="5">
        <f t="shared" si="1"/>
        <v>0</v>
      </c>
      <c r="K19" s="1"/>
      <c r="L19" s="1">
        <f t="shared" si="2"/>
        <v>-30099.630000000005</v>
      </c>
      <c r="M19" s="1"/>
      <c r="N19" s="5">
        <f t="shared" si="3"/>
        <v>-0.22140999146568011</v>
      </c>
      <c r="O19" s="13"/>
      <c r="P19" s="1">
        <f>SUM(OSRRefP22_0x_0)</f>
        <v>393129</v>
      </c>
      <c r="Q19" s="1"/>
      <c r="R19" s="5">
        <f t="shared" si="4"/>
        <v>0</v>
      </c>
      <c r="S19" s="1"/>
      <c r="T19" s="1">
        <f>SUM(OSRRefT22_0x_0)</f>
        <v>426769.26</v>
      </c>
      <c r="U19" s="1"/>
      <c r="V19" s="5">
        <f t="shared" si="5"/>
        <v>0</v>
      </c>
      <c r="W19" s="1"/>
      <c r="X19" s="1">
        <f t="shared" si="6"/>
        <v>-33640.260000000009</v>
      </c>
      <c r="Y19" s="1"/>
      <c r="Z19" s="5">
        <f t="shared" si="7"/>
        <v>-7.882540555990375E-2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18234.75</v>
      </c>
      <c r="E20" s="2"/>
      <c r="F20" s="7">
        <f t="shared" si="0"/>
        <v>0</v>
      </c>
      <c r="G20" s="2"/>
      <c r="H20" s="6">
        <v>17417.18</v>
      </c>
      <c r="I20" s="2"/>
      <c r="J20" s="7">
        <f t="shared" si="1"/>
        <v>0</v>
      </c>
      <c r="K20" s="2"/>
      <c r="L20" s="6">
        <f t="shared" si="2"/>
        <v>817.56999999999971</v>
      </c>
      <c r="M20" s="2"/>
      <c r="N20" s="7">
        <f t="shared" si="3"/>
        <v>4.6940434674269872E-2</v>
      </c>
      <c r="O20" s="11"/>
      <c r="P20" s="6">
        <v>45125.66</v>
      </c>
      <c r="Q20" s="2"/>
      <c r="R20" s="7">
        <f t="shared" si="4"/>
        <v>0</v>
      </c>
      <c r="S20" s="2"/>
      <c r="T20" s="6">
        <v>44382.559999999998</v>
      </c>
      <c r="U20" s="2"/>
      <c r="V20" s="7">
        <f t="shared" si="5"/>
        <v>0</v>
      </c>
      <c r="W20" s="2"/>
      <c r="X20" s="6">
        <f t="shared" si="6"/>
        <v>743.10000000000582</v>
      </c>
      <c r="Y20" s="2"/>
      <c r="Z20" s="7">
        <f t="shared" si="7"/>
        <v>1.674306304097839E-2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206.18</v>
      </c>
      <c r="E21" s="2"/>
      <c r="F21" s="7">
        <f t="shared" si="0"/>
        <v>0</v>
      </c>
      <c r="G21" s="2"/>
      <c r="H21" s="6">
        <v>1438.04</v>
      </c>
      <c r="I21" s="2"/>
      <c r="J21" s="7">
        <f t="shared" si="1"/>
        <v>0</v>
      </c>
      <c r="K21" s="2"/>
      <c r="L21" s="6">
        <f t="shared" si="2"/>
        <v>-1231.8599999999999</v>
      </c>
      <c r="M21" s="2"/>
      <c r="N21" s="7">
        <f t="shared" si="3"/>
        <v>-0.85662429417818697</v>
      </c>
      <c r="O21" s="11"/>
      <c r="P21" s="6">
        <v>2308.4699999999998</v>
      </c>
      <c r="Q21" s="2"/>
      <c r="R21" s="7">
        <f t="shared" si="4"/>
        <v>0</v>
      </c>
      <c r="S21" s="2"/>
      <c r="T21" s="6">
        <v>2798.68</v>
      </c>
      <c r="U21" s="2"/>
      <c r="V21" s="7">
        <f t="shared" si="5"/>
        <v>0</v>
      </c>
      <c r="W21" s="2"/>
      <c r="X21" s="6">
        <f t="shared" si="6"/>
        <v>-490.21000000000004</v>
      </c>
      <c r="Y21" s="2"/>
      <c r="Z21" s="7">
        <f t="shared" si="7"/>
        <v>-0.1751575742850201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22318.02</v>
      </c>
      <c r="E22" s="2"/>
      <c r="F22" s="7">
        <f t="shared" si="0"/>
        <v>0</v>
      </c>
      <c r="G22" s="2"/>
      <c r="H22" s="6">
        <v>29106.240000000002</v>
      </c>
      <c r="I22" s="2"/>
      <c r="J22" s="7">
        <f t="shared" si="1"/>
        <v>0</v>
      </c>
      <c r="K22" s="2"/>
      <c r="L22" s="6">
        <f t="shared" si="2"/>
        <v>-6788.2200000000012</v>
      </c>
      <c r="M22" s="2"/>
      <c r="N22" s="7">
        <f t="shared" si="3"/>
        <v>-0.23322215442461824</v>
      </c>
      <c r="O22" s="11"/>
      <c r="P22" s="6">
        <v>90678.55</v>
      </c>
      <c r="Q22" s="2"/>
      <c r="R22" s="7">
        <f t="shared" si="4"/>
        <v>0</v>
      </c>
      <c r="S22" s="2"/>
      <c r="T22" s="6">
        <v>97898.01999999999</v>
      </c>
      <c r="U22" s="2"/>
      <c r="V22" s="7">
        <f t="shared" si="5"/>
        <v>0</v>
      </c>
      <c r="W22" s="2"/>
      <c r="X22" s="6">
        <f t="shared" si="6"/>
        <v>-7219.4699999999866</v>
      </c>
      <c r="Y22" s="2"/>
      <c r="Z22" s="7">
        <f t="shared" si="7"/>
        <v>-7.3744800967373875E-2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805.49</v>
      </c>
      <c r="E23" s="2"/>
      <c r="F23" s="7">
        <f t="shared" si="0"/>
        <v>0</v>
      </c>
      <c r="G23" s="2"/>
      <c r="H23" s="6">
        <v>625.74</v>
      </c>
      <c r="I23" s="2"/>
      <c r="J23" s="7">
        <f t="shared" si="1"/>
        <v>0</v>
      </c>
      <c r="K23" s="2"/>
      <c r="L23" s="6">
        <f t="shared" si="2"/>
        <v>179.75</v>
      </c>
      <c r="M23" s="2"/>
      <c r="N23" s="7">
        <f t="shared" si="3"/>
        <v>0.28725988429699234</v>
      </c>
      <c r="O23" s="11"/>
      <c r="P23" s="6">
        <v>1787.77</v>
      </c>
      <c r="Q23" s="2"/>
      <c r="R23" s="7">
        <f t="shared" si="4"/>
        <v>0</v>
      </c>
      <c r="S23" s="2"/>
      <c r="T23" s="6">
        <v>1733.87</v>
      </c>
      <c r="U23" s="2"/>
      <c r="V23" s="7">
        <f t="shared" si="5"/>
        <v>0</v>
      </c>
      <c r="W23" s="2"/>
      <c r="X23" s="6">
        <f t="shared" si="6"/>
        <v>53.900000000000091</v>
      </c>
      <c r="Y23" s="2"/>
      <c r="Z23" s="7">
        <f t="shared" si="7"/>
        <v>3.1086528978527855E-2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15463.6</v>
      </c>
      <c r="E24" s="2"/>
      <c r="F24" s="7">
        <f t="shared" si="0"/>
        <v>0</v>
      </c>
      <c r="G24" s="2"/>
      <c r="H24" s="6">
        <v>16100.58</v>
      </c>
      <c r="I24" s="2"/>
      <c r="J24" s="7">
        <f t="shared" si="1"/>
        <v>0</v>
      </c>
      <c r="K24" s="2"/>
      <c r="L24" s="6">
        <f t="shared" si="2"/>
        <v>-636.97999999999956</v>
      </c>
      <c r="M24" s="2"/>
      <c r="N24" s="7">
        <f t="shared" si="3"/>
        <v>-3.9562549920561844E-2</v>
      </c>
      <c r="O24" s="11"/>
      <c r="P24" s="6">
        <v>39941.870000000003</v>
      </c>
      <c r="Q24" s="2"/>
      <c r="R24" s="7">
        <f t="shared" si="4"/>
        <v>0</v>
      </c>
      <c r="S24" s="2"/>
      <c r="T24" s="6">
        <v>44177.950000000004</v>
      </c>
      <c r="U24" s="2"/>
      <c r="V24" s="7">
        <f t="shared" si="5"/>
        <v>0</v>
      </c>
      <c r="W24" s="2"/>
      <c r="X24" s="6">
        <f t="shared" si="6"/>
        <v>-4236.0800000000017</v>
      </c>
      <c r="Y24" s="2"/>
      <c r="Z24" s="7">
        <f t="shared" si="7"/>
        <v>-9.5886748932442575E-2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1971.94</v>
      </c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-479.46000000000004</v>
      </c>
      <c r="Y25" s="2"/>
      <c r="Z25" s="7">
        <f t="shared" si="7"/>
        <v>-0.19558619564330587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858.87</v>
      </c>
      <c r="E26" s="2"/>
      <c r="F26" s="7">
        <f t="shared" si="0"/>
        <v>0</v>
      </c>
      <c r="G26" s="2"/>
      <c r="H26" s="6">
        <v>217.38</v>
      </c>
      <c r="I26" s="2"/>
      <c r="J26" s="7">
        <f t="shared" si="1"/>
        <v>0</v>
      </c>
      <c r="K26" s="2"/>
      <c r="L26" s="6">
        <f t="shared" si="2"/>
        <v>641.49</v>
      </c>
      <c r="M26" s="2"/>
      <c r="N26" s="7">
        <f t="shared" si="3"/>
        <v>2.951007452387524</v>
      </c>
      <c r="O26" s="11"/>
      <c r="P26" s="6">
        <v>3493.74</v>
      </c>
      <c r="Q26" s="2"/>
      <c r="R26" s="7">
        <f t="shared" si="4"/>
        <v>0</v>
      </c>
      <c r="S26" s="2"/>
      <c r="T26" s="6">
        <v>980.94</v>
      </c>
      <c r="U26" s="2"/>
      <c r="V26" s="7">
        <f t="shared" si="5"/>
        <v>0</v>
      </c>
      <c r="W26" s="2"/>
      <c r="X26" s="6">
        <f t="shared" si="6"/>
        <v>2512.7999999999997</v>
      </c>
      <c r="Y26" s="2"/>
      <c r="Z26" s="7">
        <f t="shared" si="7"/>
        <v>2.561624564193528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10007.4</v>
      </c>
      <c r="E27" s="2"/>
      <c r="F27" s="7">
        <f t="shared" si="0"/>
        <v>0</v>
      </c>
      <c r="G27" s="2"/>
      <c r="H27" s="6">
        <v>16658.150000000001</v>
      </c>
      <c r="I27" s="2"/>
      <c r="J27" s="7">
        <f t="shared" si="1"/>
        <v>0</v>
      </c>
      <c r="K27" s="2"/>
      <c r="L27" s="6">
        <f t="shared" si="2"/>
        <v>-6650.7500000000018</v>
      </c>
      <c r="M27" s="2"/>
      <c r="N27" s="7">
        <f t="shared" si="3"/>
        <v>-0.39924901624730247</v>
      </c>
      <c r="O27" s="11"/>
      <c r="P27" s="6">
        <v>41393.15</v>
      </c>
      <c r="Q27" s="2"/>
      <c r="R27" s="7">
        <f t="shared" si="4"/>
        <v>0</v>
      </c>
      <c r="S27" s="2"/>
      <c r="T27" s="6">
        <v>44454.39</v>
      </c>
      <c r="U27" s="2"/>
      <c r="V27" s="7">
        <f t="shared" si="5"/>
        <v>0</v>
      </c>
      <c r="W27" s="2"/>
      <c r="X27" s="6">
        <f t="shared" si="6"/>
        <v>-3061.239999999998</v>
      </c>
      <c r="Y27" s="2"/>
      <c r="Z27" s="7">
        <f t="shared" si="7"/>
        <v>-6.8862490296233911E-2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6337.59</v>
      </c>
      <c r="E28" s="2"/>
      <c r="F28" s="7">
        <f t="shared" si="0"/>
        <v>0</v>
      </c>
      <c r="G28" s="2"/>
      <c r="H28" s="6">
        <v>12010.1</v>
      </c>
      <c r="I28" s="2"/>
      <c r="J28" s="7">
        <f t="shared" si="1"/>
        <v>0</v>
      </c>
      <c r="K28" s="2"/>
      <c r="L28" s="6">
        <f t="shared" si="2"/>
        <v>-5672.51</v>
      </c>
      <c r="M28" s="2"/>
      <c r="N28" s="7">
        <f t="shared" si="3"/>
        <v>-0.47231163770493167</v>
      </c>
      <c r="O28" s="11"/>
      <c r="P28" s="6">
        <v>39326.18</v>
      </c>
      <c r="Q28" s="2"/>
      <c r="R28" s="7">
        <f t="shared" si="4"/>
        <v>0</v>
      </c>
      <c r="S28" s="2"/>
      <c r="T28" s="6">
        <v>34502.700000000004</v>
      </c>
      <c r="U28" s="2"/>
      <c r="V28" s="7">
        <f t="shared" si="5"/>
        <v>0</v>
      </c>
      <c r="W28" s="2"/>
      <c r="X28" s="6">
        <f t="shared" si="6"/>
        <v>4823.4799999999959</v>
      </c>
      <c r="Y28" s="2"/>
      <c r="Z28" s="7">
        <f t="shared" si="7"/>
        <v>0.13980007361742691</v>
      </c>
    </row>
    <row r="29" spans="1:26" s="24" customFormat="1" hidden="1" outlineLevel="2" x14ac:dyDescent="0.25">
      <c r="A29" s="26"/>
      <c r="B29" s="11" t="str">
        <f>CONCATENATE("          ", "6120", " - ", "RETIREES HEALTH INSURANCE")</f>
        <v xml:space="preserve">          6120 - RETIREES HEALTH INSURANCE</v>
      </c>
      <c r="C29" s="11"/>
      <c r="D29" s="6">
        <v>29109.38</v>
      </c>
      <c r="E29" s="2"/>
      <c r="F29" s="7">
        <f t="shared" si="0"/>
        <v>0</v>
      </c>
      <c r="G29" s="2"/>
      <c r="H29" s="6">
        <v>39856.380000000005</v>
      </c>
      <c r="I29" s="2"/>
      <c r="J29" s="7">
        <f t="shared" si="1"/>
        <v>0</v>
      </c>
      <c r="K29" s="2"/>
      <c r="L29" s="6">
        <f t="shared" si="2"/>
        <v>-10747.000000000004</v>
      </c>
      <c r="M29" s="2"/>
      <c r="N29" s="7">
        <f t="shared" si="3"/>
        <v>-0.26964315374351616</v>
      </c>
      <c r="O29" s="11"/>
      <c r="P29" s="6">
        <v>117406.01999999999</v>
      </c>
      <c r="Q29" s="2"/>
      <c r="R29" s="7">
        <f t="shared" si="4"/>
        <v>0</v>
      </c>
      <c r="S29" s="2"/>
      <c r="T29" s="6">
        <v>143460.01</v>
      </c>
      <c r="U29" s="2"/>
      <c r="V29" s="7">
        <f t="shared" si="5"/>
        <v>0</v>
      </c>
      <c r="W29" s="2"/>
      <c r="X29" s="6">
        <f t="shared" si="6"/>
        <v>-26053.99000000002</v>
      </c>
      <c r="Y29" s="2"/>
      <c r="Z29" s="7">
        <f t="shared" si="7"/>
        <v>-0.18161151668677578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6">
        <v>2504.31</v>
      </c>
      <c r="E30" s="2"/>
      <c r="F30" s="7">
        <f t="shared" si="0"/>
        <v>0</v>
      </c>
      <c r="G30" s="2"/>
      <c r="H30" s="6">
        <v>2515.4299999999998</v>
      </c>
      <c r="I30" s="2"/>
      <c r="J30" s="7">
        <f t="shared" si="1"/>
        <v>0</v>
      </c>
      <c r="K30" s="2"/>
      <c r="L30" s="6">
        <f t="shared" si="2"/>
        <v>-11.119999999999891</v>
      </c>
      <c r="M30" s="2"/>
      <c r="N30" s="7">
        <f t="shared" si="3"/>
        <v>-4.4207153448912878E-3</v>
      </c>
      <c r="O30" s="11"/>
      <c r="P30" s="6">
        <v>9695.65</v>
      </c>
      <c r="Q30" s="2"/>
      <c r="R30" s="7">
        <f t="shared" si="4"/>
        <v>0</v>
      </c>
      <c r="S30" s="2"/>
      <c r="T30" s="6">
        <v>9928.74</v>
      </c>
      <c r="U30" s="2"/>
      <c r="V30" s="7">
        <f t="shared" si="5"/>
        <v>0</v>
      </c>
      <c r="W30" s="2"/>
      <c r="X30" s="6">
        <f t="shared" si="6"/>
        <v>-233.09000000000015</v>
      </c>
      <c r="Y30" s="2"/>
      <c r="Z30" s="7">
        <f t="shared" si="7"/>
        <v>-2.3476292057199619E-2</v>
      </c>
    </row>
    <row r="31" spans="1:26" s="27" customFormat="1" outlineLevel="1" collapsed="1" x14ac:dyDescent="0.25">
      <c r="A31" s="25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76517.570000000007</v>
      </c>
      <c r="E31" s="1"/>
      <c r="F31" s="5">
        <f t="shared" ref="F31:F38" si="8">IF(D$12=0,0,D31/D$12)</f>
        <v>0</v>
      </c>
      <c r="G31" s="1"/>
      <c r="H31" s="1">
        <f>SUM(OSRRefH22_1x_0)</f>
        <v>99019.599999999991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-22502.029999999984</v>
      </c>
      <c r="M31" s="1"/>
      <c r="N31" s="5">
        <f t="shared" ref="N31:N38" si="11">IF(H31=0,0,L31/H31)</f>
        <v>-0.22724824176223682</v>
      </c>
      <c r="O31" s="13"/>
      <c r="P31" s="1">
        <f>SUM(OSRRefP22_1x_0)</f>
        <v>437271.31</v>
      </c>
      <c r="Q31" s="1"/>
      <c r="R31" s="5">
        <f t="shared" ref="R31:R38" si="12">IF(P$12=0,0,P31/P$12)</f>
        <v>0</v>
      </c>
      <c r="S31" s="1"/>
      <c r="T31" s="1">
        <f>SUM(OSRRefT22_1x_0)</f>
        <v>463952.29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-26680.979999999981</v>
      </c>
      <c r="Y31" s="1"/>
      <c r="Z31" s="5">
        <f t="shared" ref="Z31:Z38" si="15">IF(T31=0,0,X31/T31)</f>
        <v>-5.7508025232508246E-2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6">
        <v>20133.73</v>
      </c>
      <c r="E32" s="2"/>
      <c r="F32" s="7">
        <f t="shared" si="8"/>
        <v>0</v>
      </c>
      <c r="G32" s="2"/>
      <c r="H32" s="6">
        <v>43244.81</v>
      </c>
      <c r="I32" s="2"/>
      <c r="J32" s="7">
        <f t="shared" si="9"/>
        <v>0</v>
      </c>
      <c r="K32" s="2"/>
      <c r="L32" s="6">
        <f t="shared" si="10"/>
        <v>-23111.079999999998</v>
      </c>
      <c r="M32" s="2"/>
      <c r="N32" s="7">
        <f t="shared" si="11"/>
        <v>-0.53442436213732925</v>
      </c>
      <c r="O32" s="11"/>
      <c r="P32" s="6">
        <v>103657.22</v>
      </c>
      <c r="Q32" s="2"/>
      <c r="R32" s="7">
        <f t="shared" si="12"/>
        <v>0</v>
      </c>
      <c r="S32" s="2"/>
      <c r="T32" s="6">
        <v>157529.43</v>
      </c>
      <c r="U32" s="2"/>
      <c r="V32" s="7">
        <f t="shared" si="13"/>
        <v>0</v>
      </c>
      <c r="W32" s="2"/>
      <c r="X32" s="6">
        <f t="shared" si="14"/>
        <v>-53872.209999999992</v>
      </c>
      <c r="Y32" s="2"/>
      <c r="Z32" s="7">
        <f t="shared" si="15"/>
        <v>-0.34198187602151542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54561.100000000006</v>
      </c>
      <c r="E33" s="2"/>
      <c r="F33" s="7">
        <f t="shared" si="8"/>
        <v>0</v>
      </c>
      <c r="G33" s="2"/>
      <c r="H33" s="6">
        <v>48676.15</v>
      </c>
      <c r="I33" s="2"/>
      <c r="J33" s="7">
        <f t="shared" si="9"/>
        <v>0</v>
      </c>
      <c r="K33" s="2"/>
      <c r="L33" s="6">
        <f t="shared" si="10"/>
        <v>5884.9500000000044</v>
      </c>
      <c r="M33" s="2"/>
      <c r="N33" s="7">
        <f t="shared" si="11"/>
        <v>0.12090007118475894</v>
      </c>
      <c r="O33" s="11"/>
      <c r="P33" s="6">
        <v>192941.93000000002</v>
      </c>
      <c r="Q33" s="2"/>
      <c r="R33" s="7">
        <f t="shared" si="12"/>
        <v>0</v>
      </c>
      <c r="S33" s="2"/>
      <c r="T33" s="6">
        <v>180979.94</v>
      </c>
      <c r="U33" s="2"/>
      <c r="V33" s="7">
        <f t="shared" si="13"/>
        <v>0</v>
      </c>
      <c r="W33" s="2"/>
      <c r="X33" s="6">
        <f t="shared" si="14"/>
        <v>11961.99000000002</v>
      </c>
      <c r="Y33" s="2"/>
      <c r="Z33" s="7">
        <f t="shared" si="15"/>
        <v>6.6095667840314343E-2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32181.660000000003</v>
      </c>
      <c r="E34" s="2"/>
      <c r="F34" s="7">
        <f t="shared" si="8"/>
        <v>0</v>
      </c>
      <c r="G34" s="2"/>
      <c r="H34" s="6">
        <v>27507.69</v>
      </c>
      <c r="I34" s="2"/>
      <c r="J34" s="7">
        <f t="shared" si="9"/>
        <v>0</v>
      </c>
      <c r="K34" s="2"/>
      <c r="L34" s="6">
        <f t="shared" si="10"/>
        <v>4673.9700000000048</v>
      </c>
      <c r="M34" s="2"/>
      <c r="N34" s="7">
        <f t="shared" si="11"/>
        <v>0.16991503103314037</v>
      </c>
      <c r="O34" s="11"/>
      <c r="P34" s="6">
        <v>93733.47</v>
      </c>
      <c r="Q34" s="2"/>
      <c r="R34" s="7">
        <f t="shared" si="12"/>
        <v>0</v>
      </c>
      <c r="S34" s="2"/>
      <c r="T34" s="6">
        <v>76806.450000000012</v>
      </c>
      <c r="U34" s="2"/>
      <c r="V34" s="7">
        <f t="shared" si="13"/>
        <v>0</v>
      </c>
      <c r="W34" s="2"/>
      <c r="X34" s="6">
        <f t="shared" si="14"/>
        <v>16927.01999999999</v>
      </c>
      <c r="Y34" s="2"/>
      <c r="Z34" s="7">
        <f t="shared" si="15"/>
        <v>0.22038539732014678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15310.32</v>
      </c>
      <c r="E35" s="2"/>
      <c r="F35" s="7">
        <f t="shared" si="8"/>
        <v>0</v>
      </c>
      <c r="G35" s="2"/>
      <c r="H35" s="6">
        <v>12987.37</v>
      </c>
      <c r="I35" s="2"/>
      <c r="J35" s="7">
        <f t="shared" si="9"/>
        <v>0</v>
      </c>
      <c r="K35" s="2"/>
      <c r="L35" s="6">
        <f t="shared" si="10"/>
        <v>2322.9499999999989</v>
      </c>
      <c r="M35" s="2"/>
      <c r="N35" s="7">
        <f t="shared" si="11"/>
        <v>0.17886223307721261</v>
      </c>
      <c r="O35" s="11"/>
      <c r="P35" s="6">
        <v>43109.5</v>
      </c>
      <c r="Q35" s="2"/>
      <c r="R35" s="7">
        <f t="shared" si="12"/>
        <v>0</v>
      </c>
      <c r="S35" s="2"/>
      <c r="T35" s="6">
        <v>34763.29</v>
      </c>
      <c r="U35" s="2"/>
      <c r="V35" s="7">
        <f t="shared" si="13"/>
        <v>0</v>
      </c>
      <c r="W35" s="2"/>
      <c r="X35" s="6">
        <f t="shared" si="14"/>
        <v>8346.2099999999991</v>
      </c>
      <c r="Y35" s="2"/>
      <c r="Z35" s="7">
        <f t="shared" si="15"/>
        <v>0.24008688475688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2361.4299999999998</v>
      </c>
      <c r="Q36" s="2"/>
      <c r="R36" s="7">
        <f t="shared" si="12"/>
        <v>0</v>
      </c>
      <c r="S36" s="2"/>
      <c r="T36" s="6">
        <v>247.86</v>
      </c>
      <c r="U36" s="2"/>
      <c r="V36" s="7">
        <f t="shared" si="13"/>
        <v>0</v>
      </c>
      <c r="W36" s="2"/>
      <c r="X36" s="6">
        <f t="shared" si="14"/>
        <v>2113.5699999999997</v>
      </c>
      <c r="Y36" s="2"/>
      <c r="Z36" s="7">
        <f t="shared" si="15"/>
        <v>8.5272734608246576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-48050.12</v>
      </c>
      <c r="E37" s="2"/>
      <c r="F37" s="7">
        <f t="shared" si="8"/>
        <v>0</v>
      </c>
      <c r="G37" s="2"/>
      <c r="H37" s="6">
        <v>-33396.42</v>
      </c>
      <c r="I37" s="2"/>
      <c r="J37" s="7">
        <f t="shared" si="9"/>
        <v>0</v>
      </c>
      <c r="K37" s="2"/>
      <c r="L37" s="6">
        <f t="shared" si="10"/>
        <v>-14653.700000000004</v>
      </c>
      <c r="M37" s="2"/>
      <c r="N37" s="7">
        <f t="shared" si="11"/>
        <v>0.43878056390475401</v>
      </c>
      <c r="O37" s="11"/>
      <c r="P37" s="6">
        <v>-5890.69</v>
      </c>
      <c r="Q37" s="2"/>
      <c r="R37" s="7">
        <f t="shared" si="12"/>
        <v>0</v>
      </c>
      <c r="S37" s="2"/>
      <c r="T37" s="6">
        <v>13625.32</v>
      </c>
      <c r="U37" s="2"/>
      <c r="V37" s="7">
        <f t="shared" si="13"/>
        <v>0</v>
      </c>
      <c r="W37" s="2"/>
      <c r="X37" s="6">
        <f t="shared" si="14"/>
        <v>-19516.009999999998</v>
      </c>
      <c r="Y37" s="2"/>
      <c r="Z37" s="7">
        <f t="shared" si="15"/>
        <v>-1.4323340662824799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2380.88</v>
      </c>
      <c r="E38" s="2"/>
      <c r="F38" s="7">
        <f t="shared" si="8"/>
        <v>0</v>
      </c>
      <c r="G38" s="2"/>
      <c r="H38" s="6"/>
      <c r="I38" s="2"/>
      <c r="J38" s="7">
        <f t="shared" si="9"/>
        <v>0</v>
      </c>
      <c r="K38" s="2"/>
      <c r="L38" s="6">
        <f t="shared" si="10"/>
        <v>2380.88</v>
      </c>
      <c r="M38" s="2"/>
      <c r="N38" s="7">
        <f t="shared" si="11"/>
        <v>0</v>
      </c>
      <c r="O38" s="11"/>
      <c r="P38" s="6">
        <v>7358.45</v>
      </c>
      <c r="Q38" s="2"/>
      <c r="R38" s="7">
        <f t="shared" si="12"/>
        <v>0</v>
      </c>
      <c r="S38" s="2"/>
      <c r="T38" s="6"/>
      <c r="U38" s="2"/>
      <c r="V38" s="7">
        <f t="shared" si="13"/>
        <v>0</v>
      </c>
      <c r="W38" s="2"/>
      <c r="X38" s="6">
        <f t="shared" si="14"/>
        <v>7358.45</v>
      </c>
      <c r="Y38" s="2"/>
      <c r="Z38" s="7">
        <f t="shared" si="15"/>
        <v>0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-9892.4500000000007</v>
      </c>
      <c r="E39" s="1"/>
      <c r="F39" s="5">
        <f t="shared" ref="F39:F47" si="16">IF(D$12=0,0,D39/D$12)</f>
        <v>0</v>
      </c>
      <c r="G39" s="1"/>
      <c r="H39" s="1">
        <f>SUM(OSRRefH22_2x_0)</f>
        <v>-2889.02</v>
      </c>
      <c r="I39" s="1"/>
      <c r="J39" s="5">
        <f t="shared" ref="J39:J47" si="17">IF(H$12=0,0,H39/H$12)</f>
        <v>0</v>
      </c>
      <c r="K39" s="1"/>
      <c r="L39" s="1">
        <f t="shared" ref="L39:L47" si="18">+D39-H39</f>
        <v>-7003.43</v>
      </c>
      <c r="M39" s="1"/>
      <c r="N39" s="5">
        <f t="shared" ref="N39:N47" si="19">IF(H39=0,0,L39/H39)</f>
        <v>2.4241542114627106</v>
      </c>
      <c r="O39" s="13"/>
      <c r="P39" s="1">
        <f>SUM(OSRRefP22_2x_0)</f>
        <v>-12296.77</v>
      </c>
      <c r="Q39" s="1"/>
      <c r="R39" s="5">
        <f t="shared" ref="R39:R47" si="20">IF(P$12=0,0,P39/P$12)</f>
        <v>0</v>
      </c>
      <c r="S39" s="1"/>
      <c r="T39" s="1">
        <f>SUM(OSRRefT22_2x_0)</f>
        <v>-6007.52</v>
      </c>
      <c r="U39" s="1"/>
      <c r="V39" s="5">
        <f t="shared" ref="V39:V47" si="21">IF(T$12=0,0,T39/T$12)</f>
        <v>0</v>
      </c>
      <c r="W39" s="1"/>
      <c r="X39" s="1">
        <f t="shared" ref="X39:X47" si="22">+P39-T39</f>
        <v>-6289.25</v>
      </c>
      <c r="Y39" s="1"/>
      <c r="Z39" s="5">
        <f t="shared" ref="Z39:Z47" si="23">IF(T39=0,0,X39/T39)</f>
        <v>1.0468962234000052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-9892.4500000000007</v>
      </c>
      <c r="E40" s="2"/>
      <c r="F40" s="7">
        <f t="shared" si="16"/>
        <v>0</v>
      </c>
      <c r="G40" s="2"/>
      <c r="H40" s="6">
        <v>-2889.02</v>
      </c>
      <c r="I40" s="2"/>
      <c r="J40" s="7">
        <f t="shared" si="17"/>
        <v>0</v>
      </c>
      <c r="K40" s="2"/>
      <c r="L40" s="6">
        <f t="shared" si="18"/>
        <v>-7003.43</v>
      </c>
      <c r="M40" s="2"/>
      <c r="N40" s="7">
        <f t="shared" si="19"/>
        <v>2.4241542114627106</v>
      </c>
      <c r="O40" s="11"/>
      <c r="P40" s="6">
        <v>-12296.77</v>
      </c>
      <c r="Q40" s="2"/>
      <c r="R40" s="7">
        <f t="shared" si="20"/>
        <v>0</v>
      </c>
      <c r="S40" s="2"/>
      <c r="T40" s="6">
        <v>-6007.52</v>
      </c>
      <c r="U40" s="2"/>
      <c r="V40" s="7">
        <f t="shared" si="21"/>
        <v>0</v>
      </c>
      <c r="W40" s="2"/>
      <c r="X40" s="6">
        <f t="shared" si="22"/>
        <v>-6289.25</v>
      </c>
      <c r="Y40" s="2"/>
      <c r="Z40" s="7">
        <f t="shared" si="23"/>
        <v>1.0468962234000052</v>
      </c>
    </row>
    <row r="41" spans="1:26" s="27" customFormat="1" outlineLevel="1" collapsed="1" x14ac:dyDescent="0.25">
      <c r="A41" s="25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14323.04</v>
      </c>
      <c r="E41" s="1"/>
      <c r="F41" s="5">
        <f t="shared" si="16"/>
        <v>0</v>
      </c>
      <c r="G41" s="1"/>
      <c r="H41" s="1">
        <f>SUM(OSRRefH22_3x_0)</f>
        <v>13392.97</v>
      </c>
      <c r="I41" s="1"/>
      <c r="J41" s="5">
        <f t="shared" si="17"/>
        <v>0</v>
      </c>
      <c r="K41" s="1"/>
      <c r="L41" s="1">
        <f t="shared" si="18"/>
        <v>930.07000000000153</v>
      </c>
      <c r="M41" s="1"/>
      <c r="N41" s="5">
        <f t="shared" si="19"/>
        <v>6.9444641479821254E-2</v>
      </c>
      <c r="O41" s="13"/>
      <c r="P41" s="1">
        <f>SUM(OSRRefP22_3x_0)</f>
        <v>20926.16</v>
      </c>
      <c r="Q41" s="1"/>
      <c r="R41" s="5">
        <f t="shared" si="20"/>
        <v>0</v>
      </c>
      <c r="S41" s="1"/>
      <c r="T41" s="1">
        <f>SUM(OSRRefT22_3x_0)</f>
        <v>16403.46</v>
      </c>
      <c r="U41" s="1"/>
      <c r="V41" s="5">
        <f t="shared" si="21"/>
        <v>0</v>
      </c>
      <c r="W41" s="1"/>
      <c r="X41" s="1">
        <f t="shared" si="22"/>
        <v>4522.7000000000007</v>
      </c>
      <c r="Y41" s="1"/>
      <c r="Z41" s="5">
        <f t="shared" si="23"/>
        <v>0.27571622084608982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>
        <v>14323.04</v>
      </c>
      <c r="E42" s="2"/>
      <c r="F42" s="7">
        <f t="shared" si="16"/>
        <v>0</v>
      </c>
      <c r="G42" s="2"/>
      <c r="H42" s="6">
        <v>13392.97</v>
      </c>
      <c r="I42" s="2"/>
      <c r="J42" s="7">
        <f t="shared" si="17"/>
        <v>0</v>
      </c>
      <c r="K42" s="2"/>
      <c r="L42" s="6">
        <f t="shared" si="18"/>
        <v>930.07000000000153</v>
      </c>
      <c r="M42" s="2"/>
      <c r="N42" s="7">
        <f t="shared" si="19"/>
        <v>6.9444641479821254E-2</v>
      </c>
      <c r="O42" s="11"/>
      <c r="P42" s="6">
        <v>20926.16</v>
      </c>
      <c r="Q42" s="2"/>
      <c r="R42" s="7">
        <f t="shared" si="20"/>
        <v>0</v>
      </c>
      <c r="S42" s="2"/>
      <c r="T42" s="6">
        <v>16403.46</v>
      </c>
      <c r="U42" s="2"/>
      <c r="V42" s="7">
        <f t="shared" si="21"/>
        <v>0</v>
      </c>
      <c r="W42" s="2"/>
      <c r="X42" s="6">
        <f t="shared" si="22"/>
        <v>4522.7000000000007</v>
      </c>
      <c r="Y42" s="2"/>
      <c r="Z42" s="7">
        <f t="shared" si="23"/>
        <v>0.27571622084608982</v>
      </c>
    </row>
    <row r="43" spans="1:26" s="27" customFormat="1" outlineLevel="1" collapsed="1" x14ac:dyDescent="0.25">
      <c r="A43" s="25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3404.44</v>
      </c>
      <c r="E43" s="1"/>
      <c r="F43" s="5">
        <f t="shared" si="16"/>
        <v>0</v>
      </c>
      <c r="G43" s="1"/>
      <c r="H43" s="1">
        <f>SUM(OSRRefH22_4x_0)</f>
        <v>2947.81</v>
      </c>
      <c r="I43" s="1"/>
      <c r="J43" s="5">
        <f t="shared" si="17"/>
        <v>0</v>
      </c>
      <c r="K43" s="1"/>
      <c r="L43" s="1">
        <f t="shared" si="18"/>
        <v>456.63000000000011</v>
      </c>
      <c r="M43" s="1"/>
      <c r="N43" s="5">
        <f t="shared" si="19"/>
        <v>0.15490482765171437</v>
      </c>
      <c r="O43" s="13"/>
      <c r="P43" s="1">
        <f>SUM(OSRRefP22_4x_0)</f>
        <v>11846.23</v>
      </c>
      <c r="Q43" s="1"/>
      <c r="R43" s="5">
        <f t="shared" si="20"/>
        <v>0</v>
      </c>
      <c r="S43" s="1"/>
      <c r="T43" s="1">
        <f>SUM(OSRRefT22_4x_0)</f>
        <v>11114.88</v>
      </c>
      <c r="U43" s="1"/>
      <c r="V43" s="5">
        <f t="shared" si="21"/>
        <v>0</v>
      </c>
      <c r="W43" s="1"/>
      <c r="X43" s="1">
        <f t="shared" si="22"/>
        <v>731.35000000000036</v>
      </c>
      <c r="Y43" s="1"/>
      <c r="Z43" s="5">
        <f t="shared" si="23"/>
        <v>6.5799180917832711E-2</v>
      </c>
    </row>
    <row r="44" spans="1:26" s="24" customFormat="1" hidden="1" outlineLevel="2" x14ac:dyDescent="0.25">
      <c r="A44" s="26"/>
      <c r="B44" s="11" t="str">
        <f>CONCATENATE("          ", "6397", " - ", "BOARD EXPENSES")</f>
        <v xml:space="preserve">          6397 - BOARD EXPENSES</v>
      </c>
      <c r="C44" s="11"/>
      <c r="D44" s="6">
        <v>3404.44</v>
      </c>
      <c r="E44" s="2"/>
      <c r="F44" s="7">
        <f t="shared" si="16"/>
        <v>0</v>
      </c>
      <c r="G44" s="2"/>
      <c r="H44" s="6">
        <v>2947.81</v>
      </c>
      <c r="I44" s="2"/>
      <c r="J44" s="7">
        <f t="shared" si="17"/>
        <v>0</v>
      </c>
      <c r="K44" s="2"/>
      <c r="L44" s="6">
        <f t="shared" si="18"/>
        <v>456.63000000000011</v>
      </c>
      <c r="M44" s="2"/>
      <c r="N44" s="7">
        <f t="shared" si="19"/>
        <v>0.15490482765171437</v>
      </c>
      <c r="O44" s="11"/>
      <c r="P44" s="6">
        <v>11846.23</v>
      </c>
      <c r="Q44" s="2"/>
      <c r="R44" s="7">
        <f t="shared" si="20"/>
        <v>0</v>
      </c>
      <c r="S44" s="2"/>
      <c r="T44" s="6">
        <v>11114.88</v>
      </c>
      <c r="U44" s="2"/>
      <c r="V44" s="7">
        <f t="shared" si="21"/>
        <v>0</v>
      </c>
      <c r="W44" s="2"/>
      <c r="X44" s="6">
        <f t="shared" si="22"/>
        <v>731.35000000000036</v>
      </c>
      <c r="Y44" s="2"/>
      <c r="Z44" s="7">
        <f t="shared" si="23"/>
        <v>6.5799180917832711E-2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8599.93</v>
      </c>
      <c r="E45" s="1"/>
      <c r="F45" s="5">
        <f t="shared" si="16"/>
        <v>0</v>
      </c>
      <c r="G45" s="1"/>
      <c r="H45" s="1">
        <f>SUM(OSRRefH22_5x_0)</f>
        <v>10293.85</v>
      </c>
      <c r="I45" s="1"/>
      <c r="J45" s="5">
        <f t="shared" si="17"/>
        <v>0</v>
      </c>
      <c r="K45" s="1"/>
      <c r="L45" s="1">
        <f t="shared" si="18"/>
        <v>-1693.92</v>
      </c>
      <c r="M45" s="1"/>
      <c r="N45" s="5">
        <f t="shared" si="19"/>
        <v>-0.16455650704061162</v>
      </c>
      <c r="O45" s="13"/>
      <c r="P45" s="1">
        <f>SUM(OSRRefP22_5x_0)</f>
        <v>34399.72</v>
      </c>
      <c r="Q45" s="1"/>
      <c r="R45" s="5">
        <f t="shared" si="20"/>
        <v>0</v>
      </c>
      <c r="S45" s="1"/>
      <c r="T45" s="1">
        <f>SUM(OSRRefT22_5x_0)</f>
        <v>41175.4</v>
      </c>
      <c r="U45" s="1"/>
      <c r="V45" s="5">
        <f t="shared" si="21"/>
        <v>0</v>
      </c>
      <c r="W45" s="1"/>
      <c r="X45" s="1">
        <f t="shared" si="22"/>
        <v>-6775.68</v>
      </c>
      <c r="Y45" s="1"/>
      <c r="Z45" s="5">
        <f t="shared" si="23"/>
        <v>-0.16455650704061162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8599.93</v>
      </c>
      <c r="E46" s="2"/>
      <c r="F46" s="7">
        <f t="shared" si="16"/>
        <v>0</v>
      </c>
      <c r="G46" s="2"/>
      <c r="H46" s="6">
        <v>9971.81</v>
      </c>
      <c r="I46" s="2"/>
      <c r="J46" s="7">
        <f t="shared" si="17"/>
        <v>0</v>
      </c>
      <c r="K46" s="2"/>
      <c r="L46" s="6">
        <f t="shared" si="18"/>
        <v>-1371.8799999999992</v>
      </c>
      <c r="M46" s="2"/>
      <c r="N46" s="7">
        <f t="shared" si="19"/>
        <v>-0.13757582625421055</v>
      </c>
      <c r="O46" s="11"/>
      <c r="P46" s="6">
        <v>34399.72</v>
      </c>
      <c r="Q46" s="2"/>
      <c r="R46" s="7">
        <f t="shared" si="20"/>
        <v>0</v>
      </c>
      <c r="S46" s="2"/>
      <c r="T46" s="6">
        <v>39887.24</v>
      </c>
      <c r="U46" s="2"/>
      <c r="V46" s="7">
        <f t="shared" si="21"/>
        <v>0</v>
      </c>
      <c r="W46" s="2"/>
      <c r="X46" s="6">
        <f t="shared" si="22"/>
        <v>-5487.5199999999968</v>
      </c>
      <c r="Y46" s="2"/>
      <c r="Z46" s="7">
        <f t="shared" si="23"/>
        <v>-0.13757582625421055</v>
      </c>
    </row>
    <row r="47" spans="1:26" s="24" customFormat="1" hidden="1" outlineLevel="2" x14ac:dyDescent="0.25">
      <c r="A47" s="26"/>
      <c r="B47" s="11" t="str">
        <f>CONCATENATE("          ", "6324", " - ", "FURNITURE + FIXT DEPRECIATION")</f>
        <v xml:space="preserve">          6324 - FURNITURE + FIXT DEPRECIATION</v>
      </c>
      <c r="C47" s="11"/>
      <c r="D47" s="6"/>
      <c r="E47" s="2"/>
      <c r="F47" s="7">
        <f t="shared" si="16"/>
        <v>0</v>
      </c>
      <c r="G47" s="2"/>
      <c r="H47" s="6">
        <v>322.04000000000002</v>
      </c>
      <c r="I47" s="2"/>
      <c r="J47" s="7">
        <f t="shared" si="17"/>
        <v>0</v>
      </c>
      <c r="K47" s="2"/>
      <c r="L47" s="6">
        <f t="shared" si="18"/>
        <v>-322.04000000000002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1288.1600000000001</v>
      </c>
      <c r="U47" s="2"/>
      <c r="V47" s="7">
        <f t="shared" si="21"/>
        <v>0</v>
      </c>
      <c r="W47" s="2"/>
      <c r="X47" s="6">
        <f t="shared" si="22"/>
        <v>-1288.1600000000001</v>
      </c>
      <c r="Y47" s="2"/>
      <c r="Z47" s="7">
        <f t="shared" si="23"/>
        <v>-1</v>
      </c>
    </row>
    <row r="48" spans="1:26" s="27" customFormat="1" outlineLevel="1" collapsed="1" x14ac:dyDescent="0.25">
      <c r="A48" s="25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SUM(OSRRefD22_6x_0)</f>
        <v>5133.6499999999996</v>
      </c>
      <c r="E48" s="1"/>
      <c r="F48" s="5">
        <f t="shared" ref="F48:F64" si="24">IF(D$12=0,0,D48/D$12)</f>
        <v>0</v>
      </c>
      <c r="G48" s="1"/>
      <c r="H48" s="1">
        <f>SUM(OSRRefH22_6x_0)</f>
        <v>6886.73</v>
      </c>
      <c r="I48" s="1"/>
      <c r="J48" s="5">
        <f t="shared" ref="J48:J64" si="25">IF(H$12=0,0,H48/H$12)</f>
        <v>0</v>
      </c>
      <c r="K48" s="1"/>
      <c r="L48" s="1">
        <f t="shared" ref="L48:L64" si="26">+D48-H48</f>
        <v>-1753.08</v>
      </c>
      <c r="M48" s="1"/>
      <c r="N48" s="5">
        <f t="shared" ref="N48:N64" si="27">IF(H48=0,0,L48/H48)</f>
        <v>-0.25455913038553857</v>
      </c>
      <c r="O48" s="13"/>
      <c r="P48" s="1">
        <f>SUM(OSRRefP22_6x_0)</f>
        <v>144377.25</v>
      </c>
      <c r="Q48" s="1"/>
      <c r="R48" s="5">
        <f t="shared" ref="R48:R64" si="28">IF(P$12=0,0,P48/P$12)</f>
        <v>0</v>
      </c>
      <c r="S48" s="1"/>
      <c r="T48" s="1">
        <f>SUM(OSRRefT22_6x_0)</f>
        <v>42926.42</v>
      </c>
      <c r="U48" s="1"/>
      <c r="V48" s="5">
        <f t="shared" ref="V48:V64" si="29">IF(T$12=0,0,T48/T$12)</f>
        <v>0</v>
      </c>
      <c r="W48" s="1"/>
      <c r="X48" s="1">
        <f t="shared" ref="X48:X64" si="30">+P48-T48</f>
        <v>101450.83</v>
      </c>
      <c r="Y48" s="1"/>
      <c r="Z48" s="5">
        <f t="shared" ref="Z48:Z64" si="31">IF(T48=0,0,X48/T48)</f>
        <v>2.3633657314073711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6">
        <v>5133.6499999999996</v>
      </c>
      <c r="E49" s="2"/>
      <c r="F49" s="7">
        <f t="shared" si="24"/>
        <v>0</v>
      </c>
      <c r="G49" s="2"/>
      <c r="H49" s="6">
        <v>6886.73</v>
      </c>
      <c r="I49" s="2"/>
      <c r="J49" s="7">
        <f t="shared" si="25"/>
        <v>0</v>
      </c>
      <c r="K49" s="2"/>
      <c r="L49" s="6">
        <f t="shared" si="26"/>
        <v>-1753.08</v>
      </c>
      <c r="M49" s="2"/>
      <c r="N49" s="7">
        <f t="shared" si="27"/>
        <v>-0.25455913038553857</v>
      </c>
      <c r="O49" s="11"/>
      <c r="P49" s="6">
        <v>144377.25</v>
      </c>
      <c r="Q49" s="2"/>
      <c r="R49" s="7">
        <f t="shared" si="28"/>
        <v>0</v>
      </c>
      <c r="S49" s="2"/>
      <c r="T49" s="6">
        <v>42926.42</v>
      </c>
      <c r="U49" s="2"/>
      <c r="V49" s="7">
        <f t="shared" si="29"/>
        <v>0</v>
      </c>
      <c r="W49" s="2"/>
      <c r="X49" s="6">
        <f t="shared" si="30"/>
        <v>101450.83</v>
      </c>
      <c r="Y49" s="2"/>
      <c r="Z49" s="7">
        <f t="shared" si="31"/>
        <v>2.3633657314073711</v>
      </c>
    </row>
    <row r="50" spans="1:26" s="27" customFormat="1" outlineLevel="1" collapsed="1" x14ac:dyDescent="0.25">
      <c r="A50" s="25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SUM(OSRRefD22_7x_0)</f>
        <v>264</v>
      </c>
      <c r="E50" s="1"/>
      <c r="F50" s="5">
        <f t="shared" si="24"/>
        <v>0</v>
      </c>
      <c r="G50" s="1"/>
      <c r="H50" s="1">
        <f>SUM(OSRRefH22_7x_0)</f>
        <v>290</v>
      </c>
      <c r="I50" s="1"/>
      <c r="J50" s="5">
        <f t="shared" si="25"/>
        <v>0</v>
      </c>
      <c r="K50" s="1"/>
      <c r="L50" s="1">
        <f t="shared" si="26"/>
        <v>-26</v>
      </c>
      <c r="M50" s="1"/>
      <c r="N50" s="5">
        <f t="shared" si="27"/>
        <v>-8.9655172413793102E-2</v>
      </c>
      <c r="O50" s="13"/>
      <c r="P50" s="1">
        <f>SUM(OSRRefP22_7x_0)</f>
        <v>11829.12</v>
      </c>
      <c r="Q50" s="1"/>
      <c r="R50" s="5">
        <f t="shared" si="28"/>
        <v>0</v>
      </c>
      <c r="S50" s="1"/>
      <c r="T50" s="1">
        <f>SUM(OSRRefT22_7x_0)</f>
        <v>8431.26</v>
      </c>
      <c r="U50" s="1"/>
      <c r="V50" s="5">
        <f t="shared" si="29"/>
        <v>0</v>
      </c>
      <c r="W50" s="1"/>
      <c r="X50" s="1">
        <f t="shared" si="30"/>
        <v>3397.8600000000006</v>
      </c>
      <c r="Y50" s="1"/>
      <c r="Z50" s="5">
        <f t="shared" si="31"/>
        <v>0.40300737967990558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>
        <v>264</v>
      </c>
      <c r="E51" s="2"/>
      <c r="F51" s="7">
        <f t="shared" si="24"/>
        <v>0</v>
      </c>
      <c r="G51" s="2"/>
      <c r="H51" s="6">
        <v>290</v>
      </c>
      <c r="I51" s="2"/>
      <c r="J51" s="7">
        <f t="shared" si="25"/>
        <v>0</v>
      </c>
      <c r="K51" s="2"/>
      <c r="L51" s="6">
        <f t="shared" si="26"/>
        <v>-26</v>
      </c>
      <c r="M51" s="2"/>
      <c r="N51" s="7">
        <f t="shared" si="27"/>
        <v>-8.9655172413793102E-2</v>
      </c>
      <c r="O51" s="11"/>
      <c r="P51" s="6">
        <v>11829.12</v>
      </c>
      <c r="Q51" s="2"/>
      <c r="R51" s="7">
        <f t="shared" si="28"/>
        <v>0</v>
      </c>
      <c r="S51" s="2"/>
      <c r="T51" s="6">
        <v>8431.26</v>
      </c>
      <c r="U51" s="2"/>
      <c r="V51" s="7">
        <f t="shared" si="29"/>
        <v>0</v>
      </c>
      <c r="W51" s="2"/>
      <c r="X51" s="6">
        <f t="shared" si="30"/>
        <v>3397.8600000000006</v>
      </c>
      <c r="Y51" s="2"/>
      <c r="Z51" s="7">
        <f t="shared" si="31"/>
        <v>0.40300737967990558</v>
      </c>
    </row>
    <row r="52" spans="1:26" s="27" customFormat="1" outlineLevel="1" collapsed="1" x14ac:dyDescent="0.25">
      <c r="A52" s="25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SUM(OSRRefD22_8x_0)</f>
        <v>417.96</v>
      </c>
      <c r="E52" s="1"/>
      <c r="F52" s="5">
        <f t="shared" si="24"/>
        <v>0</v>
      </c>
      <c r="G52" s="1"/>
      <c r="H52" s="1">
        <f>SUM(OSRRefH22_8x_0)</f>
        <v>300.24</v>
      </c>
      <c r="I52" s="1"/>
      <c r="J52" s="5">
        <f t="shared" si="25"/>
        <v>0</v>
      </c>
      <c r="K52" s="1"/>
      <c r="L52" s="1">
        <f t="shared" si="26"/>
        <v>117.71999999999997</v>
      </c>
      <c r="M52" s="1"/>
      <c r="N52" s="5">
        <f t="shared" si="27"/>
        <v>0.39208633093525169</v>
      </c>
      <c r="O52" s="13"/>
      <c r="P52" s="1">
        <f>SUM(OSRRefP22_8x_0)</f>
        <v>1318.68</v>
      </c>
      <c r="Q52" s="1"/>
      <c r="R52" s="5">
        <f t="shared" si="28"/>
        <v>0</v>
      </c>
      <c r="S52" s="1"/>
      <c r="T52" s="1">
        <f>SUM(OSRRefT22_8x_0)</f>
        <v>1200.96</v>
      </c>
      <c r="U52" s="1"/>
      <c r="V52" s="5">
        <f t="shared" si="29"/>
        <v>0</v>
      </c>
      <c r="W52" s="1"/>
      <c r="X52" s="1">
        <f t="shared" si="30"/>
        <v>117.72000000000003</v>
      </c>
      <c r="Y52" s="1"/>
      <c r="Z52" s="5">
        <f t="shared" si="31"/>
        <v>9.8021582733812965E-2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>
        <v>417.96</v>
      </c>
      <c r="E53" s="2"/>
      <c r="F53" s="7">
        <f t="shared" si="24"/>
        <v>0</v>
      </c>
      <c r="G53" s="2"/>
      <c r="H53" s="6">
        <v>300.24</v>
      </c>
      <c r="I53" s="2"/>
      <c r="J53" s="7">
        <f t="shared" si="25"/>
        <v>0</v>
      </c>
      <c r="K53" s="2"/>
      <c r="L53" s="6">
        <f t="shared" si="26"/>
        <v>117.71999999999997</v>
      </c>
      <c r="M53" s="2"/>
      <c r="N53" s="7">
        <f t="shared" si="27"/>
        <v>0.39208633093525169</v>
      </c>
      <c r="O53" s="11"/>
      <c r="P53" s="6">
        <v>1318.68</v>
      </c>
      <c r="Q53" s="2"/>
      <c r="R53" s="7">
        <f t="shared" si="28"/>
        <v>0</v>
      </c>
      <c r="S53" s="2"/>
      <c r="T53" s="6">
        <v>1200.96</v>
      </c>
      <c r="U53" s="2"/>
      <c r="V53" s="7">
        <f t="shared" si="29"/>
        <v>0</v>
      </c>
      <c r="W53" s="2"/>
      <c r="X53" s="6">
        <f t="shared" si="30"/>
        <v>117.72000000000003</v>
      </c>
      <c r="Y53" s="2"/>
      <c r="Z53" s="7">
        <f t="shared" si="31"/>
        <v>9.8021582733812965E-2</v>
      </c>
    </row>
    <row r="54" spans="1:26" s="27" customFormat="1" outlineLevel="1" collapsed="1" x14ac:dyDescent="0.25">
      <c r="A54" s="25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SUM(OSRRefD22_9x_0)</f>
        <v>174.4</v>
      </c>
      <c r="E54" s="1"/>
      <c r="F54" s="5">
        <f t="shared" si="24"/>
        <v>0</v>
      </c>
      <c r="G54" s="1"/>
      <c r="H54" s="1">
        <f>SUM(OSRRefH22_9x_0)</f>
        <v>272.41000000000003</v>
      </c>
      <c r="I54" s="1"/>
      <c r="J54" s="5">
        <f t="shared" si="25"/>
        <v>0</v>
      </c>
      <c r="K54" s="1"/>
      <c r="L54" s="1">
        <f t="shared" si="26"/>
        <v>-98.010000000000019</v>
      </c>
      <c r="M54" s="1"/>
      <c r="N54" s="5">
        <f t="shared" si="27"/>
        <v>-0.35978855401784077</v>
      </c>
      <c r="O54" s="13"/>
      <c r="P54" s="1">
        <f>SUM(OSRRefP22_9x_0)</f>
        <v>785.5</v>
      </c>
      <c r="Q54" s="1"/>
      <c r="R54" s="5">
        <f t="shared" si="28"/>
        <v>0</v>
      </c>
      <c r="S54" s="1"/>
      <c r="T54" s="1">
        <f>SUM(OSRRefT22_9x_0)</f>
        <v>850.8</v>
      </c>
      <c r="U54" s="1"/>
      <c r="V54" s="5">
        <f t="shared" si="29"/>
        <v>0</v>
      </c>
      <c r="W54" s="1"/>
      <c r="X54" s="1">
        <f t="shared" si="30"/>
        <v>-65.299999999999955</v>
      </c>
      <c r="Y54" s="1"/>
      <c r="Z54" s="5">
        <f t="shared" si="31"/>
        <v>-7.6751292900799198E-2</v>
      </c>
    </row>
    <row r="55" spans="1:26" s="24" customFormat="1" hidden="1" outlineLevel="2" x14ac:dyDescent="0.25">
      <c r="A55" s="26"/>
      <c r="B55" s="11" t="str">
        <f>CONCATENATE("          ", "6307", " - ", "POSTAGE")</f>
        <v xml:space="preserve">          6307 - POSTAGE</v>
      </c>
      <c r="C55" s="11"/>
      <c r="D55" s="6">
        <v>174.4</v>
      </c>
      <c r="E55" s="2"/>
      <c r="F55" s="7">
        <f t="shared" si="24"/>
        <v>0</v>
      </c>
      <c r="G55" s="2"/>
      <c r="H55" s="6">
        <v>272.41000000000003</v>
      </c>
      <c r="I55" s="2"/>
      <c r="J55" s="7">
        <f t="shared" si="25"/>
        <v>0</v>
      </c>
      <c r="K55" s="2"/>
      <c r="L55" s="6">
        <f t="shared" si="26"/>
        <v>-98.010000000000019</v>
      </c>
      <c r="M55" s="2"/>
      <c r="N55" s="7">
        <f t="shared" si="27"/>
        <v>-0.35978855401784077</v>
      </c>
      <c r="O55" s="11"/>
      <c r="P55" s="6">
        <v>785.5</v>
      </c>
      <c r="Q55" s="2"/>
      <c r="R55" s="7">
        <f t="shared" si="28"/>
        <v>0</v>
      </c>
      <c r="S55" s="2"/>
      <c r="T55" s="6">
        <v>850.8</v>
      </c>
      <c r="U55" s="2"/>
      <c r="V55" s="7">
        <f t="shared" si="29"/>
        <v>0</v>
      </c>
      <c r="W55" s="2"/>
      <c r="X55" s="6">
        <f t="shared" si="30"/>
        <v>-65.299999999999955</v>
      </c>
      <c r="Y55" s="2"/>
      <c r="Z55" s="7">
        <f t="shared" si="31"/>
        <v>-7.6751292900799198E-2</v>
      </c>
    </row>
    <row r="56" spans="1:26" s="27" customFormat="1" outlineLevel="1" collapsed="1" x14ac:dyDescent="0.25">
      <c r="A56" s="25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6146.46</v>
      </c>
      <c r="E56" s="1"/>
      <c r="F56" s="5">
        <f t="shared" si="24"/>
        <v>0</v>
      </c>
      <c r="G56" s="1"/>
      <c r="H56" s="1">
        <f>SUM(OSRRefH22_10x_0)</f>
        <v>257.60000000000002</v>
      </c>
      <c r="I56" s="1"/>
      <c r="J56" s="5">
        <f t="shared" si="25"/>
        <v>0</v>
      </c>
      <c r="K56" s="1"/>
      <c r="L56" s="1">
        <f t="shared" si="26"/>
        <v>5888.86</v>
      </c>
      <c r="M56" s="1"/>
      <c r="N56" s="5">
        <f t="shared" si="27"/>
        <v>22.860481366459624</v>
      </c>
      <c r="O56" s="13"/>
      <c r="P56" s="1">
        <f>SUM(OSRRefP22_10x_0)</f>
        <v>12580.14</v>
      </c>
      <c r="Q56" s="1"/>
      <c r="R56" s="5">
        <f t="shared" si="28"/>
        <v>0</v>
      </c>
      <c r="S56" s="1"/>
      <c r="T56" s="1">
        <f>SUM(OSRRefT22_10x_0)</f>
        <v>9649.9</v>
      </c>
      <c r="U56" s="1"/>
      <c r="V56" s="5">
        <f t="shared" si="29"/>
        <v>0</v>
      </c>
      <c r="W56" s="1"/>
      <c r="X56" s="1">
        <f t="shared" si="30"/>
        <v>2930.24</v>
      </c>
      <c r="Y56" s="1"/>
      <c r="Z56" s="5">
        <f t="shared" si="31"/>
        <v>0.30365496015502752</v>
      </c>
    </row>
    <row r="57" spans="1:26" s="24" customFormat="1" hidden="1" outlineLevel="2" x14ac:dyDescent="0.25">
      <c r="A57" s="26"/>
      <c r="B57" s="11" t="str">
        <f>CONCATENATE("          ", "6279", " - ", "GENERAL EXPENSE")</f>
        <v xml:space="preserve">          6279 - GENERAL EXPENSE</v>
      </c>
      <c r="C57" s="11"/>
      <c r="D57" s="6">
        <v>6146.46</v>
      </c>
      <c r="E57" s="2"/>
      <c r="F57" s="7">
        <f t="shared" si="24"/>
        <v>0</v>
      </c>
      <c r="G57" s="2"/>
      <c r="H57" s="6">
        <v>257.60000000000002</v>
      </c>
      <c r="I57" s="2"/>
      <c r="J57" s="7">
        <f t="shared" si="25"/>
        <v>0</v>
      </c>
      <c r="K57" s="2"/>
      <c r="L57" s="6">
        <f t="shared" si="26"/>
        <v>5888.86</v>
      </c>
      <c r="M57" s="2"/>
      <c r="N57" s="7">
        <f t="shared" si="27"/>
        <v>22.860481366459624</v>
      </c>
      <c r="O57" s="11"/>
      <c r="P57" s="6">
        <v>12580.14</v>
      </c>
      <c r="Q57" s="2"/>
      <c r="R57" s="7">
        <f t="shared" si="28"/>
        <v>0</v>
      </c>
      <c r="S57" s="2"/>
      <c r="T57" s="6">
        <v>9649.9</v>
      </c>
      <c r="U57" s="2"/>
      <c r="V57" s="7">
        <f t="shared" si="29"/>
        <v>0</v>
      </c>
      <c r="W57" s="2"/>
      <c r="X57" s="6">
        <f t="shared" si="30"/>
        <v>2930.24</v>
      </c>
      <c r="Y57" s="2"/>
      <c r="Z57" s="7">
        <f t="shared" si="31"/>
        <v>0.30365496015502752</v>
      </c>
    </row>
    <row r="58" spans="1:26" s="27" customFormat="1" outlineLevel="1" collapsed="1" x14ac:dyDescent="0.25">
      <c r="A58" s="25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370.89</v>
      </c>
      <c r="I58" s="1"/>
      <c r="J58" s="5">
        <f t="shared" si="25"/>
        <v>0</v>
      </c>
      <c r="K58" s="1"/>
      <c r="L58" s="1">
        <f t="shared" si="26"/>
        <v>22.78000000000003</v>
      </c>
      <c r="M58" s="1"/>
      <c r="N58" s="5">
        <f t="shared" si="27"/>
        <v>6.1419827981342261E-2</v>
      </c>
      <c r="O58" s="13"/>
      <c r="P58" s="1">
        <f>SUM(OSRRefP22_11x_0)</f>
        <v>1574.68</v>
      </c>
      <c r="Q58" s="1"/>
      <c r="R58" s="5">
        <f t="shared" si="28"/>
        <v>0</v>
      </c>
      <c r="S58" s="1"/>
      <c r="T58" s="1">
        <f>SUM(OSRRefT22_11x_0)</f>
        <v>1483.56</v>
      </c>
      <c r="U58" s="1"/>
      <c r="V58" s="5">
        <f t="shared" si="29"/>
        <v>0</v>
      </c>
      <c r="W58" s="1"/>
      <c r="X58" s="1">
        <f t="shared" si="30"/>
        <v>91.120000000000118</v>
      </c>
      <c r="Y58" s="1"/>
      <c r="Z58" s="5">
        <f t="shared" si="31"/>
        <v>6.1419827981342261E-2</v>
      </c>
    </row>
    <row r="59" spans="1:26" s="24" customFormat="1" hidden="1" outlineLevel="2" x14ac:dyDescent="0.25">
      <c r="A59" s="26"/>
      <c r="B59" s="11" t="str">
        <f>CONCATENATE("          ", "6314", " - ", "LIABILITY INSURANCE")</f>
        <v xml:space="preserve">          6314 - LIABILITY INSURANCE</v>
      </c>
      <c r="C59" s="11"/>
      <c r="D59" s="6">
        <v>393.67</v>
      </c>
      <c r="E59" s="2"/>
      <c r="F59" s="7">
        <f t="shared" si="24"/>
        <v>0</v>
      </c>
      <c r="G59" s="2"/>
      <c r="H59" s="6">
        <v>370.89</v>
      </c>
      <c r="I59" s="2"/>
      <c r="J59" s="7">
        <f t="shared" si="25"/>
        <v>0</v>
      </c>
      <c r="K59" s="2"/>
      <c r="L59" s="6">
        <f t="shared" si="26"/>
        <v>22.78000000000003</v>
      </c>
      <c r="M59" s="2"/>
      <c r="N59" s="7">
        <f t="shared" si="27"/>
        <v>6.1419827981342261E-2</v>
      </c>
      <c r="O59" s="11"/>
      <c r="P59" s="6">
        <v>1574.68</v>
      </c>
      <c r="Q59" s="2"/>
      <c r="R59" s="7">
        <f t="shared" si="28"/>
        <v>0</v>
      </c>
      <c r="S59" s="2"/>
      <c r="T59" s="6">
        <v>1483.56</v>
      </c>
      <c r="U59" s="2"/>
      <c r="V59" s="7">
        <f t="shared" si="29"/>
        <v>0</v>
      </c>
      <c r="W59" s="2"/>
      <c r="X59" s="6">
        <f t="shared" si="30"/>
        <v>91.120000000000118</v>
      </c>
      <c r="Y59" s="2"/>
      <c r="Z59" s="7">
        <f t="shared" si="31"/>
        <v>6.1419827981342261E-2</v>
      </c>
    </row>
    <row r="60" spans="1:26" s="27" customFormat="1" outlineLevel="1" collapsed="1" x14ac:dyDescent="0.25">
      <c r="A60" s="25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53550</v>
      </c>
      <c r="E60" s="1"/>
      <c r="F60" s="5">
        <f t="shared" si="24"/>
        <v>0</v>
      </c>
      <c r="G60" s="1"/>
      <c r="H60" s="1">
        <f>SUM(OSRRefH22_12x_0)</f>
        <v>42535.25</v>
      </c>
      <c r="I60" s="1"/>
      <c r="J60" s="5">
        <f t="shared" si="25"/>
        <v>0</v>
      </c>
      <c r="K60" s="1"/>
      <c r="L60" s="1">
        <f t="shared" si="26"/>
        <v>11014.75</v>
      </c>
      <c r="M60" s="1"/>
      <c r="N60" s="5">
        <f t="shared" si="27"/>
        <v>0.2589558072422285</v>
      </c>
      <c r="O60" s="13"/>
      <c r="P60" s="1">
        <f>SUM(OSRRefP22_12x_0)</f>
        <v>124610.91999999998</v>
      </c>
      <c r="Q60" s="1"/>
      <c r="R60" s="5">
        <f t="shared" si="28"/>
        <v>0</v>
      </c>
      <c r="S60" s="1"/>
      <c r="T60" s="1">
        <f>SUM(OSRRefT22_12x_0)</f>
        <v>64948.25</v>
      </c>
      <c r="U60" s="1"/>
      <c r="V60" s="5">
        <f t="shared" si="29"/>
        <v>0</v>
      </c>
      <c r="W60" s="1"/>
      <c r="X60" s="1">
        <f t="shared" si="30"/>
        <v>59662.669999999984</v>
      </c>
      <c r="Y60" s="1"/>
      <c r="Z60" s="5">
        <f t="shared" si="31"/>
        <v>0.91861859249479372</v>
      </c>
    </row>
    <row r="61" spans="1:26" s="24" customFormat="1" hidden="1" outlineLevel="2" x14ac:dyDescent="0.25">
      <c r="A61" s="26"/>
      <c r="B61" s="11" t="str">
        <f>CONCATENATE("          ", "6331", " - ", "INDIRECT COSTS-AUXILIARY ORGAN")</f>
        <v xml:space="preserve">          6331 - INDIRECT COSTS-AUXILIARY ORGAN</v>
      </c>
      <c r="C61" s="11"/>
      <c r="D61" s="6">
        <v>26712</v>
      </c>
      <c r="E61" s="2"/>
      <c r="F61" s="7">
        <f t="shared" si="24"/>
        <v>0</v>
      </c>
      <c r="G61" s="2"/>
      <c r="H61" s="6">
        <v>31425.25</v>
      </c>
      <c r="I61" s="2"/>
      <c r="J61" s="7">
        <f t="shared" si="25"/>
        <v>0</v>
      </c>
      <c r="K61" s="2"/>
      <c r="L61" s="6">
        <f t="shared" si="26"/>
        <v>-4713.25</v>
      </c>
      <c r="M61" s="2"/>
      <c r="N61" s="7">
        <f t="shared" si="27"/>
        <v>-0.14998289591968242</v>
      </c>
      <c r="O61" s="11"/>
      <c r="P61" s="6">
        <v>50199</v>
      </c>
      <c r="Q61" s="2"/>
      <c r="R61" s="7">
        <f t="shared" si="28"/>
        <v>0</v>
      </c>
      <c r="S61" s="2"/>
      <c r="T61" s="6">
        <v>42850.5</v>
      </c>
      <c r="U61" s="2"/>
      <c r="V61" s="7">
        <f t="shared" si="29"/>
        <v>0</v>
      </c>
      <c r="W61" s="2"/>
      <c r="X61" s="6">
        <f t="shared" si="30"/>
        <v>7348.5</v>
      </c>
      <c r="Y61" s="2"/>
      <c r="Z61" s="7">
        <f t="shared" si="31"/>
        <v>0.17149158119508523</v>
      </c>
    </row>
    <row r="62" spans="1:26" s="24" customFormat="1" hidden="1" outlineLevel="2" x14ac:dyDescent="0.25">
      <c r="A62" s="26"/>
      <c r="B62" s="11" t="str">
        <f>CONCATENATE("          ", "6332", " - ", "CONSULTANT FEES")</f>
        <v xml:space="preserve">          6332 - CONSULTANT FEES</v>
      </c>
      <c r="C62" s="11"/>
      <c r="D62" s="6"/>
      <c r="E62" s="2"/>
      <c r="F62" s="7">
        <f t="shared" si="24"/>
        <v>0</v>
      </c>
      <c r="G62" s="2"/>
      <c r="H62" s="6">
        <v>8850</v>
      </c>
      <c r="I62" s="2"/>
      <c r="J62" s="7">
        <f t="shared" si="25"/>
        <v>0</v>
      </c>
      <c r="K62" s="2"/>
      <c r="L62" s="6">
        <f t="shared" si="26"/>
        <v>-8850</v>
      </c>
      <c r="M62" s="2"/>
      <c r="N62" s="7">
        <f t="shared" si="27"/>
        <v>-1</v>
      </c>
      <c r="O62" s="11"/>
      <c r="P62" s="6">
        <v>15144.74</v>
      </c>
      <c r="Q62" s="2"/>
      <c r="R62" s="7">
        <f t="shared" si="28"/>
        <v>0</v>
      </c>
      <c r="S62" s="2"/>
      <c r="T62" s="6">
        <v>14450</v>
      </c>
      <c r="U62" s="2"/>
      <c r="V62" s="7">
        <f t="shared" si="29"/>
        <v>0</v>
      </c>
      <c r="W62" s="2"/>
      <c r="X62" s="6">
        <f t="shared" si="30"/>
        <v>694.73999999999978</v>
      </c>
      <c r="Y62" s="2"/>
      <c r="Z62" s="7">
        <f t="shared" si="31"/>
        <v>4.8078892733563999E-2</v>
      </c>
    </row>
    <row r="63" spans="1:26" s="24" customFormat="1" hidden="1" outlineLevel="2" x14ac:dyDescent="0.25">
      <c r="A63" s="26"/>
      <c r="B63" s="11" t="str">
        <f>CONCATENATE("          ", "6334", " - ", "LEGAL COUNCIL EXPENSE")</f>
        <v xml:space="preserve">          6334 - LEGAL COUNCIL EXPENSE</v>
      </c>
      <c r="C63" s="11"/>
      <c r="D63" s="6">
        <v>19285</v>
      </c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19285</v>
      </c>
      <c r="M63" s="2"/>
      <c r="N63" s="7">
        <f t="shared" si="27"/>
        <v>0</v>
      </c>
      <c r="O63" s="11"/>
      <c r="P63" s="6">
        <v>37885</v>
      </c>
      <c r="Q63" s="2"/>
      <c r="R63" s="7">
        <f t="shared" si="28"/>
        <v>0</v>
      </c>
      <c r="S63" s="2"/>
      <c r="T63" s="6">
        <v>75</v>
      </c>
      <c r="U63" s="2"/>
      <c r="V63" s="7">
        <f t="shared" si="29"/>
        <v>0</v>
      </c>
      <c r="W63" s="2"/>
      <c r="X63" s="6">
        <f t="shared" si="30"/>
        <v>37810</v>
      </c>
      <c r="Y63" s="2"/>
      <c r="Z63" s="7">
        <f t="shared" si="31"/>
        <v>504.13333333333333</v>
      </c>
    </row>
    <row r="64" spans="1:26" s="24" customFormat="1" hidden="1" outlineLevel="2" x14ac:dyDescent="0.25">
      <c r="A64" s="26"/>
      <c r="B64" s="11" t="str">
        <f>CONCATENATE("          ", "6336", " - ", "PROFESSIONAL SERVICES")</f>
        <v xml:space="preserve">          6336 - PROFESSIONAL SERVICES</v>
      </c>
      <c r="C64" s="11"/>
      <c r="D64" s="6">
        <v>7553</v>
      </c>
      <c r="E64" s="2"/>
      <c r="F64" s="7">
        <f t="shared" si="24"/>
        <v>0</v>
      </c>
      <c r="G64" s="2"/>
      <c r="H64" s="6">
        <v>2260</v>
      </c>
      <c r="I64" s="2"/>
      <c r="J64" s="7">
        <f t="shared" si="25"/>
        <v>0</v>
      </c>
      <c r="K64" s="2"/>
      <c r="L64" s="6">
        <f t="shared" si="26"/>
        <v>5293</v>
      </c>
      <c r="M64" s="2"/>
      <c r="N64" s="7">
        <f t="shared" si="27"/>
        <v>2.3420353982300885</v>
      </c>
      <c r="O64" s="11"/>
      <c r="P64" s="6">
        <v>21382.18</v>
      </c>
      <c r="Q64" s="2"/>
      <c r="R64" s="7">
        <f t="shared" si="28"/>
        <v>0</v>
      </c>
      <c r="S64" s="2"/>
      <c r="T64" s="6">
        <v>7572.75</v>
      </c>
      <c r="U64" s="2"/>
      <c r="V64" s="7">
        <f t="shared" si="29"/>
        <v>0</v>
      </c>
      <c r="W64" s="2"/>
      <c r="X64" s="6">
        <f t="shared" si="30"/>
        <v>13809.43</v>
      </c>
      <c r="Y64" s="2"/>
      <c r="Z64" s="7">
        <f t="shared" si="31"/>
        <v>1.8235687167805619</v>
      </c>
    </row>
    <row r="65" spans="1:26" s="27" customFormat="1" outlineLevel="1" collapsed="1" x14ac:dyDescent="0.25">
      <c r="A65" s="25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28015.309999999998</v>
      </c>
      <c r="E65" s="1"/>
      <c r="F65" s="5">
        <f t="shared" ref="F65:F68" si="32">IF(D$12=0,0,D65/D$12)</f>
        <v>0</v>
      </c>
      <c r="G65" s="1"/>
      <c r="H65" s="1">
        <f>SUM(OSRRefH22_13x_0)</f>
        <v>30477.73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-2462.4200000000019</v>
      </c>
      <c r="M65" s="1"/>
      <c r="N65" s="5">
        <f t="shared" ref="N65:N68" si="35">IF(H65=0,0,L65/H65)</f>
        <v>-8.0794074886810854E-2</v>
      </c>
      <c r="O65" s="13"/>
      <c r="P65" s="1">
        <f>SUM(OSRRefP22_13x_0)</f>
        <v>102699.33</v>
      </c>
      <c r="Q65" s="1"/>
      <c r="R65" s="5">
        <f t="shared" ref="R65:R68" si="36">IF(P$12=0,0,P65/P$12)</f>
        <v>0</v>
      </c>
      <c r="S65" s="1"/>
      <c r="T65" s="1">
        <f>SUM(OSRRefT22_13x_0)</f>
        <v>101304.54999999999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1394.7800000000134</v>
      </c>
      <c r="Y65" s="1"/>
      <c r="Z65" s="5">
        <f t="shared" ref="Z65:Z68" si="39">IF(T65=0,0,X65/T65)</f>
        <v>1.3768187114991514E-2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13398.08</v>
      </c>
      <c r="E66" s="2"/>
      <c r="F66" s="7">
        <f t="shared" si="32"/>
        <v>0</v>
      </c>
      <c r="G66" s="2"/>
      <c r="H66" s="6">
        <v>12986.87</v>
      </c>
      <c r="I66" s="2"/>
      <c r="J66" s="7">
        <f t="shared" si="33"/>
        <v>0</v>
      </c>
      <c r="K66" s="2"/>
      <c r="L66" s="6">
        <f t="shared" si="34"/>
        <v>411.20999999999913</v>
      </c>
      <c r="M66" s="2"/>
      <c r="N66" s="7">
        <f t="shared" si="35"/>
        <v>3.1663518615339885E-2</v>
      </c>
      <c r="O66" s="11"/>
      <c r="P66" s="6">
        <v>44903.19</v>
      </c>
      <c r="Q66" s="2"/>
      <c r="R66" s="7">
        <f t="shared" si="36"/>
        <v>0</v>
      </c>
      <c r="S66" s="2"/>
      <c r="T66" s="6">
        <v>45963.24</v>
      </c>
      <c r="U66" s="2"/>
      <c r="V66" s="7">
        <f t="shared" si="37"/>
        <v>0</v>
      </c>
      <c r="W66" s="2"/>
      <c r="X66" s="6">
        <f t="shared" si="38"/>
        <v>-1060.0499999999956</v>
      </c>
      <c r="Y66" s="2"/>
      <c r="Z66" s="7">
        <f t="shared" si="39"/>
        <v>-2.3062995559059711E-2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6">
        <v>13500.7</v>
      </c>
      <c r="E67" s="2"/>
      <c r="F67" s="7">
        <f t="shared" si="32"/>
        <v>0</v>
      </c>
      <c r="G67" s="2"/>
      <c r="H67" s="6">
        <v>17292.740000000002</v>
      </c>
      <c r="I67" s="2"/>
      <c r="J67" s="7">
        <f t="shared" si="33"/>
        <v>0</v>
      </c>
      <c r="K67" s="2"/>
      <c r="L67" s="6">
        <f t="shared" si="34"/>
        <v>-3792.0400000000009</v>
      </c>
      <c r="M67" s="2"/>
      <c r="N67" s="7">
        <f t="shared" si="35"/>
        <v>-0.21928508726783613</v>
      </c>
      <c r="O67" s="11"/>
      <c r="P67" s="6">
        <v>56506.5</v>
      </c>
      <c r="Q67" s="2"/>
      <c r="R67" s="7">
        <f t="shared" si="36"/>
        <v>0</v>
      </c>
      <c r="S67" s="2"/>
      <c r="T67" s="6">
        <v>54410.75</v>
      </c>
      <c r="U67" s="2"/>
      <c r="V67" s="7">
        <f t="shared" si="37"/>
        <v>0</v>
      </c>
      <c r="W67" s="2"/>
      <c r="X67" s="6">
        <f t="shared" si="38"/>
        <v>2095.75</v>
      </c>
      <c r="Y67" s="2"/>
      <c r="Z67" s="7">
        <f t="shared" si="39"/>
        <v>3.8517204780305361E-2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1116.53</v>
      </c>
      <c r="E68" s="2"/>
      <c r="F68" s="7">
        <f t="shared" si="32"/>
        <v>0</v>
      </c>
      <c r="G68" s="2"/>
      <c r="H68" s="6">
        <v>198.12</v>
      </c>
      <c r="I68" s="2"/>
      <c r="J68" s="7">
        <f t="shared" si="33"/>
        <v>0</v>
      </c>
      <c r="K68" s="2"/>
      <c r="L68" s="6">
        <f t="shared" si="34"/>
        <v>918.41</v>
      </c>
      <c r="M68" s="2"/>
      <c r="N68" s="7">
        <f t="shared" si="35"/>
        <v>4.6356248738138497</v>
      </c>
      <c r="O68" s="11"/>
      <c r="P68" s="6">
        <v>1289.6400000000001</v>
      </c>
      <c r="Q68" s="2"/>
      <c r="R68" s="7">
        <f t="shared" si="36"/>
        <v>0</v>
      </c>
      <c r="S68" s="2"/>
      <c r="T68" s="6">
        <v>930.56</v>
      </c>
      <c r="U68" s="2"/>
      <c r="V68" s="7">
        <f t="shared" si="37"/>
        <v>0</v>
      </c>
      <c r="W68" s="2"/>
      <c r="X68" s="6">
        <f t="shared" si="38"/>
        <v>359.08000000000015</v>
      </c>
      <c r="Y68" s="2"/>
      <c r="Z68" s="7">
        <f t="shared" si="39"/>
        <v>0.38587517193947751</v>
      </c>
    </row>
    <row r="69" spans="1:26" s="27" customFormat="1" outlineLevel="1" collapsed="1" x14ac:dyDescent="0.25">
      <c r="A69" s="25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SUM(OSRRefD22_14x_0)</f>
        <v>3467.0200000000004</v>
      </c>
      <c r="E69" s="1"/>
      <c r="F69" s="5">
        <f t="shared" ref="F69:F71" si="40">IF(D$12=0,0,D69/D$12)</f>
        <v>0</v>
      </c>
      <c r="G69" s="1"/>
      <c r="H69" s="1">
        <f>SUM(OSRRefH22_14x_0)</f>
        <v>14.16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3452.8600000000006</v>
      </c>
      <c r="M69" s="1"/>
      <c r="N69" s="5">
        <f t="shared" ref="N69:N71" si="43">IF(H69=0,0,L69/H69)</f>
        <v>243.84604519774015</v>
      </c>
      <c r="O69" s="13"/>
      <c r="P69" s="1">
        <f>SUM(OSRRefP22_14x_0)</f>
        <v>7206.8499999999995</v>
      </c>
      <c r="Q69" s="1"/>
      <c r="R69" s="5">
        <f t="shared" ref="R69:R71" si="44">IF(P$12=0,0,P69/P$12)</f>
        <v>0</v>
      </c>
      <c r="S69" s="1"/>
      <c r="T69" s="1">
        <f>SUM(OSRRefT22_14x_0)</f>
        <v>2021.39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5185.4599999999991</v>
      </c>
      <c r="Y69" s="1"/>
      <c r="Z69" s="5">
        <f t="shared" ref="Z69:Z71" si="47">IF(T69=0,0,X69/T69)</f>
        <v>2.5652941787581809</v>
      </c>
    </row>
    <row r="70" spans="1:26" s="24" customFormat="1" hidden="1" outlineLevel="2" x14ac:dyDescent="0.25">
      <c r="A70" s="26"/>
      <c r="B70" s="11" t="str">
        <f>CONCATENATE("          ", "6281", " - ", "STORAGE FEE")</f>
        <v xml:space="preserve">          6281 - STORAGE FEE</v>
      </c>
      <c r="C70" s="11"/>
      <c r="D70" s="6">
        <v>3453.76</v>
      </c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3453.76</v>
      </c>
      <c r="M70" s="2"/>
      <c r="N70" s="7">
        <f t="shared" si="43"/>
        <v>0</v>
      </c>
      <c r="O70" s="11"/>
      <c r="P70" s="6">
        <v>7167.07</v>
      </c>
      <c r="Q70" s="2"/>
      <c r="R70" s="7">
        <f t="shared" si="44"/>
        <v>0</v>
      </c>
      <c r="S70" s="2"/>
      <c r="T70" s="6">
        <v>1982.45</v>
      </c>
      <c r="U70" s="2"/>
      <c r="V70" s="7">
        <f t="shared" si="45"/>
        <v>0</v>
      </c>
      <c r="W70" s="2"/>
      <c r="X70" s="6">
        <f t="shared" si="46"/>
        <v>5184.62</v>
      </c>
      <c r="Y70" s="2"/>
      <c r="Z70" s="7">
        <f t="shared" si="47"/>
        <v>2.6152588968195918</v>
      </c>
    </row>
    <row r="71" spans="1:26" s="24" customFormat="1" hidden="1" outlineLevel="2" x14ac:dyDescent="0.25">
      <c r="A71" s="26"/>
      <c r="B71" s="11" t="str">
        <f>CONCATENATE("          ", "6286", " - ", "LAUNDRY EXPENSE")</f>
        <v xml:space="preserve">          6286 - LAUNDRY EXPENSE</v>
      </c>
      <c r="C71" s="11"/>
      <c r="D71" s="6">
        <v>13.26</v>
      </c>
      <c r="E71" s="2"/>
      <c r="F71" s="7">
        <f t="shared" si="40"/>
        <v>0</v>
      </c>
      <c r="G71" s="2"/>
      <c r="H71" s="6">
        <v>14.16</v>
      </c>
      <c r="I71" s="2"/>
      <c r="J71" s="7">
        <f t="shared" si="41"/>
        <v>0</v>
      </c>
      <c r="K71" s="2"/>
      <c r="L71" s="6">
        <f t="shared" si="42"/>
        <v>-0.90000000000000036</v>
      </c>
      <c r="M71" s="2"/>
      <c r="N71" s="7">
        <f t="shared" si="43"/>
        <v>-6.355932203389833E-2</v>
      </c>
      <c r="O71" s="11"/>
      <c r="P71" s="6">
        <v>39.78</v>
      </c>
      <c r="Q71" s="2"/>
      <c r="R71" s="7">
        <f t="shared" si="44"/>
        <v>0</v>
      </c>
      <c r="S71" s="2"/>
      <c r="T71" s="6">
        <v>38.94</v>
      </c>
      <c r="U71" s="2"/>
      <c r="V71" s="7">
        <f t="shared" si="45"/>
        <v>0</v>
      </c>
      <c r="W71" s="2"/>
      <c r="X71" s="6">
        <f t="shared" si="46"/>
        <v>0.84000000000000341</v>
      </c>
      <c r="Y71" s="2"/>
      <c r="Z71" s="7">
        <f t="shared" si="47"/>
        <v>2.1571648690292846E-2</v>
      </c>
    </row>
    <row r="72" spans="1:26" s="27" customFormat="1" outlineLevel="1" collapsed="1" x14ac:dyDescent="0.25">
      <c r="A72" s="25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SUM(OSRRefD22_15x_0)</f>
        <v>0</v>
      </c>
      <c r="E72" s="1"/>
      <c r="F72" s="5">
        <f t="shared" ref="F72:F78" si="48">IF(D$12=0,0,D72/D$12)</f>
        <v>0</v>
      </c>
      <c r="G72" s="1"/>
      <c r="H72" s="1">
        <f>SUM(OSRRefH22_15x_0)</f>
        <v>0</v>
      </c>
      <c r="I72" s="1"/>
      <c r="J72" s="5">
        <f t="shared" ref="J72:J78" si="49">IF(H$12=0,0,H72/H$12)</f>
        <v>0</v>
      </c>
      <c r="K72" s="1"/>
      <c r="L72" s="1">
        <f t="shared" ref="L72:L78" si="50">+D72-H72</f>
        <v>0</v>
      </c>
      <c r="M72" s="1"/>
      <c r="N72" s="5">
        <f t="shared" ref="N72:N78" si="51">IF(H72=0,0,L72/H72)</f>
        <v>0</v>
      </c>
      <c r="O72" s="13"/>
      <c r="P72" s="1">
        <f>SUM(OSRRefP22_15x_0)</f>
        <v>1626</v>
      </c>
      <c r="Q72" s="1"/>
      <c r="R72" s="5">
        <f t="shared" ref="R72:R78" si="52">IF(P$12=0,0,P72/P$12)</f>
        <v>0</v>
      </c>
      <c r="S72" s="1"/>
      <c r="T72" s="1">
        <f>SUM(OSRRefT22_15x_0)</f>
        <v>1817</v>
      </c>
      <c r="U72" s="1"/>
      <c r="V72" s="5">
        <f t="shared" ref="V72:V78" si="53">IF(T$12=0,0,T72/T$12)</f>
        <v>0</v>
      </c>
      <c r="W72" s="1"/>
      <c r="X72" s="1">
        <f t="shared" ref="X72:X78" si="54">+P72-T72</f>
        <v>-191</v>
      </c>
      <c r="Y72" s="1"/>
      <c r="Z72" s="5">
        <f t="shared" ref="Z72:Z78" si="55">IF(T72=0,0,X72/T72)</f>
        <v>-0.10511832691249312</v>
      </c>
    </row>
    <row r="73" spans="1:26" s="24" customFormat="1" hidden="1" outlineLevel="2" x14ac:dyDescent="0.25">
      <c r="A73" s="26"/>
      <c r="B73" s="11" t="str">
        <f>CONCATENATE("          ", "6258", " - ", "MEMBERSHIP DUES")</f>
        <v xml:space="preserve">          6258 - MEMBERSHIP DUES</v>
      </c>
      <c r="C73" s="11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>
        <v>1626</v>
      </c>
      <c r="Q73" s="2"/>
      <c r="R73" s="7">
        <f t="shared" si="52"/>
        <v>0</v>
      </c>
      <c r="S73" s="2"/>
      <c r="T73" s="6">
        <v>1817</v>
      </c>
      <c r="U73" s="2"/>
      <c r="V73" s="7">
        <f t="shared" si="53"/>
        <v>0</v>
      </c>
      <c r="W73" s="2"/>
      <c r="X73" s="6">
        <f t="shared" si="54"/>
        <v>-191</v>
      </c>
      <c r="Y73" s="2"/>
      <c r="Z73" s="7">
        <f t="shared" si="55"/>
        <v>-0.10511832691249312</v>
      </c>
    </row>
    <row r="74" spans="1:26" s="27" customFormat="1" outlineLevel="1" collapsed="1" x14ac:dyDescent="0.25">
      <c r="A74" s="25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SUM(OSRRefD22_16x_0)</f>
        <v>7765.2800000000007</v>
      </c>
      <c r="E74" s="1"/>
      <c r="F74" s="5">
        <f t="shared" si="48"/>
        <v>0</v>
      </c>
      <c r="G74" s="1"/>
      <c r="H74" s="1">
        <f>SUM(OSRRefH22_16x_0)</f>
        <v>17239.189999999999</v>
      </c>
      <c r="I74" s="1"/>
      <c r="J74" s="5">
        <f t="shared" si="49"/>
        <v>0</v>
      </c>
      <c r="K74" s="1"/>
      <c r="L74" s="1">
        <f t="shared" si="50"/>
        <v>-9473.909999999998</v>
      </c>
      <c r="M74" s="1"/>
      <c r="N74" s="5">
        <f t="shared" si="51"/>
        <v>-0.54955656269233055</v>
      </c>
      <c r="O74" s="13"/>
      <c r="P74" s="1">
        <f>SUM(OSRRefP22_16x_0)</f>
        <v>35889.479999999996</v>
      </c>
      <c r="Q74" s="1"/>
      <c r="R74" s="5">
        <f t="shared" si="52"/>
        <v>0</v>
      </c>
      <c r="S74" s="1"/>
      <c r="T74" s="1">
        <f>SUM(OSRRefT22_16x_0)</f>
        <v>34370.11</v>
      </c>
      <c r="U74" s="1"/>
      <c r="V74" s="5">
        <f t="shared" si="53"/>
        <v>0</v>
      </c>
      <c r="W74" s="1"/>
      <c r="X74" s="1">
        <f t="shared" si="54"/>
        <v>1519.3699999999953</v>
      </c>
      <c r="Y74" s="1"/>
      <c r="Z74" s="5">
        <f t="shared" si="55"/>
        <v>4.4206143070243169E-2</v>
      </c>
    </row>
    <row r="75" spans="1:26" s="24" customFormat="1" hidden="1" outlineLevel="2" x14ac:dyDescent="0.25">
      <c r="A75" s="26"/>
      <c r="B75" s="11" t="str">
        <f>CONCATENATE("          ", "6234", " - ", "EXPENDABLE SUPPLIES &amp; EQUIPMEN")</f>
        <v xml:space="preserve">          6234 - EXPENDABLE SUPPLIES &amp; EQUIPMEN</v>
      </c>
      <c r="C75" s="11"/>
      <c r="D75" s="6">
        <v>133.56</v>
      </c>
      <c r="E75" s="2"/>
      <c r="F75" s="7">
        <f t="shared" si="48"/>
        <v>0</v>
      </c>
      <c r="G75" s="2"/>
      <c r="H75" s="6">
        <v>3234.87</v>
      </c>
      <c r="I75" s="2"/>
      <c r="J75" s="7">
        <f t="shared" si="49"/>
        <v>0</v>
      </c>
      <c r="K75" s="2"/>
      <c r="L75" s="6">
        <f t="shared" si="50"/>
        <v>-3101.31</v>
      </c>
      <c r="M75" s="2"/>
      <c r="N75" s="7">
        <f t="shared" si="51"/>
        <v>-0.95871240575355421</v>
      </c>
      <c r="O75" s="11"/>
      <c r="P75" s="6">
        <v>910.52</v>
      </c>
      <c r="Q75" s="2"/>
      <c r="R75" s="7">
        <f t="shared" si="52"/>
        <v>0</v>
      </c>
      <c r="S75" s="2"/>
      <c r="T75" s="6">
        <v>4924.16</v>
      </c>
      <c r="U75" s="2"/>
      <c r="V75" s="7">
        <f t="shared" si="53"/>
        <v>0</v>
      </c>
      <c r="W75" s="2"/>
      <c r="X75" s="6">
        <f t="shared" si="54"/>
        <v>-4013.64</v>
      </c>
      <c r="Y75" s="2"/>
      <c r="Z75" s="7">
        <f t="shared" si="55"/>
        <v>-0.81509130491291915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6">
        <v>7292.21</v>
      </c>
      <c r="E76" s="2"/>
      <c r="F76" s="7">
        <f t="shared" si="48"/>
        <v>0</v>
      </c>
      <c r="G76" s="2"/>
      <c r="H76" s="6">
        <v>13563.45</v>
      </c>
      <c r="I76" s="2"/>
      <c r="J76" s="7">
        <f t="shared" si="49"/>
        <v>0</v>
      </c>
      <c r="K76" s="2"/>
      <c r="L76" s="6">
        <f t="shared" si="50"/>
        <v>-6271.2400000000007</v>
      </c>
      <c r="M76" s="2"/>
      <c r="N76" s="7">
        <f t="shared" si="51"/>
        <v>-0.46236318930655551</v>
      </c>
      <c r="O76" s="11"/>
      <c r="P76" s="6">
        <v>30627.929999999997</v>
      </c>
      <c r="Q76" s="2"/>
      <c r="R76" s="7">
        <f t="shared" si="52"/>
        <v>0</v>
      </c>
      <c r="S76" s="2"/>
      <c r="T76" s="6">
        <v>26493.91</v>
      </c>
      <c r="U76" s="2"/>
      <c r="V76" s="7">
        <f t="shared" si="53"/>
        <v>0</v>
      </c>
      <c r="W76" s="2"/>
      <c r="X76" s="6">
        <f t="shared" si="54"/>
        <v>4134.0199999999968</v>
      </c>
      <c r="Y76" s="2"/>
      <c r="Z76" s="7">
        <f t="shared" si="55"/>
        <v>0.15603661369726088</v>
      </c>
    </row>
    <row r="77" spans="1:26" s="24" customFormat="1" hidden="1" outlineLevel="2" x14ac:dyDescent="0.25">
      <c r="A77" s="26"/>
      <c r="B77" s="11" t="str">
        <f>CONCATENATE("          ", "6244", " - ", "SAFETY SUPPLY EXPENSE")</f>
        <v xml:space="preserve">          6244 - SAFETY SUPPLY EXPENSE</v>
      </c>
      <c r="C77" s="11"/>
      <c r="D77" s="6">
        <v>175</v>
      </c>
      <c r="E77" s="2"/>
      <c r="F77" s="7">
        <f t="shared" si="48"/>
        <v>0</v>
      </c>
      <c r="G77" s="2"/>
      <c r="H77" s="6">
        <v>350</v>
      </c>
      <c r="I77" s="2"/>
      <c r="J77" s="7">
        <f t="shared" si="49"/>
        <v>0</v>
      </c>
      <c r="K77" s="2"/>
      <c r="L77" s="6">
        <f t="shared" si="50"/>
        <v>-175</v>
      </c>
      <c r="M77" s="2"/>
      <c r="N77" s="7">
        <f t="shared" si="51"/>
        <v>-0.5</v>
      </c>
      <c r="O77" s="11"/>
      <c r="P77" s="6">
        <v>1407.33</v>
      </c>
      <c r="Q77" s="2"/>
      <c r="R77" s="7">
        <f t="shared" si="52"/>
        <v>0</v>
      </c>
      <c r="S77" s="2"/>
      <c r="T77" s="6">
        <v>2078.21</v>
      </c>
      <c r="U77" s="2"/>
      <c r="V77" s="7">
        <f t="shared" si="53"/>
        <v>0</v>
      </c>
      <c r="W77" s="2"/>
      <c r="X77" s="6">
        <f t="shared" si="54"/>
        <v>-670.88000000000011</v>
      </c>
      <c r="Y77" s="2"/>
      <c r="Z77" s="7">
        <f t="shared" si="55"/>
        <v>-0.32281626977061995</v>
      </c>
    </row>
    <row r="78" spans="1:26" s="24" customFormat="1" hidden="1" outlineLevel="2" x14ac:dyDescent="0.25">
      <c r="A78" s="26"/>
      <c r="B78" s="11" t="str">
        <f>CONCATENATE("          ", "6245", " - ", "PRINTING")</f>
        <v xml:space="preserve">          6245 - PRINTING</v>
      </c>
      <c r="C78" s="11"/>
      <c r="D78" s="6">
        <v>164.51</v>
      </c>
      <c r="E78" s="2"/>
      <c r="F78" s="7">
        <f t="shared" si="48"/>
        <v>0</v>
      </c>
      <c r="G78" s="2"/>
      <c r="H78" s="6">
        <v>90.87</v>
      </c>
      <c r="I78" s="2"/>
      <c r="J78" s="7">
        <f t="shared" si="49"/>
        <v>0</v>
      </c>
      <c r="K78" s="2"/>
      <c r="L78" s="6">
        <f t="shared" si="50"/>
        <v>73.639999999999986</v>
      </c>
      <c r="M78" s="2"/>
      <c r="N78" s="7">
        <f t="shared" si="51"/>
        <v>0.81038846704082734</v>
      </c>
      <c r="O78" s="11"/>
      <c r="P78" s="6">
        <v>2943.7</v>
      </c>
      <c r="Q78" s="2"/>
      <c r="R78" s="7">
        <f t="shared" si="52"/>
        <v>0</v>
      </c>
      <c r="S78" s="2"/>
      <c r="T78" s="6">
        <v>873.83</v>
      </c>
      <c r="U78" s="2"/>
      <c r="V78" s="7">
        <f t="shared" si="53"/>
        <v>0</v>
      </c>
      <c r="W78" s="2"/>
      <c r="X78" s="6">
        <f t="shared" si="54"/>
        <v>2069.87</v>
      </c>
      <c r="Y78" s="2"/>
      <c r="Z78" s="7">
        <f t="shared" si="55"/>
        <v>2.368733048762345</v>
      </c>
    </row>
    <row r="79" spans="1:26" s="27" customFormat="1" outlineLevel="1" collapsed="1" x14ac:dyDescent="0.25">
      <c r="A79" s="25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SUM(OSRRefD22_17x_0)</f>
        <v>2429.0299999999997</v>
      </c>
      <c r="E79" s="1"/>
      <c r="F79" s="5">
        <f t="shared" ref="F79:F81" si="56">IF(D$12=0,0,D79/D$12)</f>
        <v>0</v>
      </c>
      <c r="G79" s="1"/>
      <c r="H79" s="1">
        <f>SUM(OSRRefH22_17x_0)</f>
        <v>2491.25</v>
      </c>
      <c r="I79" s="1"/>
      <c r="J79" s="5">
        <f t="shared" ref="J79:J81" si="57">IF(H$12=0,0,H79/H$12)</f>
        <v>0</v>
      </c>
      <c r="K79" s="1"/>
      <c r="L79" s="1">
        <f t="shared" ref="L79:L81" si="58">+D79-H79</f>
        <v>-62.220000000000255</v>
      </c>
      <c r="M79" s="1"/>
      <c r="N79" s="5">
        <f t="shared" ref="N79:N81" si="59">IF(H79=0,0,L79/H79)</f>
        <v>-2.4975413948820975E-2</v>
      </c>
      <c r="O79" s="13"/>
      <c r="P79" s="1">
        <f>SUM(OSRRefP22_17x_0)</f>
        <v>11706.8</v>
      </c>
      <c r="Q79" s="1"/>
      <c r="R79" s="5">
        <f t="shared" ref="R79:R81" si="60">IF(P$12=0,0,P79/P$12)</f>
        <v>0</v>
      </c>
      <c r="S79" s="1"/>
      <c r="T79" s="1">
        <f>SUM(OSRRefT22_17x_0)</f>
        <v>8405.81</v>
      </c>
      <c r="U79" s="1"/>
      <c r="V79" s="5">
        <f t="shared" ref="V79:V81" si="61">IF(T$12=0,0,T79/T$12)</f>
        <v>0</v>
      </c>
      <c r="W79" s="1"/>
      <c r="X79" s="1">
        <f t="shared" ref="X79:X81" si="62">+P79-T79</f>
        <v>3300.99</v>
      </c>
      <c r="Y79" s="1"/>
      <c r="Z79" s="5">
        <f t="shared" ref="Z79:Z81" si="63">IF(T79=0,0,X79/T79)</f>
        <v>0.39270338016205458</v>
      </c>
    </row>
    <row r="80" spans="1:26" s="24" customFormat="1" hidden="1" outlineLevel="2" x14ac:dyDescent="0.25">
      <c r="A80" s="26"/>
      <c r="B80" s="11" t="str">
        <f>CONCATENATE("          ", "6303", " - ", "DATA PHONE LINES")</f>
        <v xml:space="preserve">          6303 - DATA PHONE LINES</v>
      </c>
      <c r="C80" s="11"/>
      <c r="D80" s="6">
        <v>232.79</v>
      </c>
      <c r="E80" s="2"/>
      <c r="F80" s="7">
        <f t="shared" si="56"/>
        <v>0</v>
      </c>
      <c r="G80" s="2"/>
      <c r="H80" s="6">
        <v>174.23</v>
      </c>
      <c r="I80" s="2"/>
      <c r="J80" s="7">
        <f t="shared" si="57"/>
        <v>0</v>
      </c>
      <c r="K80" s="2"/>
      <c r="L80" s="6">
        <f t="shared" si="58"/>
        <v>58.56</v>
      </c>
      <c r="M80" s="2"/>
      <c r="N80" s="7">
        <f t="shared" si="59"/>
        <v>0.33610744418297656</v>
      </c>
      <c r="O80" s="11"/>
      <c r="P80" s="6">
        <v>740.41</v>
      </c>
      <c r="Q80" s="2"/>
      <c r="R80" s="7">
        <f t="shared" si="60"/>
        <v>0</v>
      </c>
      <c r="S80" s="2"/>
      <c r="T80" s="6">
        <v>695.99</v>
      </c>
      <c r="U80" s="2"/>
      <c r="V80" s="7">
        <f t="shared" si="61"/>
        <v>0</v>
      </c>
      <c r="W80" s="2"/>
      <c r="X80" s="6">
        <f t="shared" si="62"/>
        <v>44.419999999999959</v>
      </c>
      <c r="Y80" s="2"/>
      <c r="Z80" s="7">
        <f t="shared" si="63"/>
        <v>6.3822756074081471E-2</v>
      </c>
    </row>
    <row r="81" spans="1:26" s="24" customFormat="1" hidden="1" outlineLevel="2" x14ac:dyDescent="0.25">
      <c r="A81" s="26"/>
      <c r="B81" s="11" t="str">
        <f>CONCATENATE("          ", "6309", " - ", "TELEPHONE")</f>
        <v xml:space="preserve">          6309 - TELEPHONE</v>
      </c>
      <c r="C81" s="11"/>
      <c r="D81" s="6">
        <v>2196.2399999999998</v>
      </c>
      <c r="E81" s="2"/>
      <c r="F81" s="7">
        <f t="shared" si="56"/>
        <v>0</v>
      </c>
      <c r="G81" s="2"/>
      <c r="H81" s="6">
        <v>2317.02</v>
      </c>
      <c r="I81" s="2"/>
      <c r="J81" s="7">
        <f t="shared" si="57"/>
        <v>0</v>
      </c>
      <c r="K81" s="2"/>
      <c r="L81" s="6">
        <f t="shared" si="58"/>
        <v>-120.7800000000002</v>
      </c>
      <c r="M81" s="2"/>
      <c r="N81" s="7">
        <f t="shared" si="59"/>
        <v>-5.2127301447549096E-2</v>
      </c>
      <c r="O81" s="11"/>
      <c r="P81" s="6">
        <v>10966.39</v>
      </c>
      <c r="Q81" s="2"/>
      <c r="R81" s="7">
        <f t="shared" si="60"/>
        <v>0</v>
      </c>
      <c r="S81" s="2"/>
      <c r="T81" s="6">
        <v>7709.82</v>
      </c>
      <c r="U81" s="2"/>
      <c r="V81" s="7">
        <f t="shared" si="61"/>
        <v>0</v>
      </c>
      <c r="W81" s="2"/>
      <c r="X81" s="6">
        <f t="shared" si="62"/>
        <v>3256.5699999999997</v>
      </c>
      <c r="Y81" s="2"/>
      <c r="Z81" s="7">
        <f t="shared" si="63"/>
        <v>0.42239248127712448</v>
      </c>
    </row>
    <row r="82" spans="1:26" s="27" customFormat="1" outlineLevel="1" collapsed="1" x14ac:dyDescent="0.25">
      <c r="A82" s="25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SUM(OSRRefD22_18x_0)</f>
        <v>2086.75</v>
      </c>
      <c r="E82" s="1"/>
      <c r="F82" s="5">
        <f t="shared" ref="F82:F86" si="64">IF(D$12=0,0,D82/D$12)</f>
        <v>0</v>
      </c>
      <c r="G82" s="1"/>
      <c r="H82" s="1">
        <f>SUM(OSRRefH22_18x_0)</f>
        <v>2675.51</v>
      </c>
      <c r="I82" s="1"/>
      <c r="J82" s="5">
        <f t="shared" ref="J82:J86" si="65">IF(H$12=0,0,H82/H$12)</f>
        <v>0</v>
      </c>
      <c r="K82" s="1"/>
      <c r="L82" s="1">
        <f t="shared" ref="L82:L86" si="66">+D82-H82</f>
        <v>-588.76000000000022</v>
      </c>
      <c r="M82" s="1"/>
      <c r="N82" s="5">
        <f t="shared" ref="N82:N86" si="67">IF(H82=0,0,L82/H82)</f>
        <v>-0.22005524180436634</v>
      </c>
      <c r="O82" s="13"/>
      <c r="P82" s="1">
        <f>SUM(OSRRefP22_18x_0)</f>
        <v>7548.73</v>
      </c>
      <c r="Q82" s="1"/>
      <c r="R82" s="5">
        <f t="shared" ref="R82:R86" si="68">IF(P$12=0,0,P82/P$12)</f>
        <v>0</v>
      </c>
      <c r="S82" s="1"/>
      <c r="T82" s="1">
        <f>SUM(OSRRefT22_18x_0)</f>
        <v>19393.259999999998</v>
      </c>
      <c r="U82" s="1"/>
      <c r="V82" s="5">
        <f t="shared" ref="V82:V86" si="69">IF(T$12=0,0,T82/T$12)</f>
        <v>0</v>
      </c>
      <c r="W82" s="1"/>
      <c r="X82" s="1">
        <f t="shared" ref="X82:X86" si="70">+P82-T82</f>
        <v>-11844.529999999999</v>
      </c>
      <c r="Y82" s="1"/>
      <c r="Z82" s="5">
        <f t="shared" ref="Z82:Z86" si="71">IF(T82=0,0,X82/T82)</f>
        <v>-0.61075497363517017</v>
      </c>
    </row>
    <row r="83" spans="1:26" s="24" customFormat="1" hidden="1" outlineLevel="2" x14ac:dyDescent="0.25">
      <c r="A83" s="26"/>
      <c r="B83" s="11" t="str">
        <f>CONCATENATE("          ", "6376", " - ", "TRAINING")</f>
        <v xml:space="preserve">          6376 - TRAINING</v>
      </c>
      <c r="C83" s="11"/>
      <c r="D83" s="6">
        <v>2086.75</v>
      </c>
      <c r="E83" s="2"/>
      <c r="F83" s="7">
        <f t="shared" si="64"/>
        <v>0</v>
      </c>
      <c r="G83" s="2"/>
      <c r="H83" s="6">
        <v>2675.51</v>
      </c>
      <c r="I83" s="2"/>
      <c r="J83" s="7">
        <f t="shared" si="65"/>
        <v>0</v>
      </c>
      <c r="K83" s="2"/>
      <c r="L83" s="6">
        <f t="shared" si="66"/>
        <v>-588.76000000000022</v>
      </c>
      <c r="M83" s="2"/>
      <c r="N83" s="7">
        <f t="shared" si="67"/>
        <v>-0.22005524180436634</v>
      </c>
      <c r="O83" s="11"/>
      <c r="P83" s="6">
        <v>7548.73</v>
      </c>
      <c r="Q83" s="2"/>
      <c r="R83" s="7">
        <f t="shared" si="68"/>
        <v>0</v>
      </c>
      <c r="S83" s="2"/>
      <c r="T83" s="6">
        <v>19393.259999999998</v>
      </c>
      <c r="U83" s="2"/>
      <c r="V83" s="7">
        <f t="shared" si="69"/>
        <v>0</v>
      </c>
      <c r="W83" s="2"/>
      <c r="X83" s="6">
        <f t="shared" si="70"/>
        <v>-11844.529999999999</v>
      </c>
      <c r="Y83" s="2"/>
      <c r="Z83" s="7">
        <f t="shared" si="71"/>
        <v>-0.61075497363517017</v>
      </c>
    </row>
    <row r="84" spans="1:26" s="27" customFormat="1" outlineLevel="1" collapsed="1" x14ac:dyDescent="0.25">
      <c r="A84" s="25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SUM(OSRRefD22_19x_0)</f>
        <v>457.06</v>
      </c>
      <c r="E84" s="1"/>
      <c r="F84" s="5">
        <f t="shared" si="64"/>
        <v>0</v>
      </c>
      <c r="G84" s="1"/>
      <c r="H84" s="1">
        <f>SUM(OSRRefH22_19x_0)</f>
        <v>7084.9</v>
      </c>
      <c r="I84" s="1"/>
      <c r="J84" s="5">
        <f t="shared" si="65"/>
        <v>0</v>
      </c>
      <c r="K84" s="1"/>
      <c r="L84" s="1">
        <f t="shared" si="66"/>
        <v>-6627.8399999999992</v>
      </c>
      <c r="M84" s="1"/>
      <c r="N84" s="5">
        <f t="shared" si="67"/>
        <v>-0.93548815085604586</v>
      </c>
      <c r="O84" s="13"/>
      <c r="P84" s="1">
        <f>SUM(OSRRefP22_19x_0)</f>
        <v>5627.3799999999992</v>
      </c>
      <c r="Q84" s="1"/>
      <c r="R84" s="5">
        <f t="shared" si="68"/>
        <v>0</v>
      </c>
      <c r="S84" s="1"/>
      <c r="T84" s="1">
        <f>SUM(OSRRefT22_19x_0)</f>
        <v>11066.42</v>
      </c>
      <c r="U84" s="1"/>
      <c r="V84" s="5">
        <f t="shared" si="69"/>
        <v>0</v>
      </c>
      <c r="W84" s="1"/>
      <c r="X84" s="1">
        <f t="shared" si="70"/>
        <v>-5439.0400000000009</v>
      </c>
      <c r="Y84" s="1"/>
      <c r="Z84" s="5">
        <f t="shared" si="71"/>
        <v>-0.49149047298042192</v>
      </c>
    </row>
    <row r="85" spans="1:26" s="24" customFormat="1" hidden="1" outlineLevel="2" x14ac:dyDescent="0.25">
      <c r="A85" s="26"/>
      <c r="B85" s="11" t="str">
        <f>CONCATENATE("          ", "6292", " - ", "TRAVEL/CONFERENCE")</f>
        <v xml:space="preserve">          6292 - TRAVEL/CONFERENCE</v>
      </c>
      <c r="C85" s="11"/>
      <c r="D85" s="6">
        <v>457.06</v>
      </c>
      <c r="E85" s="2"/>
      <c r="F85" s="7">
        <f t="shared" si="64"/>
        <v>0</v>
      </c>
      <c r="G85" s="2"/>
      <c r="H85" s="6">
        <v>5734.23</v>
      </c>
      <c r="I85" s="2"/>
      <c r="J85" s="7">
        <f t="shared" si="65"/>
        <v>0</v>
      </c>
      <c r="K85" s="2"/>
      <c r="L85" s="6">
        <f t="shared" si="66"/>
        <v>-5277.1699999999992</v>
      </c>
      <c r="M85" s="2"/>
      <c r="N85" s="7">
        <f t="shared" si="67"/>
        <v>-0.92029269840937655</v>
      </c>
      <c r="O85" s="11"/>
      <c r="P85" s="6">
        <v>5603.48</v>
      </c>
      <c r="Q85" s="2"/>
      <c r="R85" s="7">
        <f t="shared" si="68"/>
        <v>0</v>
      </c>
      <c r="S85" s="2"/>
      <c r="T85" s="6">
        <v>9691.99</v>
      </c>
      <c r="U85" s="2"/>
      <c r="V85" s="7">
        <f t="shared" si="69"/>
        <v>0</v>
      </c>
      <c r="W85" s="2"/>
      <c r="X85" s="6">
        <f t="shared" si="70"/>
        <v>-4088.51</v>
      </c>
      <c r="Y85" s="2"/>
      <c r="Z85" s="7">
        <f t="shared" si="71"/>
        <v>-0.42184422394162607</v>
      </c>
    </row>
    <row r="86" spans="1:26" s="24" customFormat="1" hidden="1" outlineLevel="2" x14ac:dyDescent="0.25">
      <c r="A86" s="26"/>
      <c r="B86" s="11" t="str">
        <f>CONCATENATE("          ", "6294", " - ", "TRAVEL OPERATIONAL")</f>
        <v xml:space="preserve">          6294 - TRAVEL OPERATIONAL</v>
      </c>
      <c r="C86" s="11"/>
      <c r="D86" s="6"/>
      <c r="E86" s="2"/>
      <c r="F86" s="7">
        <f t="shared" si="64"/>
        <v>0</v>
      </c>
      <c r="G86" s="2"/>
      <c r="H86" s="6">
        <v>1350.67</v>
      </c>
      <c r="I86" s="2"/>
      <c r="J86" s="7">
        <f t="shared" si="65"/>
        <v>0</v>
      </c>
      <c r="K86" s="2"/>
      <c r="L86" s="6">
        <f t="shared" si="66"/>
        <v>-1350.67</v>
      </c>
      <c r="M86" s="2"/>
      <c r="N86" s="7">
        <f t="shared" si="67"/>
        <v>-1</v>
      </c>
      <c r="O86" s="11"/>
      <c r="P86" s="6">
        <v>23.9</v>
      </c>
      <c r="Q86" s="2"/>
      <c r="R86" s="7">
        <f t="shared" si="68"/>
        <v>0</v>
      </c>
      <c r="S86" s="2"/>
      <c r="T86" s="6">
        <v>1374.43</v>
      </c>
      <c r="U86" s="2"/>
      <c r="V86" s="7">
        <f t="shared" si="69"/>
        <v>0</v>
      </c>
      <c r="W86" s="2"/>
      <c r="X86" s="6">
        <f t="shared" si="70"/>
        <v>-1350.53</v>
      </c>
      <c r="Y86" s="2"/>
      <c r="Z86" s="7">
        <f t="shared" si="71"/>
        <v>-0.9826109732761944</v>
      </c>
    </row>
    <row r="87" spans="1:26" s="55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9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8" t="s">
        <v>3</v>
      </c>
      <c r="C90" s="28"/>
      <c r="D90" s="21">
        <f>+D16-D18+D88</f>
        <v>-309098.71000000008</v>
      </c>
      <c r="E90" s="14"/>
      <c r="F90" s="22">
        <f>IF(D$12=0,0,D90/D$12)</f>
        <v>0</v>
      </c>
      <c r="G90" s="14"/>
      <c r="H90" s="21">
        <f>+H16-H18+H88</f>
        <v>-369606.28999999992</v>
      </c>
      <c r="I90" s="14"/>
      <c r="J90" s="22">
        <f>IF(H$12=0,0,H90/H$12)</f>
        <v>0</v>
      </c>
      <c r="K90" s="16"/>
      <c r="L90" s="21">
        <f>+D90-H90</f>
        <v>60507.579999999842</v>
      </c>
      <c r="M90" s="16"/>
      <c r="N90" s="22">
        <f>IF(H90=0,0,L90/H90)</f>
        <v>-0.16370819879715753</v>
      </c>
      <c r="O90" s="29"/>
      <c r="P90" s="21">
        <f>+P16-P18+P88</f>
        <v>-1354656.5099999995</v>
      </c>
      <c r="Q90" s="14"/>
      <c r="R90" s="22">
        <f>IF(P$12=0,0,P90/P$12)</f>
        <v>0</v>
      </c>
      <c r="S90" s="14"/>
      <c r="T90" s="21">
        <f>+T16-T18+T88</f>
        <v>-1261277.4599999997</v>
      </c>
      <c r="U90" s="14"/>
      <c r="V90" s="22">
        <f>IF(T$12=0,0,T90/T$12)</f>
        <v>0</v>
      </c>
      <c r="W90" s="16"/>
      <c r="X90" s="21">
        <f>+P90-T90</f>
        <v>-93379.049999999814</v>
      </c>
      <c r="Y90" s="16"/>
      <c r="Z90" s="22">
        <f>IF(T90=0,0,X90/T90)</f>
        <v>7.403529592925559E-2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1"/>
      <c r="B92" s="10" t="s">
        <v>13</v>
      </c>
      <c r="C92" s="10"/>
      <c r="D92" s="4"/>
      <c r="E92" s="4"/>
      <c r="F92" s="12">
        <f>IF(D$12=0,0,D92/D$12)</f>
        <v>0</v>
      </c>
      <c r="G92" s="4"/>
      <c r="H92" s="4"/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/>
      <c r="Q92" s="4"/>
      <c r="R92" s="12">
        <f>IF(P$12=0,0,P92/P$12)</f>
        <v>0</v>
      </c>
      <c r="S92" s="4"/>
      <c r="T92" s="4"/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4</v>
      </c>
      <c r="C94" s="28"/>
      <c r="D94" s="31">
        <f>+D90-D92</f>
        <v>-309098.71000000008</v>
      </c>
      <c r="E94" s="14"/>
      <c r="F94" s="34">
        <f>IF(D$12=0,0,D94/D$12)</f>
        <v>0</v>
      </c>
      <c r="G94" s="14"/>
      <c r="H94" s="31">
        <f>+H90-H92</f>
        <v>-369606.28999999992</v>
      </c>
      <c r="I94" s="14"/>
      <c r="J94" s="34">
        <f>IF(H$12=0,0,H94/H$12)</f>
        <v>0</v>
      </c>
      <c r="K94" s="16"/>
      <c r="L94" s="31">
        <f>D94-H94</f>
        <v>60507.579999999842</v>
      </c>
      <c r="M94" s="16"/>
      <c r="N94" s="34">
        <f>IF(H94=0,0,L94/H94)</f>
        <v>-0.16370819879715753</v>
      </c>
      <c r="O94" s="29"/>
      <c r="P94" s="31">
        <f>+P90-P92</f>
        <v>-1354656.5099999995</v>
      </c>
      <c r="Q94" s="14"/>
      <c r="R94" s="34">
        <f>IF(P$12=0,0,P94/P$12)</f>
        <v>0</v>
      </c>
      <c r="S94" s="14"/>
      <c r="T94" s="31">
        <f>+T90-T92</f>
        <v>-1261277.4599999997</v>
      </c>
      <c r="U94" s="14"/>
      <c r="V94" s="34">
        <f>IF(T$12=0,0,T94/T$12)</f>
        <v>0</v>
      </c>
      <c r="W94" s="16"/>
      <c r="X94" s="31">
        <f>P94-T94</f>
        <v>-93379.049999999814</v>
      </c>
      <c r="Y94" s="16"/>
      <c r="Z94" s="34">
        <f>IF(T94=0,0,X94/T94)</f>
        <v>7.403529592925559E-2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5</v>
      </c>
      <c r="C97" s="28"/>
      <c r="D97" s="36">
        <f>SUM(D94:D96)</f>
        <v>-309098.71000000008</v>
      </c>
      <c r="E97" s="14"/>
      <c r="F97" s="33">
        <f>IF(D$12=0,0,D97/D$12)</f>
        <v>0</v>
      </c>
      <c r="G97" s="14"/>
      <c r="H97" s="36">
        <f>SUM(H94:H96)</f>
        <v>-369606.28999999992</v>
      </c>
      <c r="I97" s="14"/>
      <c r="J97" s="33">
        <f>IF(H$12=0,0,H97/H$12)</f>
        <v>0</v>
      </c>
      <c r="K97" s="16"/>
      <c r="L97" s="36">
        <f>+D97-H97</f>
        <v>60507.579999999842</v>
      </c>
      <c r="M97" s="16"/>
      <c r="N97" s="33">
        <f>IF(H97=0,0,L97/H97)</f>
        <v>-0.16370819879715753</v>
      </c>
      <c r="O97" s="29"/>
      <c r="P97" s="36">
        <f>SUM(P94:P96)</f>
        <v>-1354656.5099999995</v>
      </c>
      <c r="Q97" s="14"/>
      <c r="R97" s="33">
        <f>IF(P$12=0,0,P97/P$12)</f>
        <v>0</v>
      </c>
      <c r="S97" s="14"/>
      <c r="T97" s="36">
        <f>SUM(T94:T96)</f>
        <v>-1261277.4599999997</v>
      </c>
      <c r="U97" s="14"/>
      <c r="V97" s="33">
        <f>IF(T$12=0,0,T97/T$12)</f>
        <v>0</v>
      </c>
      <c r="W97" s="16"/>
      <c r="X97" s="36">
        <f>+P97-T97</f>
        <v>-93379.049999999814</v>
      </c>
      <c r="Y97" s="16"/>
      <c r="Z97" s="33">
        <f>IF(T97=0,0,X97/T97)</f>
        <v>7.403529592925559E-2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61">
        <v>43791.35469197917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6" t="s">
        <v>313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7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5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6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303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303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19"/>
  <sheetViews>
    <sheetView tabSelected="1" zoomScale="80" workbookViewId="0">
      <pane xSplit="3" ySplit="10" topLeftCell="D1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3723428.32</v>
      </c>
      <c r="E12" s="4"/>
      <c r="F12" s="12"/>
      <c r="G12" s="4"/>
      <c r="H12" s="4">
        <f>SUM(OSRRefH13x_0)</f>
        <v>3697435.7599999988</v>
      </c>
      <c r="I12" s="4"/>
      <c r="J12" s="12"/>
      <c r="K12" s="4"/>
      <c r="L12" s="4">
        <f t="shared" ref="L12:L133" si="0">+D12-H12</f>
        <v>25992.560000000987</v>
      </c>
      <c r="M12" s="4"/>
      <c r="N12" s="12">
        <f t="shared" ref="N12:N133" si="1">IF(H12=0,0,L12/H12)</f>
        <v>7.0298881947312031E-3</v>
      </c>
      <c r="O12" s="10"/>
      <c r="P12" s="4">
        <f>SUM(OSRRefP13x_0)</f>
        <v>13457402.719999999</v>
      </c>
      <c r="Q12" s="4"/>
      <c r="R12" s="12"/>
      <c r="S12" s="4"/>
      <c r="T12" s="4">
        <f>SUM(OSRRefT13x_0)</f>
        <v>13733453.860000003</v>
      </c>
      <c r="U12" s="4"/>
      <c r="V12" s="12"/>
      <c r="W12" s="4"/>
      <c r="X12" s="4">
        <f t="shared" ref="X12:X133" si="2">+P12-T12</f>
        <v>-276051.14000000432</v>
      </c>
      <c r="Y12" s="4"/>
      <c r="Z12" s="12">
        <f t="shared" ref="Z12:Z133" si="3">IF(T12=0,0,X12/T12)</f>
        <v>-2.0100634757584883E-2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--31204.32</f>
        <v>31204.32</v>
      </c>
      <c r="E13" s="2"/>
      <c r="F13" s="19"/>
      <c r="G13" s="2"/>
      <c r="H13" s="2">
        <f>--48405.77</f>
        <v>48405.77</v>
      </c>
      <c r="I13" s="2"/>
      <c r="J13" s="19"/>
      <c r="K13" s="2"/>
      <c r="L13" s="2">
        <f t="shared" si="0"/>
        <v>-17201.449999999997</v>
      </c>
      <c r="M13" s="2"/>
      <c r="N13" s="19">
        <f t="shared" si="1"/>
        <v>-0.35535949536594497</v>
      </c>
      <c r="O13" s="11"/>
      <c r="P13" s="2">
        <f>--1495159.74</f>
        <v>1495159.74</v>
      </c>
      <c r="Q13" s="2"/>
      <c r="R13" s="19"/>
      <c r="S13" s="2"/>
      <c r="T13" s="2">
        <f>--1838816.03</f>
        <v>1838816.03</v>
      </c>
      <c r="U13" s="2"/>
      <c r="V13" s="19"/>
      <c r="W13" s="2"/>
      <c r="X13" s="2">
        <f t="shared" si="2"/>
        <v>-343656.29000000004</v>
      </c>
      <c r="Y13" s="2"/>
      <c r="Z13" s="19">
        <f t="shared" si="3"/>
        <v>-0.18688997941789753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--8985.78</f>
        <v>8985.7800000000007</v>
      </c>
      <c r="E14" s="2"/>
      <c r="F14" s="19"/>
      <c r="G14" s="2"/>
      <c r="H14" s="2">
        <f>--11150.82</f>
        <v>11150.82</v>
      </c>
      <c r="I14" s="2"/>
      <c r="J14" s="19"/>
      <c r="K14" s="2"/>
      <c r="L14" s="2">
        <f t="shared" si="0"/>
        <v>-2165.0399999999991</v>
      </c>
      <c r="M14" s="2"/>
      <c r="N14" s="19">
        <f t="shared" si="1"/>
        <v>-0.19415971202117863</v>
      </c>
      <c r="O14" s="11"/>
      <c r="P14" s="2">
        <f>--666296.36</f>
        <v>666296.36</v>
      </c>
      <c r="Q14" s="2"/>
      <c r="R14" s="19"/>
      <c r="S14" s="2"/>
      <c r="T14" s="2">
        <f>--740611.19</f>
        <v>740611.19</v>
      </c>
      <c r="U14" s="2"/>
      <c r="V14" s="19"/>
      <c r="W14" s="2"/>
      <c r="X14" s="2">
        <f t="shared" si="2"/>
        <v>-74314.829999999958</v>
      </c>
      <c r="Y14" s="2"/>
      <c r="Z14" s="19">
        <f t="shared" si="3"/>
        <v>-0.10034256976322484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--307.97</f>
        <v>307.97000000000003</v>
      </c>
      <c r="E15" s="2"/>
      <c r="F15" s="19"/>
      <c r="G15" s="2"/>
      <c r="H15" s="2">
        <f>--85</f>
        <v>85</v>
      </c>
      <c r="I15" s="2"/>
      <c r="J15" s="19"/>
      <c r="K15" s="2"/>
      <c r="L15" s="2">
        <f t="shared" si="0"/>
        <v>222.97000000000003</v>
      </c>
      <c r="M15" s="2"/>
      <c r="N15" s="19">
        <f t="shared" si="1"/>
        <v>2.6231764705882354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--460.04</f>
        <v>460.04</v>
      </c>
      <c r="E16" s="2"/>
      <c r="F16" s="19"/>
      <c r="G16" s="2"/>
      <c r="H16" s="2">
        <f>--180.48</f>
        <v>180.48</v>
      </c>
      <c r="I16" s="2"/>
      <c r="J16" s="19"/>
      <c r="K16" s="2"/>
      <c r="L16" s="2">
        <f t="shared" si="0"/>
        <v>279.56000000000006</v>
      </c>
      <c r="M16" s="2"/>
      <c r="N16" s="19">
        <f t="shared" si="1"/>
        <v>1.5489804964539011</v>
      </c>
      <c r="O16" s="11"/>
      <c r="P16" s="2">
        <f>--30160.48</f>
        <v>30160.48</v>
      </c>
      <c r="Q16" s="2"/>
      <c r="R16" s="19"/>
      <c r="S16" s="2"/>
      <c r="T16" s="2">
        <f>--42280.28</f>
        <v>42280.28</v>
      </c>
      <c r="U16" s="2"/>
      <c r="V16" s="19"/>
      <c r="W16" s="2"/>
      <c r="X16" s="2">
        <f t="shared" si="2"/>
        <v>-12119.8</v>
      </c>
      <c r="Y16" s="2"/>
      <c r="Z16" s="19">
        <f t="shared" si="3"/>
        <v>-0.2866537307699949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--5.23</f>
        <v>5.23</v>
      </c>
      <c r="I17" s="2"/>
      <c r="J17" s="19"/>
      <c r="K17" s="2"/>
      <c r="L17" s="2">
        <f t="shared" si="0"/>
        <v>-5.23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--5.23</f>
        <v>5.23</v>
      </c>
      <c r="U17" s="2"/>
      <c r="V17" s="19"/>
      <c r="W17" s="2"/>
      <c r="X17" s="2">
        <f t="shared" si="2"/>
        <v>4.3699999999999992</v>
      </c>
      <c r="Y17" s="2"/>
      <c r="Z17" s="19">
        <f t="shared" si="3"/>
        <v>0.83556405353728469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--686.63</f>
        <v>686.63</v>
      </c>
      <c r="E18" s="2"/>
      <c r="F18" s="19"/>
      <c r="G18" s="2"/>
      <c r="H18" s="2">
        <f>--735.51</f>
        <v>735.51</v>
      </c>
      <c r="I18" s="2"/>
      <c r="J18" s="19"/>
      <c r="K18" s="2"/>
      <c r="L18" s="2">
        <f t="shared" si="0"/>
        <v>-48.879999999999995</v>
      </c>
      <c r="M18" s="2"/>
      <c r="N18" s="19">
        <f t="shared" si="1"/>
        <v>-6.6457288140202034E-2</v>
      </c>
      <c r="O18" s="11"/>
      <c r="P18" s="2">
        <f>--827.39</f>
        <v>827.39</v>
      </c>
      <c r="Q18" s="2"/>
      <c r="R18" s="19"/>
      <c r="S18" s="2"/>
      <c r="T18" s="2">
        <f>--2008.49</f>
        <v>2008.49</v>
      </c>
      <c r="U18" s="2"/>
      <c r="V18" s="19"/>
      <c r="W18" s="2"/>
      <c r="X18" s="2">
        <f t="shared" si="2"/>
        <v>-1181.0999999999999</v>
      </c>
      <c r="Y18" s="2"/>
      <c r="Z18" s="19">
        <f t="shared" si="3"/>
        <v>-0.58805371199259138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--171.13</f>
        <v>171.13</v>
      </c>
      <c r="E19" s="2"/>
      <c r="F19" s="19"/>
      <c r="G19" s="2"/>
      <c r="H19" s="2">
        <f>--228.75</f>
        <v>228.75</v>
      </c>
      <c r="I19" s="2"/>
      <c r="J19" s="19"/>
      <c r="K19" s="2"/>
      <c r="L19" s="2">
        <f t="shared" si="0"/>
        <v>-57.620000000000005</v>
      </c>
      <c r="M19" s="2"/>
      <c r="N19" s="19">
        <f t="shared" si="1"/>
        <v>-0.25189071038251371</v>
      </c>
      <c r="O19" s="11"/>
      <c r="P19" s="2">
        <f>--694.22</f>
        <v>694.22</v>
      </c>
      <c r="Q19" s="2"/>
      <c r="R19" s="19"/>
      <c r="S19" s="2"/>
      <c r="T19" s="2">
        <f>--816.62</f>
        <v>816.62</v>
      </c>
      <c r="U19" s="2"/>
      <c r="V19" s="19"/>
      <c r="W19" s="2"/>
      <c r="X19" s="2">
        <f t="shared" si="2"/>
        <v>-122.39999999999998</v>
      </c>
      <c r="Y19" s="2"/>
      <c r="Z19" s="19">
        <f t="shared" si="3"/>
        <v>-0.14988611594131906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--2.98</f>
        <v>2.98</v>
      </c>
      <c r="E20" s="2"/>
      <c r="F20" s="19"/>
      <c r="G20" s="2"/>
      <c r="H20" s="2">
        <f>--23.84</f>
        <v>23.84</v>
      </c>
      <c r="I20" s="2"/>
      <c r="J20" s="19"/>
      <c r="K20" s="2"/>
      <c r="L20" s="2">
        <f t="shared" si="0"/>
        <v>-20.86</v>
      </c>
      <c r="M20" s="2"/>
      <c r="N20" s="19">
        <f t="shared" si="1"/>
        <v>-0.875</v>
      </c>
      <c r="O20" s="11"/>
      <c r="P20" s="2">
        <f>--225.67</f>
        <v>225.67</v>
      </c>
      <c r="Q20" s="2"/>
      <c r="R20" s="19"/>
      <c r="S20" s="2"/>
      <c r="T20" s="2">
        <f>--633.13</f>
        <v>633.13</v>
      </c>
      <c r="U20" s="2"/>
      <c r="V20" s="19"/>
      <c r="W20" s="2"/>
      <c r="X20" s="2">
        <f t="shared" si="2"/>
        <v>-407.46000000000004</v>
      </c>
      <c r="Y20" s="2"/>
      <c r="Z20" s="19">
        <f t="shared" si="3"/>
        <v>-0.643564512817273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--394.68</f>
        <v>394.68</v>
      </c>
      <c r="E21" s="2"/>
      <c r="F21" s="19"/>
      <c r="G21" s="2"/>
      <c r="H21" s="2">
        <f>--603.17</f>
        <v>603.16999999999996</v>
      </c>
      <c r="I21" s="2"/>
      <c r="J21" s="19"/>
      <c r="K21" s="2"/>
      <c r="L21" s="2">
        <f t="shared" si="0"/>
        <v>-208.48999999999995</v>
      </c>
      <c r="M21" s="2"/>
      <c r="N21" s="19">
        <f t="shared" si="1"/>
        <v>-0.34565711159374629</v>
      </c>
      <c r="O21" s="11"/>
      <c r="P21" s="2">
        <f>--2454.83</f>
        <v>2454.83</v>
      </c>
      <c r="Q21" s="2"/>
      <c r="R21" s="19"/>
      <c r="S21" s="2"/>
      <c r="T21" s="2">
        <f>--3429.78</f>
        <v>3429.78</v>
      </c>
      <c r="U21" s="2"/>
      <c r="V21" s="19"/>
      <c r="W21" s="2"/>
      <c r="X21" s="2">
        <f t="shared" si="2"/>
        <v>-974.95000000000027</v>
      </c>
      <c r="Y21" s="2"/>
      <c r="Z21" s="19">
        <f t="shared" si="3"/>
        <v>-0.28426021494090004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--14.95</f>
        <v>14.95</v>
      </c>
      <c r="E22" s="2"/>
      <c r="F22" s="19"/>
      <c r="G22" s="2"/>
      <c r="H22" s="2">
        <f>--14.58</f>
        <v>14.58</v>
      </c>
      <c r="I22" s="2"/>
      <c r="J22" s="19"/>
      <c r="K22" s="2"/>
      <c r="L22" s="2">
        <f t="shared" si="0"/>
        <v>0.36999999999999922</v>
      </c>
      <c r="M22" s="2"/>
      <c r="N22" s="19">
        <f t="shared" si="1"/>
        <v>2.537722908093273E-2</v>
      </c>
      <c r="O22" s="11"/>
      <c r="P22" s="2">
        <f>--29.9</f>
        <v>29.9</v>
      </c>
      <c r="Q22" s="2"/>
      <c r="R22" s="19"/>
      <c r="S22" s="2"/>
      <c r="T22" s="2">
        <f>--54.48</f>
        <v>54.48</v>
      </c>
      <c r="U22" s="2"/>
      <c r="V22" s="19"/>
      <c r="W22" s="2"/>
      <c r="X22" s="2">
        <f t="shared" si="2"/>
        <v>-24.58</v>
      </c>
      <c r="Y22" s="2"/>
      <c r="Z22" s="19">
        <f t="shared" si="3"/>
        <v>-0.4511747430249633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--10035.97</f>
        <v>10035.969999999999</v>
      </c>
      <c r="E23" s="2"/>
      <c r="F23" s="19"/>
      <c r="G23" s="2"/>
      <c r="H23" s="2">
        <f>--8910.31</f>
        <v>8910.31</v>
      </c>
      <c r="I23" s="2"/>
      <c r="J23" s="19"/>
      <c r="K23" s="2"/>
      <c r="L23" s="2">
        <f t="shared" si="0"/>
        <v>1125.6599999999999</v>
      </c>
      <c r="M23" s="2"/>
      <c r="N23" s="19">
        <f t="shared" si="1"/>
        <v>0.1263323049366408</v>
      </c>
      <c r="O23" s="11"/>
      <c r="P23" s="2">
        <f>--26332.04</f>
        <v>26332.04</v>
      </c>
      <c r="Q23" s="2"/>
      <c r="R23" s="19"/>
      <c r="S23" s="2"/>
      <c r="T23" s="2">
        <f>--25209.73</f>
        <v>25209.73</v>
      </c>
      <c r="U23" s="2"/>
      <c r="V23" s="19"/>
      <c r="W23" s="2"/>
      <c r="X23" s="2">
        <f t="shared" si="2"/>
        <v>1122.3100000000013</v>
      </c>
      <c r="Y23" s="2"/>
      <c r="Z23" s="19">
        <f t="shared" si="3"/>
        <v>4.4518921860726049E-2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--12565.24</f>
        <v>12565.24</v>
      </c>
      <c r="E24" s="2"/>
      <c r="F24" s="19"/>
      <c r="G24" s="2"/>
      <c r="H24" s="2">
        <f>--9174.14</f>
        <v>9174.14</v>
      </c>
      <c r="I24" s="2"/>
      <c r="J24" s="19"/>
      <c r="K24" s="2"/>
      <c r="L24" s="2">
        <f t="shared" si="0"/>
        <v>3391.1000000000004</v>
      </c>
      <c r="M24" s="2"/>
      <c r="N24" s="19">
        <f t="shared" si="1"/>
        <v>0.36963682699413791</v>
      </c>
      <c r="O24" s="11"/>
      <c r="P24" s="2">
        <f>--37064.54</f>
        <v>37064.54</v>
      </c>
      <c r="Q24" s="2"/>
      <c r="R24" s="19"/>
      <c r="S24" s="2"/>
      <c r="T24" s="2">
        <f>--32634.34</f>
        <v>32634.34</v>
      </c>
      <c r="U24" s="2"/>
      <c r="V24" s="19"/>
      <c r="W24" s="2"/>
      <c r="X24" s="2">
        <f t="shared" si="2"/>
        <v>4430.2000000000007</v>
      </c>
      <c r="Y24" s="2"/>
      <c r="Z24" s="19">
        <f t="shared" si="3"/>
        <v>0.13575270711771711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--20952.95</f>
        <v>20952.95</v>
      </c>
      <c r="E25" s="2"/>
      <c r="F25" s="19"/>
      <c r="G25" s="2"/>
      <c r="H25" s="2">
        <f>--17904.21</f>
        <v>17904.21</v>
      </c>
      <c r="I25" s="2"/>
      <c r="J25" s="19"/>
      <c r="K25" s="2"/>
      <c r="L25" s="2">
        <f t="shared" si="0"/>
        <v>3048.7400000000016</v>
      </c>
      <c r="M25" s="2"/>
      <c r="N25" s="19">
        <f t="shared" si="1"/>
        <v>0.17028062114999779</v>
      </c>
      <c r="O25" s="11"/>
      <c r="P25" s="2">
        <f>--144273.54</f>
        <v>144273.54</v>
      </c>
      <c r="Q25" s="2"/>
      <c r="R25" s="19"/>
      <c r="S25" s="2"/>
      <c r="T25" s="2">
        <f>--132898.26</f>
        <v>132898.26</v>
      </c>
      <c r="U25" s="2"/>
      <c r="V25" s="19"/>
      <c r="W25" s="2"/>
      <c r="X25" s="2">
        <f t="shared" si="2"/>
        <v>11375.279999999999</v>
      </c>
      <c r="Y25" s="2"/>
      <c r="Z25" s="19">
        <f t="shared" si="3"/>
        <v>8.5593897166147986E-2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--45836.99</f>
        <v>45836.99</v>
      </c>
      <c r="E26" s="2"/>
      <c r="F26" s="19"/>
      <c r="G26" s="2"/>
      <c r="H26" s="2">
        <f>--55157</f>
        <v>55157</v>
      </c>
      <c r="I26" s="2"/>
      <c r="J26" s="19"/>
      <c r="K26" s="2"/>
      <c r="L26" s="2">
        <f t="shared" si="0"/>
        <v>-9320.010000000002</v>
      </c>
      <c r="M26" s="2"/>
      <c r="N26" s="19">
        <f t="shared" si="1"/>
        <v>-0.16897238791087263</v>
      </c>
      <c r="O26" s="11"/>
      <c r="P26" s="2">
        <f>--146564.67</f>
        <v>146564.67000000001</v>
      </c>
      <c r="Q26" s="2"/>
      <c r="R26" s="19"/>
      <c r="S26" s="2"/>
      <c r="T26" s="2">
        <f>--154844.8</f>
        <v>154844.79999999999</v>
      </c>
      <c r="U26" s="2"/>
      <c r="V26" s="19"/>
      <c r="W26" s="2"/>
      <c r="X26" s="2">
        <f t="shared" si="2"/>
        <v>-8280.1299999999756</v>
      </c>
      <c r="Y26" s="2"/>
      <c r="Z26" s="19">
        <f t="shared" si="3"/>
        <v>-5.3473736283039378E-2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--100.46</f>
        <v>100.46</v>
      </c>
      <c r="E27" s="2"/>
      <c r="F27" s="19"/>
      <c r="G27" s="2"/>
      <c r="H27" s="2">
        <f>--130.84</f>
        <v>130.84</v>
      </c>
      <c r="I27" s="2"/>
      <c r="J27" s="19"/>
      <c r="K27" s="2"/>
      <c r="L27" s="2">
        <f t="shared" si="0"/>
        <v>-30.38000000000001</v>
      </c>
      <c r="M27" s="2"/>
      <c r="N27" s="19">
        <f t="shared" si="1"/>
        <v>-0.23219199021705908</v>
      </c>
      <c r="O27" s="11"/>
      <c r="P27" s="2">
        <f>--221.28</f>
        <v>221.28</v>
      </c>
      <c r="Q27" s="2"/>
      <c r="R27" s="19"/>
      <c r="S27" s="2"/>
      <c r="T27" s="2">
        <f>--245.9</f>
        <v>245.9</v>
      </c>
      <c r="U27" s="2"/>
      <c r="V27" s="19"/>
      <c r="W27" s="2"/>
      <c r="X27" s="2">
        <f t="shared" si="2"/>
        <v>-24.620000000000005</v>
      </c>
      <c r="Y27" s="2"/>
      <c r="Z27" s="19">
        <f t="shared" si="3"/>
        <v>-0.10012200081333877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--59190.6</f>
        <v>59190.6</v>
      </c>
      <c r="E28" s="2"/>
      <c r="F28" s="19"/>
      <c r="G28" s="2"/>
      <c r="H28" s="2">
        <f>--59857.45</f>
        <v>59857.45</v>
      </c>
      <c r="I28" s="2"/>
      <c r="J28" s="19"/>
      <c r="K28" s="2"/>
      <c r="L28" s="2">
        <f t="shared" si="0"/>
        <v>-666.84999999999854</v>
      </c>
      <c r="M28" s="2"/>
      <c r="N28" s="19">
        <f t="shared" si="1"/>
        <v>-1.1140634958555677E-2</v>
      </c>
      <c r="O28" s="11"/>
      <c r="P28" s="2">
        <f>--131868.29</f>
        <v>131868.29</v>
      </c>
      <c r="Q28" s="2"/>
      <c r="R28" s="19"/>
      <c r="S28" s="2"/>
      <c r="T28" s="2">
        <f>--136454.72</f>
        <v>136454.72</v>
      </c>
      <c r="U28" s="2"/>
      <c r="V28" s="19"/>
      <c r="W28" s="2"/>
      <c r="X28" s="2">
        <f t="shared" si="2"/>
        <v>-4586.429999999993</v>
      </c>
      <c r="Y28" s="2"/>
      <c r="Z28" s="19">
        <f t="shared" si="3"/>
        <v>-3.3611369397848555E-2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--44.43</f>
        <v>44.43</v>
      </c>
      <c r="E29" s="2"/>
      <c r="F29" s="19"/>
      <c r="G29" s="2"/>
      <c r="H29" s="2">
        <f>--63.81</f>
        <v>63.81</v>
      </c>
      <c r="I29" s="2"/>
      <c r="J29" s="19"/>
      <c r="K29" s="2"/>
      <c r="L29" s="2">
        <f t="shared" si="0"/>
        <v>-19.380000000000003</v>
      </c>
      <c r="M29" s="2"/>
      <c r="N29" s="19">
        <f t="shared" si="1"/>
        <v>-0.30371415138692998</v>
      </c>
      <c r="O29" s="11"/>
      <c r="P29" s="2">
        <f>--85.4</f>
        <v>85.4</v>
      </c>
      <c r="Q29" s="2"/>
      <c r="R29" s="19"/>
      <c r="S29" s="2"/>
      <c r="T29" s="2">
        <f>--93.66</f>
        <v>93.66</v>
      </c>
      <c r="U29" s="2"/>
      <c r="V29" s="19"/>
      <c r="W29" s="2"/>
      <c r="X29" s="2">
        <f t="shared" si="2"/>
        <v>-8.2599999999999909</v>
      </c>
      <c r="Y29" s="2"/>
      <c r="Z29" s="19">
        <f t="shared" si="3"/>
        <v>-8.8191330343796615E-2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--2386.44</f>
        <v>2386.44</v>
      </c>
      <c r="E30" s="2"/>
      <c r="F30" s="19"/>
      <c r="G30" s="2"/>
      <c r="H30" s="2">
        <f>--1864.59</f>
        <v>1864.59</v>
      </c>
      <c r="I30" s="2"/>
      <c r="J30" s="19"/>
      <c r="K30" s="2"/>
      <c r="L30" s="2">
        <f t="shared" si="0"/>
        <v>521.85000000000014</v>
      </c>
      <c r="M30" s="2"/>
      <c r="N30" s="19">
        <f t="shared" si="1"/>
        <v>0.27987385966888173</v>
      </c>
      <c r="O30" s="11"/>
      <c r="P30" s="2">
        <f>--5396.32</f>
        <v>5396.32</v>
      </c>
      <c r="Q30" s="2"/>
      <c r="R30" s="19"/>
      <c r="S30" s="2"/>
      <c r="T30" s="2">
        <f>--4019.77</f>
        <v>4019.77</v>
      </c>
      <c r="U30" s="2"/>
      <c r="V30" s="19"/>
      <c r="W30" s="2"/>
      <c r="X30" s="2">
        <f t="shared" si="2"/>
        <v>1376.5499999999997</v>
      </c>
      <c r="Y30" s="2"/>
      <c r="Z30" s="19">
        <f t="shared" si="3"/>
        <v>0.34244496575674721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--425.93</f>
        <v>425.93</v>
      </c>
      <c r="E31" s="2"/>
      <c r="F31" s="19"/>
      <c r="G31" s="2"/>
      <c r="H31" s="2">
        <f>--517.17</f>
        <v>517.16999999999996</v>
      </c>
      <c r="I31" s="2"/>
      <c r="J31" s="19"/>
      <c r="K31" s="2"/>
      <c r="L31" s="2">
        <f t="shared" si="0"/>
        <v>-91.239999999999952</v>
      </c>
      <c r="M31" s="2"/>
      <c r="N31" s="19">
        <f t="shared" si="1"/>
        <v>-0.17642167952510773</v>
      </c>
      <c r="O31" s="11"/>
      <c r="P31" s="2">
        <f>--864.36</f>
        <v>864.36</v>
      </c>
      <c r="Q31" s="2"/>
      <c r="R31" s="19"/>
      <c r="S31" s="2"/>
      <c r="T31" s="2">
        <f>--1144.01</f>
        <v>1144.01</v>
      </c>
      <c r="U31" s="2"/>
      <c r="V31" s="19"/>
      <c r="W31" s="2"/>
      <c r="X31" s="2">
        <f t="shared" si="2"/>
        <v>-279.64999999999998</v>
      </c>
      <c r="Y31" s="2"/>
      <c r="Z31" s="19">
        <f t="shared" si="3"/>
        <v>-0.24444716392339225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--128.42</f>
        <v>128.41999999999999</v>
      </c>
      <c r="E32" s="2"/>
      <c r="F32" s="19"/>
      <c r="G32" s="2"/>
      <c r="H32" s="2">
        <f>--145.84</f>
        <v>145.84</v>
      </c>
      <c r="I32" s="2"/>
      <c r="J32" s="19"/>
      <c r="K32" s="2"/>
      <c r="L32" s="2">
        <f t="shared" si="0"/>
        <v>-17.420000000000016</v>
      </c>
      <c r="M32" s="2"/>
      <c r="N32" s="19">
        <f t="shared" si="1"/>
        <v>-0.11944596818431168</v>
      </c>
      <c r="O32" s="11"/>
      <c r="P32" s="2">
        <f>--302.57</f>
        <v>302.57</v>
      </c>
      <c r="Q32" s="2"/>
      <c r="R32" s="19"/>
      <c r="S32" s="2"/>
      <c r="T32" s="2">
        <f>--303.08</f>
        <v>303.08</v>
      </c>
      <c r="U32" s="2"/>
      <c r="V32" s="19"/>
      <c r="W32" s="2"/>
      <c r="X32" s="2">
        <f t="shared" si="2"/>
        <v>-0.50999999999999091</v>
      </c>
      <c r="Y32" s="2"/>
      <c r="Z32" s="19">
        <f t="shared" si="3"/>
        <v>-1.6827240332585158E-3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--215340.93</f>
        <v>215340.93</v>
      </c>
      <c r="E33" s="2"/>
      <c r="F33" s="19"/>
      <c r="G33" s="2"/>
      <c r="H33" s="2">
        <f>--174982.98</f>
        <v>174982.98</v>
      </c>
      <c r="I33" s="2"/>
      <c r="J33" s="19"/>
      <c r="K33" s="2"/>
      <c r="L33" s="2">
        <f t="shared" si="0"/>
        <v>40357.949999999983</v>
      </c>
      <c r="M33" s="2"/>
      <c r="N33" s="19">
        <f t="shared" si="1"/>
        <v>0.23063928846108336</v>
      </c>
      <c r="O33" s="11"/>
      <c r="P33" s="2">
        <f>--848240.45</f>
        <v>848240.45</v>
      </c>
      <c r="Q33" s="2"/>
      <c r="R33" s="19"/>
      <c r="S33" s="2"/>
      <c r="T33" s="2">
        <f>--718140.33</f>
        <v>718140.33</v>
      </c>
      <c r="U33" s="2"/>
      <c r="V33" s="19"/>
      <c r="W33" s="2"/>
      <c r="X33" s="2">
        <f t="shared" si="2"/>
        <v>130100.12</v>
      </c>
      <c r="Y33" s="2"/>
      <c r="Z33" s="19">
        <f t="shared" si="3"/>
        <v>0.18116253128410154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--27181.29</f>
        <v>27181.29</v>
      </c>
      <c r="E34" s="2"/>
      <c r="F34" s="19"/>
      <c r="G34" s="2"/>
      <c r="H34" s="2">
        <f>--30072.27</f>
        <v>30072.27</v>
      </c>
      <c r="I34" s="2"/>
      <c r="J34" s="19"/>
      <c r="K34" s="2"/>
      <c r="L34" s="2">
        <f t="shared" si="0"/>
        <v>-2890.9799999999996</v>
      </c>
      <c r="M34" s="2"/>
      <c r="N34" s="19">
        <f t="shared" si="1"/>
        <v>-9.6134412201007755E-2</v>
      </c>
      <c r="O34" s="11"/>
      <c r="P34" s="2">
        <f>--228813.9</f>
        <v>228813.9</v>
      </c>
      <c r="Q34" s="2"/>
      <c r="R34" s="19"/>
      <c r="S34" s="2"/>
      <c r="T34" s="2">
        <f>--237024.53</f>
        <v>237024.53</v>
      </c>
      <c r="U34" s="2"/>
      <c r="V34" s="19"/>
      <c r="W34" s="2"/>
      <c r="X34" s="2">
        <f t="shared" si="2"/>
        <v>-8210.6300000000047</v>
      </c>
      <c r="Y34" s="2"/>
      <c r="Z34" s="19">
        <f t="shared" si="3"/>
        <v>-3.4640423081948542E-2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--29192.1</f>
        <v>29192.1</v>
      </c>
      <c r="E35" s="2"/>
      <c r="F35" s="19"/>
      <c r="G35" s="2"/>
      <c r="H35" s="2">
        <f>--28016.78</f>
        <v>28016.78</v>
      </c>
      <c r="I35" s="2"/>
      <c r="J35" s="19"/>
      <c r="K35" s="2"/>
      <c r="L35" s="2">
        <f t="shared" si="0"/>
        <v>1175.3199999999997</v>
      </c>
      <c r="M35" s="2"/>
      <c r="N35" s="19">
        <f t="shared" si="1"/>
        <v>4.1950573906066282E-2</v>
      </c>
      <c r="O35" s="11"/>
      <c r="P35" s="2">
        <f>--124310.37</f>
        <v>124310.37</v>
      </c>
      <c r="Q35" s="2"/>
      <c r="R35" s="19"/>
      <c r="S35" s="2"/>
      <c r="T35" s="2">
        <f>--100527.24</f>
        <v>100527.24</v>
      </c>
      <c r="U35" s="2"/>
      <c r="V35" s="19"/>
      <c r="W35" s="2"/>
      <c r="X35" s="2">
        <f t="shared" si="2"/>
        <v>23783.12999999999</v>
      </c>
      <c r="Y35" s="2"/>
      <c r="Z35" s="19">
        <f t="shared" si="3"/>
        <v>0.23658393486183435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--63.04</f>
        <v>63.04</v>
      </c>
      <c r="E36" s="2"/>
      <c r="F36" s="19"/>
      <c r="G36" s="2"/>
      <c r="H36" s="2">
        <f>--581.91</f>
        <v>581.91</v>
      </c>
      <c r="I36" s="2"/>
      <c r="J36" s="19"/>
      <c r="K36" s="2"/>
      <c r="L36" s="2">
        <f t="shared" si="0"/>
        <v>-518.87</v>
      </c>
      <c r="M36" s="2"/>
      <c r="N36" s="19">
        <f t="shared" si="1"/>
        <v>-0.89166709628636731</v>
      </c>
      <c r="O36" s="11"/>
      <c r="P36" s="2">
        <f>--520.85</f>
        <v>520.85</v>
      </c>
      <c r="Q36" s="2"/>
      <c r="R36" s="19"/>
      <c r="S36" s="2"/>
      <c r="T36" s="2">
        <f>--1397.81</f>
        <v>1397.81</v>
      </c>
      <c r="U36" s="2"/>
      <c r="V36" s="19"/>
      <c r="W36" s="2"/>
      <c r="X36" s="2">
        <f t="shared" si="2"/>
        <v>-876.95999999999992</v>
      </c>
      <c r="Y36" s="2"/>
      <c r="Z36" s="19">
        <f t="shared" si="3"/>
        <v>-0.62738140376732165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--4838.74</f>
        <v>4838.74</v>
      </c>
      <c r="E37" s="2"/>
      <c r="F37" s="19"/>
      <c r="G37" s="2"/>
      <c r="H37" s="2">
        <f>--4689.55</f>
        <v>4689.55</v>
      </c>
      <c r="I37" s="2"/>
      <c r="J37" s="19"/>
      <c r="K37" s="2"/>
      <c r="L37" s="2">
        <f t="shared" si="0"/>
        <v>149.1899999999996</v>
      </c>
      <c r="M37" s="2"/>
      <c r="N37" s="19">
        <f t="shared" si="1"/>
        <v>3.1813286989156656E-2</v>
      </c>
      <c r="O37" s="11"/>
      <c r="P37" s="2">
        <f>--33067.15</f>
        <v>33067.15</v>
      </c>
      <c r="Q37" s="2"/>
      <c r="R37" s="19"/>
      <c r="S37" s="2"/>
      <c r="T37" s="2">
        <f>--35499.98</f>
        <v>35499.980000000003</v>
      </c>
      <c r="U37" s="2"/>
      <c r="V37" s="19"/>
      <c r="W37" s="2"/>
      <c r="X37" s="2">
        <f t="shared" si="2"/>
        <v>-2432.8300000000017</v>
      </c>
      <c r="Y37" s="2"/>
      <c r="Z37" s="19">
        <f t="shared" si="3"/>
        <v>-6.853046114392182E-2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--4525.99</f>
        <v>4525.99</v>
      </c>
      <c r="E38" s="2"/>
      <c r="F38" s="19"/>
      <c r="G38" s="2"/>
      <c r="H38" s="2">
        <f>--9608.62</f>
        <v>9608.6200000000008</v>
      </c>
      <c r="I38" s="2"/>
      <c r="J38" s="19"/>
      <c r="K38" s="2"/>
      <c r="L38" s="2">
        <f t="shared" si="0"/>
        <v>-5082.630000000001</v>
      </c>
      <c r="M38" s="2"/>
      <c r="N38" s="19">
        <f t="shared" si="1"/>
        <v>-0.52896565791965966</v>
      </c>
      <c r="O38" s="11"/>
      <c r="P38" s="2">
        <f>--35853.1</f>
        <v>35853.1</v>
      </c>
      <c r="Q38" s="2"/>
      <c r="R38" s="19"/>
      <c r="S38" s="2"/>
      <c r="T38" s="2">
        <f>--58195.46</f>
        <v>58195.46</v>
      </c>
      <c r="U38" s="2"/>
      <c r="V38" s="19"/>
      <c r="W38" s="2"/>
      <c r="X38" s="2">
        <f t="shared" si="2"/>
        <v>-22342.36</v>
      </c>
      <c r="Y38" s="2"/>
      <c r="Z38" s="19">
        <f t="shared" si="3"/>
        <v>-0.38391929542270137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--402.65</f>
        <v>402.65</v>
      </c>
      <c r="E39" s="2"/>
      <c r="F39" s="19"/>
      <c r="G39" s="2"/>
      <c r="H39" s="2">
        <f>--532.34</f>
        <v>532.34</v>
      </c>
      <c r="I39" s="2"/>
      <c r="J39" s="19"/>
      <c r="K39" s="2"/>
      <c r="L39" s="2">
        <f t="shared" si="0"/>
        <v>-129.69000000000005</v>
      </c>
      <c r="M39" s="2"/>
      <c r="N39" s="19">
        <f t="shared" si="1"/>
        <v>-0.24362249690047721</v>
      </c>
      <c r="O39" s="11"/>
      <c r="P39" s="2">
        <f>--1374</f>
        <v>1374</v>
      </c>
      <c r="Q39" s="2"/>
      <c r="R39" s="19"/>
      <c r="S39" s="2"/>
      <c r="T39" s="2">
        <f>--1181.85</f>
        <v>1181.8499999999999</v>
      </c>
      <c r="U39" s="2"/>
      <c r="V39" s="19"/>
      <c r="W39" s="2"/>
      <c r="X39" s="2">
        <f t="shared" si="2"/>
        <v>192.15000000000009</v>
      </c>
      <c r="Y39" s="2"/>
      <c r="Z39" s="19">
        <f t="shared" si="3"/>
        <v>0.16258408427465423</v>
      </c>
    </row>
    <row r="40" spans="1:26" s="24" customFormat="1" hidden="1" outlineLevel="1" x14ac:dyDescent="0.25">
      <c r="A40" s="44"/>
      <c r="B40" s="11" t="str">
        <f>CONCATENATE("          ", "4051", " - ", "TAXABLE SALES-FOOD")</f>
        <v xml:space="preserve">          4051 - TAXABLE SALES-FOOD</v>
      </c>
      <c r="C40" s="11"/>
      <c r="D40" s="2">
        <f>--125346.31</f>
        <v>125346.31</v>
      </c>
      <c r="E40" s="2"/>
      <c r="F40" s="19"/>
      <c r="G40" s="2"/>
      <c r="H40" s="2">
        <f>--140193.45</f>
        <v>140193.45000000001</v>
      </c>
      <c r="I40" s="2"/>
      <c r="J40" s="19"/>
      <c r="K40" s="2"/>
      <c r="L40" s="2">
        <f t="shared" si="0"/>
        <v>-14847.140000000014</v>
      </c>
      <c r="M40" s="2"/>
      <c r="N40" s="19">
        <f t="shared" si="1"/>
        <v>-0.10590466245034995</v>
      </c>
      <c r="O40" s="11"/>
      <c r="P40" s="2">
        <f>--300035.94</f>
        <v>300035.94</v>
      </c>
      <c r="Q40" s="2"/>
      <c r="R40" s="19"/>
      <c r="S40" s="2"/>
      <c r="T40" s="2">
        <f>--321577.74</f>
        <v>321577.74</v>
      </c>
      <c r="U40" s="2"/>
      <c r="V40" s="19"/>
      <c r="W40" s="2"/>
      <c r="X40" s="2">
        <f t="shared" si="2"/>
        <v>-21541.799999999988</v>
      </c>
      <c r="Y40" s="2"/>
      <c r="Z40" s="19">
        <f t="shared" si="3"/>
        <v>-6.6987845613940777E-2</v>
      </c>
    </row>
    <row r="41" spans="1:26" s="24" customFormat="1" hidden="1" outlineLevel="1" x14ac:dyDescent="0.25">
      <c r="A41" s="44"/>
      <c r="B41" s="11" t="str">
        <f>CONCATENATE("          ", "4052", " - ", "TAXABLE SALES-FOOD")</f>
        <v xml:space="preserve">          4052 - TAXABLE SALES-FOOD</v>
      </c>
      <c r="C41" s="11"/>
      <c r="D41" s="2">
        <f>--115316.39</f>
        <v>115316.39</v>
      </c>
      <c r="E41" s="2"/>
      <c r="F41" s="19"/>
      <c r="G41" s="2"/>
      <c r="H41" s="2">
        <f>--140444.11</f>
        <v>140444.10999999999</v>
      </c>
      <c r="I41" s="2"/>
      <c r="J41" s="19"/>
      <c r="K41" s="2"/>
      <c r="L41" s="2">
        <f t="shared" si="0"/>
        <v>-25127.719999999987</v>
      </c>
      <c r="M41" s="2"/>
      <c r="N41" s="19">
        <f t="shared" si="1"/>
        <v>-0.17891615390634744</v>
      </c>
      <c r="O41" s="11"/>
      <c r="P41" s="2">
        <f>--368822.4</f>
        <v>368822.4</v>
      </c>
      <c r="Q41" s="2"/>
      <c r="R41" s="19"/>
      <c r="S41" s="2"/>
      <c r="T41" s="2">
        <f>--458548.28</f>
        <v>458548.28</v>
      </c>
      <c r="U41" s="2"/>
      <c r="V41" s="19"/>
      <c r="W41" s="2"/>
      <c r="X41" s="2">
        <f t="shared" si="2"/>
        <v>-89725.88</v>
      </c>
      <c r="Y41" s="2"/>
      <c r="Z41" s="19">
        <f t="shared" si="3"/>
        <v>-0.1956737903367558</v>
      </c>
    </row>
    <row r="42" spans="1:26" s="24" customFormat="1" hidden="1" outlineLevel="1" x14ac:dyDescent="0.25">
      <c r="A42" s="44"/>
      <c r="B42" s="11" t="str">
        <f>CONCATENATE("          ", "4053", " - ", "TAXABLE SALES-FOOD")</f>
        <v xml:space="preserve">          4053 - TAXABLE SALES-FOOD</v>
      </c>
      <c r="C42" s="11"/>
      <c r="D42" s="2">
        <f>--19711.97</f>
        <v>19711.97</v>
      </c>
      <c r="E42" s="2"/>
      <c r="F42" s="19"/>
      <c r="G42" s="2"/>
      <c r="H42" s="2">
        <f>--15101.03</f>
        <v>15101.03</v>
      </c>
      <c r="I42" s="2"/>
      <c r="J42" s="19"/>
      <c r="K42" s="2"/>
      <c r="L42" s="2">
        <f t="shared" si="0"/>
        <v>4610.9400000000005</v>
      </c>
      <c r="M42" s="2"/>
      <c r="N42" s="19">
        <f t="shared" si="1"/>
        <v>0.30533943711124345</v>
      </c>
      <c r="O42" s="11"/>
      <c r="P42" s="2">
        <f>--69878.4</f>
        <v>69878.399999999994</v>
      </c>
      <c r="Q42" s="2"/>
      <c r="R42" s="19"/>
      <c r="S42" s="2"/>
      <c r="T42" s="2">
        <f>--56077.52</f>
        <v>56077.52</v>
      </c>
      <c r="U42" s="2"/>
      <c r="V42" s="19"/>
      <c r="W42" s="2"/>
      <c r="X42" s="2">
        <f t="shared" si="2"/>
        <v>13800.879999999997</v>
      </c>
      <c r="Y42" s="2"/>
      <c r="Z42" s="19">
        <f t="shared" si="3"/>
        <v>0.2461036080054895</v>
      </c>
    </row>
    <row r="43" spans="1:26" s="24" customFormat="1" hidden="1" outlineLevel="1" x14ac:dyDescent="0.25">
      <c r="A43" s="44"/>
      <c r="B43" s="11" t="str">
        <f>CONCATENATE("          ", "4055", " - ", "TAXABLE SALES-FOOD")</f>
        <v xml:space="preserve">          4055 - TAXABLE SALES-FOOD</v>
      </c>
      <c r="C43" s="11"/>
      <c r="D43" s="2">
        <f>--75527.74</f>
        <v>75527.740000000005</v>
      </c>
      <c r="E43" s="2"/>
      <c r="F43" s="19"/>
      <c r="G43" s="2"/>
      <c r="H43" s="2">
        <f>--91629.76</f>
        <v>91629.759999999995</v>
      </c>
      <c r="I43" s="2"/>
      <c r="J43" s="19"/>
      <c r="K43" s="2"/>
      <c r="L43" s="2">
        <f t="shared" si="0"/>
        <v>-16102.01999999999</v>
      </c>
      <c r="M43" s="2"/>
      <c r="N43" s="19">
        <f t="shared" si="1"/>
        <v>-0.17572915175157056</v>
      </c>
      <c r="O43" s="11"/>
      <c r="P43" s="2">
        <f>--186642.74</f>
        <v>186642.74</v>
      </c>
      <c r="Q43" s="2"/>
      <c r="R43" s="19"/>
      <c r="S43" s="2"/>
      <c r="T43" s="2">
        <f>--218113.16</f>
        <v>218113.16</v>
      </c>
      <c r="U43" s="2"/>
      <c r="V43" s="19"/>
      <c r="W43" s="2"/>
      <c r="X43" s="2">
        <f t="shared" si="2"/>
        <v>-31470.420000000013</v>
      </c>
      <c r="Y43" s="2"/>
      <c r="Z43" s="19">
        <f t="shared" si="3"/>
        <v>-0.14428482903094894</v>
      </c>
    </row>
    <row r="44" spans="1:26" s="24" customFormat="1" hidden="1" outlineLevel="1" x14ac:dyDescent="0.25">
      <c r="A44" s="44"/>
      <c r="B44" s="11" t="str">
        <f>CONCATENATE("          ", "4057", " - ", "TAXABLE SALES-FOOD")</f>
        <v xml:space="preserve">          4057 - TAXABLE SALES-FOOD</v>
      </c>
      <c r="C44" s="11"/>
      <c r="D44" s="2">
        <f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0</f>
        <v>0</v>
      </c>
      <c r="Q44" s="2"/>
      <c r="R44" s="19"/>
      <c r="S44" s="2"/>
      <c r="T44" s="2">
        <f>--11506.08</f>
        <v>11506.08</v>
      </c>
      <c r="U44" s="2"/>
      <c r="V44" s="19"/>
      <c r="W44" s="2"/>
      <c r="X44" s="2">
        <f t="shared" si="2"/>
        <v>-11506.08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>--21855.03</f>
        <v>21855.03</v>
      </c>
      <c r="E45" s="2"/>
      <c r="F45" s="19"/>
      <c r="G45" s="2"/>
      <c r="H45" s="2">
        <f>--27897.29</f>
        <v>27897.29</v>
      </c>
      <c r="I45" s="2"/>
      <c r="J45" s="19"/>
      <c r="K45" s="2"/>
      <c r="L45" s="2">
        <f t="shared" si="0"/>
        <v>-6042.260000000002</v>
      </c>
      <c r="M45" s="2"/>
      <c r="N45" s="19">
        <f t="shared" si="1"/>
        <v>-0.21658949668587887</v>
      </c>
      <c r="O45" s="11"/>
      <c r="P45" s="2">
        <f>--64145.93</f>
        <v>64145.93</v>
      </c>
      <c r="Q45" s="2"/>
      <c r="R45" s="19"/>
      <c r="S45" s="2"/>
      <c r="T45" s="2">
        <f>--93588.92</f>
        <v>93588.92</v>
      </c>
      <c r="U45" s="2"/>
      <c r="V45" s="19"/>
      <c r="W45" s="2"/>
      <c r="X45" s="2">
        <f t="shared" si="2"/>
        <v>-29442.989999999998</v>
      </c>
      <c r="Y45" s="2"/>
      <c r="Z45" s="19">
        <f t="shared" si="3"/>
        <v>-0.3145990999789291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--25652.98</f>
        <v>25652.98</v>
      </c>
      <c r="E46" s="2"/>
      <c r="F46" s="19"/>
      <c r="G46" s="2"/>
      <c r="H46" s="2">
        <f>--27879.03</f>
        <v>27879.03</v>
      </c>
      <c r="I46" s="2"/>
      <c r="J46" s="19"/>
      <c r="K46" s="2"/>
      <c r="L46" s="2">
        <f t="shared" si="0"/>
        <v>-2226.0499999999993</v>
      </c>
      <c r="M46" s="2"/>
      <c r="N46" s="19">
        <f t="shared" si="1"/>
        <v>-7.9846752200489021E-2</v>
      </c>
      <c r="O46" s="11"/>
      <c r="P46" s="2">
        <f>--215249.72</f>
        <v>215249.72</v>
      </c>
      <c r="Q46" s="2"/>
      <c r="R46" s="19"/>
      <c r="S46" s="2"/>
      <c r="T46" s="2">
        <f>--166459.38</f>
        <v>166459.38</v>
      </c>
      <c r="U46" s="2"/>
      <c r="V46" s="19"/>
      <c r="W46" s="2"/>
      <c r="X46" s="2">
        <f t="shared" si="2"/>
        <v>48790.34</v>
      </c>
      <c r="Y46" s="2"/>
      <c r="Z46" s="19">
        <f t="shared" si="3"/>
        <v>0.29310658251881028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--109645.14</f>
        <v>109645.14</v>
      </c>
      <c r="E47" s="2"/>
      <c r="F47" s="19"/>
      <c r="G47" s="2"/>
      <c r="H47" s="2">
        <f>--78564.49</f>
        <v>78564.490000000005</v>
      </c>
      <c r="I47" s="2"/>
      <c r="J47" s="19"/>
      <c r="K47" s="2"/>
      <c r="L47" s="2">
        <f t="shared" si="0"/>
        <v>31080.649999999994</v>
      </c>
      <c r="M47" s="2"/>
      <c r="N47" s="19">
        <f t="shared" si="1"/>
        <v>0.39560684477172819</v>
      </c>
      <c r="O47" s="11"/>
      <c r="P47" s="2">
        <f>--1148561.63</f>
        <v>1148561.6299999999</v>
      </c>
      <c r="Q47" s="2"/>
      <c r="R47" s="19"/>
      <c r="S47" s="2"/>
      <c r="T47" s="2">
        <f>--836890.46</f>
        <v>836890.46</v>
      </c>
      <c r="U47" s="2"/>
      <c r="V47" s="19"/>
      <c r="W47" s="2"/>
      <c r="X47" s="2">
        <f t="shared" si="2"/>
        <v>311671.16999999993</v>
      </c>
      <c r="Y47" s="2"/>
      <c r="Z47" s="19">
        <f t="shared" si="3"/>
        <v>0.37241572809899154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--12779.9</f>
        <v>12779.9</v>
      </c>
      <c r="E48" s="2"/>
      <c r="F48" s="19"/>
      <c r="G48" s="2"/>
      <c r="H48" s="2">
        <f>--16364.21</f>
        <v>16364.21</v>
      </c>
      <c r="I48" s="2"/>
      <c r="J48" s="19"/>
      <c r="K48" s="2"/>
      <c r="L48" s="2">
        <f t="shared" si="0"/>
        <v>-3584.3099999999995</v>
      </c>
      <c r="M48" s="2"/>
      <c r="N48" s="19">
        <f t="shared" si="1"/>
        <v>-0.2190334883260481</v>
      </c>
      <c r="O48" s="11"/>
      <c r="P48" s="2">
        <f>--54035.91</f>
        <v>54035.91</v>
      </c>
      <c r="Q48" s="2"/>
      <c r="R48" s="19"/>
      <c r="S48" s="2"/>
      <c r="T48" s="2">
        <f>--53686.96</f>
        <v>53686.96</v>
      </c>
      <c r="U48" s="2"/>
      <c r="V48" s="19"/>
      <c r="W48" s="2"/>
      <c r="X48" s="2">
        <f t="shared" si="2"/>
        <v>348.95000000000437</v>
      </c>
      <c r="Y48" s="2"/>
      <c r="Z48" s="19">
        <f t="shared" si="3"/>
        <v>6.4997161321856253E-3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>0</f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>
        <f>--278.99</f>
        <v>278.99</v>
      </c>
      <c r="U49" s="2"/>
      <c r="V49" s="19"/>
      <c r="W49" s="2"/>
      <c r="X49" s="2">
        <f t="shared" si="2"/>
        <v>-149.99</v>
      </c>
      <c r="Y49" s="2"/>
      <c r="Z49" s="19">
        <f t="shared" si="3"/>
        <v>-0.53761783576472277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>--3913.99</f>
        <v>3913.99</v>
      </c>
      <c r="E50" s="2"/>
      <c r="F50" s="19"/>
      <c r="G50" s="2"/>
      <c r="H50" s="2">
        <f>--1095</f>
        <v>1095</v>
      </c>
      <c r="I50" s="2"/>
      <c r="J50" s="19"/>
      <c r="K50" s="2"/>
      <c r="L50" s="2">
        <f t="shared" si="0"/>
        <v>2818.99</v>
      </c>
      <c r="M50" s="2"/>
      <c r="N50" s="19">
        <f t="shared" si="1"/>
        <v>2.5744200913242006</v>
      </c>
      <c r="O50" s="11"/>
      <c r="P50" s="2">
        <f>--4407.94</f>
        <v>4407.9399999999996</v>
      </c>
      <c r="Q50" s="2"/>
      <c r="R50" s="19"/>
      <c r="S50" s="2"/>
      <c r="T50" s="2">
        <f>--8602.84</f>
        <v>8602.84</v>
      </c>
      <c r="U50" s="2"/>
      <c r="V50" s="19"/>
      <c r="W50" s="2"/>
      <c r="X50" s="2">
        <f t="shared" si="2"/>
        <v>-4194.9000000000005</v>
      </c>
      <c r="Y50" s="2"/>
      <c r="Z50" s="19">
        <f t="shared" si="3"/>
        <v>-0.48761804241390055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--6696.06</f>
        <v>6696.06</v>
      </c>
      <c r="E51" s="2"/>
      <c r="F51" s="19"/>
      <c r="G51" s="2"/>
      <c r="H51" s="2">
        <f>--7570.7</f>
        <v>7570.7</v>
      </c>
      <c r="I51" s="2"/>
      <c r="J51" s="19"/>
      <c r="K51" s="2"/>
      <c r="L51" s="2">
        <f t="shared" si="0"/>
        <v>-874.63999999999942</v>
      </c>
      <c r="M51" s="2"/>
      <c r="N51" s="19">
        <f t="shared" si="1"/>
        <v>-0.11552960756601099</v>
      </c>
      <c r="O51" s="11"/>
      <c r="P51" s="2">
        <f>--27133.09</f>
        <v>27133.09</v>
      </c>
      <c r="Q51" s="2"/>
      <c r="R51" s="19"/>
      <c r="S51" s="2"/>
      <c r="T51" s="2">
        <f>--32449.49</f>
        <v>32449.49</v>
      </c>
      <c r="U51" s="2"/>
      <c r="V51" s="19"/>
      <c r="W51" s="2"/>
      <c r="X51" s="2">
        <f t="shared" si="2"/>
        <v>-5316.4000000000015</v>
      </c>
      <c r="Y51" s="2"/>
      <c r="Z51" s="19">
        <f t="shared" si="3"/>
        <v>-0.16383616506761745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--281.98</f>
        <v>281.98</v>
      </c>
      <c r="E52" s="2"/>
      <c r="F52" s="19"/>
      <c r="G52" s="2"/>
      <c r="H52" s="2">
        <f>--115.98</f>
        <v>115.98</v>
      </c>
      <c r="I52" s="2"/>
      <c r="J52" s="19"/>
      <c r="K52" s="2"/>
      <c r="L52" s="2">
        <f t="shared" si="0"/>
        <v>166</v>
      </c>
      <c r="M52" s="2"/>
      <c r="N52" s="19">
        <f t="shared" si="1"/>
        <v>1.4312812553888601</v>
      </c>
      <c r="O52" s="11"/>
      <c r="P52" s="2">
        <f>--817.94</f>
        <v>817.94</v>
      </c>
      <c r="Q52" s="2"/>
      <c r="R52" s="19"/>
      <c r="S52" s="2"/>
      <c r="T52" s="2">
        <f>--913.89</f>
        <v>913.89</v>
      </c>
      <c r="U52" s="2"/>
      <c r="V52" s="19"/>
      <c r="W52" s="2"/>
      <c r="X52" s="2">
        <f t="shared" si="2"/>
        <v>-95.949999999999932</v>
      </c>
      <c r="Y52" s="2"/>
      <c r="Z52" s="19">
        <f t="shared" si="3"/>
        <v>-0.10499075381063359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>--1178.45</f>
        <v>1178.45</v>
      </c>
      <c r="E53" s="2"/>
      <c r="F53" s="19"/>
      <c r="G53" s="2"/>
      <c r="H53" s="2">
        <f>--300.95</f>
        <v>300.95</v>
      </c>
      <c r="I53" s="2"/>
      <c r="J53" s="19"/>
      <c r="K53" s="2"/>
      <c r="L53" s="2">
        <f t="shared" si="0"/>
        <v>877.5</v>
      </c>
      <c r="M53" s="2"/>
      <c r="N53" s="19">
        <f t="shared" si="1"/>
        <v>2.9157667386609072</v>
      </c>
      <c r="O53" s="11"/>
      <c r="P53" s="2">
        <f>--5051.08</f>
        <v>5051.08</v>
      </c>
      <c r="Q53" s="2"/>
      <c r="R53" s="19"/>
      <c r="S53" s="2"/>
      <c r="T53" s="2">
        <f>--4367.25</f>
        <v>4367.25</v>
      </c>
      <c r="U53" s="2"/>
      <c r="V53" s="19"/>
      <c r="W53" s="2"/>
      <c r="X53" s="2">
        <f t="shared" si="2"/>
        <v>683.82999999999993</v>
      </c>
      <c r="Y53" s="2"/>
      <c r="Z53" s="19">
        <f t="shared" si="3"/>
        <v>0.15658137271738506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--43.76</f>
        <v>43.76</v>
      </c>
      <c r="E54" s="2"/>
      <c r="F54" s="19"/>
      <c r="G54" s="2"/>
      <c r="H54" s="2">
        <f>--478.17</f>
        <v>478.17</v>
      </c>
      <c r="I54" s="2"/>
      <c r="J54" s="19"/>
      <c r="K54" s="2"/>
      <c r="L54" s="2">
        <f t="shared" si="0"/>
        <v>-434.41</v>
      </c>
      <c r="M54" s="2"/>
      <c r="N54" s="19">
        <f t="shared" si="1"/>
        <v>-0.90848443022356073</v>
      </c>
      <c r="O54" s="11"/>
      <c r="P54" s="2">
        <f>--244.61</f>
        <v>244.61</v>
      </c>
      <c r="Q54" s="2"/>
      <c r="R54" s="19"/>
      <c r="S54" s="2"/>
      <c r="T54" s="2">
        <f>--1098.94</f>
        <v>1098.94</v>
      </c>
      <c r="U54" s="2"/>
      <c r="V54" s="19"/>
      <c r="W54" s="2"/>
      <c r="X54" s="2">
        <f t="shared" si="2"/>
        <v>-854.33</v>
      </c>
      <c r="Y54" s="2"/>
      <c r="Z54" s="19">
        <f t="shared" si="3"/>
        <v>-0.77741277958760258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--30737.9</f>
        <v>30737.9</v>
      </c>
      <c r="E55" s="2"/>
      <c r="F55" s="19"/>
      <c r="G55" s="2"/>
      <c r="H55" s="2">
        <f>--177.88</f>
        <v>177.88</v>
      </c>
      <c r="I55" s="2"/>
      <c r="J55" s="19"/>
      <c r="K55" s="2"/>
      <c r="L55" s="2">
        <f t="shared" si="0"/>
        <v>30560.02</v>
      </c>
      <c r="M55" s="2"/>
      <c r="N55" s="19">
        <f t="shared" si="1"/>
        <v>171.80132673712615</v>
      </c>
      <c r="O55" s="11"/>
      <c r="P55" s="2">
        <f>--458517.67</f>
        <v>458517.67</v>
      </c>
      <c r="Q55" s="2"/>
      <c r="R55" s="19"/>
      <c r="S55" s="2"/>
      <c r="T55" s="2">
        <f>--512546.29</f>
        <v>512546.29</v>
      </c>
      <c r="U55" s="2"/>
      <c r="V55" s="19"/>
      <c r="W55" s="2"/>
      <c r="X55" s="2">
        <f t="shared" si="2"/>
        <v>-54028.619999999995</v>
      </c>
      <c r="Y55" s="2"/>
      <c r="Z55" s="19">
        <f t="shared" si="3"/>
        <v>-0.10541217652750934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--8438.54</f>
        <v>8438.5400000000009</v>
      </c>
      <c r="E56" s="2"/>
      <c r="F56" s="19"/>
      <c r="G56" s="2"/>
      <c r="H56" s="2">
        <f>--6989.58</f>
        <v>6989.58</v>
      </c>
      <c r="I56" s="2"/>
      <c r="J56" s="19"/>
      <c r="K56" s="2"/>
      <c r="L56" s="2">
        <f t="shared" si="0"/>
        <v>1448.9600000000009</v>
      </c>
      <c r="M56" s="2"/>
      <c r="N56" s="19">
        <f t="shared" si="1"/>
        <v>0.20730287084488638</v>
      </c>
      <c r="O56" s="11"/>
      <c r="P56" s="2">
        <f>--92331.09</f>
        <v>92331.09</v>
      </c>
      <c r="Q56" s="2"/>
      <c r="R56" s="19"/>
      <c r="S56" s="2"/>
      <c r="T56" s="2">
        <f>--148009.28</f>
        <v>148009.28</v>
      </c>
      <c r="U56" s="2"/>
      <c r="V56" s="19"/>
      <c r="W56" s="2"/>
      <c r="X56" s="2">
        <f t="shared" si="2"/>
        <v>-55678.19</v>
      </c>
      <c r="Y56" s="2"/>
      <c r="Z56" s="19">
        <f t="shared" si="3"/>
        <v>-0.37618039895876804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--578.81</f>
        <v>578.80999999999995</v>
      </c>
      <c r="E57" s="2"/>
      <c r="F57" s="19"/>
      <c r="G57" s="2"/>
      <c r="H57" s="2">
        <f>--1243.24</f>
        <v>1243.24</v>
      </c>
      <c r="I57" s="2"/>
      <c r="J57" s="19"/>
      <c r="K57" s="2"/>
      <c r="L57" s="2">
        <f t="shared" si="0"/>
        <v>-664.43000000000006</v>
      </c>
      <c r="M57" s="2"/>
      <c r="N57" s="19">
        <f t="shared" si="1"/>
        <v>-0.53443422026318332</v>
      </c>
      <c r="O57" s="11"/>
      <c r="P57" s="2">
        <f>--37022.32</f>
        <v>37022.32</v>
      </c>
      <c r="Q57" s="2"/>
      <c r="R57" s="19"/>
      <c r="S57" s="2"/>
      <c r="T57" s="2">
        <f>--50495.17</f>
        <v>50495.17</v>
      </c>
      <c r="U57" s="2"/>
      <c r="V57" s="19"/>
      <c r="W57" s="2"/>
      <c r="X57" s="2">
        <f t="shared" si="2"/>
        <v>-13472.849999999999</v>
      </c>
      <c r="Y57" s="2"/>
      <c r="Z57" s="19">
        <f t="shared" si="3"/>
        <v>-0.26681462801293665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--329.98</f>
        <v>329.98</v>
      </c>
      <c r="Q58" s="2"/>
      <c r="R58" s="19"/>
      <c r="S58" s="2"/>
      <c r="T58" s="2">
        <f>--509.85</f>
        <v>509.85</v>
      </c>
      <c r="U58" s="2"/>
      <c r="V58" s="19"/>
      <c r="W58" s="2"/>
      <c r="X58" s="2">
        <f t="shared" si="2"/>
        <v>-179.87</v>
      </c>
      <c r="Y58" s="2"/>
      <c r="Z58" s="19">
        <f t="shared" si="3"/>
        <v>-0.35279003628518191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--1559.03</f>
        <v>1559.03</v>
      </c>
      <c r="E59" s="2"/>
      <c r="F59" s="19"/>
      <c r="G59" s="2"/>
      <c r="H59" s="2">
        <f>--2584.6</f>
        <v>2584.6</v>
      </c>
      <c r="I59" s="2"/>
      <c r="J59" s="19"/>
      <c r="K59" s="2"/>
      <c r="L59" s="2">
        <f t="shared" si="0"/>
        <v>-1025.57</v>
      </c>
      <c r="M59" s="2"/>
      <c r="N59" s="19">
        <f t="shared" si="1"/>
        <v>-0.39680027857308675</v>
      </c>
      <c r="O59" s="11"/>
      <c r="P59" s="2">
        <f>--320492.85</f>
        <v>320492.84999999998</v>
      </c>
      <c r="Q59" s="2"/>
      <c r="R59" s="19"/>
      <c r="S59" s="2"/>
      <c r="T59" s="2">
        <f>--337326.13</f>
        <v>337326.13</v>
      </c>
      <c r="U59" s="2"/>
      <c r="V59" s="19"/>
      <c r="W59" s="2"/>
      <c r="X59" s="2">
        <f t="shared" si="2"/>
        <v>-16833.280000000028</v>
      </c>
      <c r="Y59" s="2"/>
      <c r="Z59" s="19">
        <f t="shared" si="3"/>
        <v>-4.9902093265054882E-2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--757.3</f>
        <v>757.3</v>
      </c>
      <c r="E60" s="2"/>
      <c r="F60" s="19"/>
      <c r="G60" s="2"/>
      <c r="H60" s="2">
        <f>--1124.17</f>
        <v>1124.17</v>
      </c>
      <c r="I60" s="2"/>
      <c r="J60" s="19"/>
      <c r="K60" s="2"/>
      <c r="L60" s="2">
        <f t="shared" si="0"/>
        <v>-366.87000000000012</v>
      </c>
      <c r="M60" s="2"/>
      <c r="N60" s="19">
        <f t="shared" si="1"/>
        <v>-0.32634743855466708</v>
      </c>
      <c r="O60" s="11"/>
      <c r="P60" s="2">
        <f>--7099.47</f>
        <v>7099.47</v>
      </c>
      <c r="Q60" s="2"/>
      <c r="R60" s="19"/>
      <c r="S60" s="2"/>
      <c r="T60" s="2">
        <f>--9713.91</f>
        <v>9713.91</v>
      </c>
      <c r="U60" s="2"/>
      <c r="V60" s="19"/>
      <c r="W60" s="2"/>
      <c r="X60" s="2">
        <f t="shared" si="2"/>
        <v>-2614.4399999999996</v>
      </c>
      <c r="Y60" s="2"/>
      <c r="Z60" s="19">
        <f t="shared" si="3"/>
        <v>-0.26914393894940347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 t="shared" ref="D61:D63" si="4">0</f>
        <v>0</v>
      </c>
      <c r="E61" s="2"/>
      <c r="F61" s="19"/>
      <c r="G61" s="2"/>
      <c r="H61" s="2">
        <f t="shared" ref="H61:H63" si="5">0</f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--1146.72</f>
        <v>1146.72</v>
      </c>
      <c r="Q61" s="2"/>
      <c r="R61" s="19"/>
      <c r="S61" s="2"/>
      <c r="T61" s="2">
        <f>--38.23</f>
        <v>38.229999999999997</v>
      </c>
      <c r="U61" s="2"/>
      <c r="V61" s="19"/>
      <c r="W61" s="2"/>
      <c r="X61" s="2">
        <f t="shared" si="2"/>
        <v>1108.49</v>
      </c>
      <c r="Y61" s="2"/>
      <c r="Z61" s="19">
        <f t="shared" si="3"/>
        <v>28.995291655767723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 t="shared" si="4"/>
        <v>0</v>
      </c>
      <c r="E62" s="2"/>
      <c r="F62" s="19"/>
      <c r="G62" s="2"/>
      <c r="H62" s="2">
        <f t="shared" si="5"/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--20.92</f>
        <v>20.92</v>
      </c>
      <c r="Q62" s="2"/>
      <c r="R62" s="19"/>
      <c r="S62" s="2"/>
      <c r="T62" s="2">
        <f>--111.41</f>
        <v>111.41</v>
      </c>
      <c r="U62" s="2"/>
      <c r="V62" s="19"/>
      <c r="W62" s="2"/>
      <c r="X62" s="2">
        <f t="shared" si="2"/>
        <v>-90.49</v>
      </c>
      <c r="Y62" s="2"/>
      <c r="Z62" s="19">
        <f t="shared" si="3"/>
        <v>-0.81222511444215062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 t="shared" si="4"/>
        <v>0</v>
      </c>
      <c r="E63" s="2"/>
      <c r="F63" s="19"/>
      <c r="G63" s="2"/>
      <c r="H63" s="2">
        <f t="shared" si="5"/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--124.18</f>
        <v>124.18</v>
      </c>
      <c r="Q63" s="2"/>
      <c r="R63" s="19"/>
      <c r="S63" s="2"/>
      <c r="T63" s="2">
        <f>--160.73</f>
        <v>160.72999999999999</v>
      </c>
      <c r="U63" s="2"/>
      <c r="V63" s="19"/>
      <c r="W63" s="2"/>
      <c r="X63" s="2">
        <f t="shared" si="2"/>
        <v>-36.549999999999983</v>
      </c>
      <c r="Y63" s="2"/>
      <c r="Z63" s="19">
        <f t="shared" si="3"/>
        <v>-0.22739998755677213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>--115.27</f>
        <v>115.27</v>
      </c>
      <c r="E64" s="2"/>
      <c r="F64" s="19"/>
      <c r="G64" s="2"/>
      <c r="H64" s="2">
        <f>--96.42</f>
        <v>96.42</v>
      </c>
      <c r="I64" s="2"/>
      <c r="J64" s="19"/>
      <c r="K64" s="2"/>
      <c r="L64" s="2">
        <f t="shared" si="0"/>
        <v>18.849999999999994</v>
      </c>
      <c r="M64" s="2"/>
      <c r="N64" s="19">
        <f t="shared" si="1"/>
        <v>0.19549885915785101</v>
      </c>
      <c r="O64" s="11"/>
      <c r="P64" s="2">
        <f>--1458.53</f>
        <v>1458.53</v>
      </c>
      <c r="Q64" s="2"/>
      <c r="R64" s="19"/>
      <c r="S64" s="2"/>
      <c r="T64" s="2">
        <f>--1791.88</f>
        <v>1791.88</v>
      </c>
      <c r="U64" s="2"/>
      <c r="V64" s="19"/>
      <c r="W64" s="2"/>
      <c r="X64" s="2">
        <f t="shared" si="2"/>
        <v>-333.35000000000014</v>
      </c>
      <c r="Y64" s="2"/>
      <c r="Z64" s="19">
        <f t="shared" si="3"/>
        <v>-0.18603366296850243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--179.63</f>
        <v>179.63</v>
      </c>
      <c r="E65" s="2"/>
      <c r="F65" s="19"/>
      <c r="G65" s="2"/>
      <c r="H65" s="2">
        <f>--3738.84</f>
        <v>3738.84</v>
      </c>
      <c r="I65" s="2"/>
      <c r="J65" s="19"/>
      <c r="K65" s="2"/>
      <c r="L65" s="2">
        <f t="shared" si="0"/>
        <v>-3559.21</v>
      </c>
      <c r="M65" s="2"/>
      <c r="N65" s="19">
        <f t="shared" si="1"/>
        <v>-0.95195568679055531</v>
      </c>
      <c r="O65" s="11"/>
      <c r="P65" s="2">
        <f>--2597.12</f>
        <v>2597.12</v>
      </c>
      <c r="Q65" s="2"/>
      <c r="R65" s="19"/>
      <c r="S65" s="2"/>
      <c r="T65" s="2">
        <f>--6275.52</f>
        <v>6275.52</v>
      </c>
      <c r="U65" s="2"/>
      <c r="V65" s="19"/>
      <c r="W65" s="2"/>
      <c r="X65" s="2">
        <f t="shared" si="2"/>
        <v>-3678.4000000000005</v>
      </c>
      <c r="Y65" s="2"/>
      <c r="Z65" s="19">
        <f t="shared" si="3"/>
        <v>-0.58615062974861054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--85.82</f>
        <v>85.82</v>
      </c>
      <c r="E66" s="2"/>
      <c r="F66" s="19"/>
      <c r="G66" s="2"/>
      <c r="H66" s="2">
        <f>--61.65</f>
        <v>61.65</v>
      </c>
      <c r="I66" s="2"/>
      <c r="J66" s="19"/>
      <c r="K66" s="2"/>
      <c r="L66" s="2">
        <f t="shared" si="0"/>
        <v>24.169999999999995</v>
      </c>
      <c r="M66" s="2"/>
      <c r="N66" s="19">
        <f t="shared" si="1"/>
        <v>0.39205190592051897</v>
      </c>
      <c r="O66" s="11"/>
      <c r="P66" s="2">
        <f>--348.72</f>
        <v>348.72</v>
      </c>
      <c r="Q66" s="2"/>
      <c r="R66" s="19"/>
      <c r="S66" s="2"/>
      <c r="T66" s="2">
        <f>--624.21</f>
        <v>624.21</v>
      </c>
      <c r="U66" s="2"/>
      <c r="V66" s="19"/>
      <c r="W66" s="2"/>
      <c r="X66" s="2">
        <f t="shared" si="2"/>
        <v>-275.49</v>
      </c>
      <c r="Y66" s="2"/>
      <c r="Z66" s="19">
        <f t="shared" si="3"/>
        <v>-0.44134185610611815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--13457.13</f>
        <v>13457.13</v>
      </c>
      <c r="E67" s="2"/>
      <c r="F67" s="19"/>
      <c r="G67" s="2"/>
      <c r="H67" s="2">
        <f>--13610.6</f>
        <v>13610.6</v>
      </c>
      <c r="I67" s="2"/>
      <c r="J67" s="19"/>
      <c r="K67" s="2"/>
      <c r="L67" s="2">
        <f t="shared" si="0"/>
        <v>-153.47000000000116</v>
      </c>
      <c r="M67" s="2"/>
      <c r="N67" s="19">
        <f t="shared" si="1"/>
        <v>-1.127577035545833E-2</v>
      </c>
      <c r="O67" s="11"/>
      <c r="P67" s="2">
        <f>--26722.42</f>
        <v>26722.42</v>
      </c>
      <c r="Q67" s="2"/>
      <c r="R67" s="19"/>
      <c r="S67" s="2"/>
      <c r="T67" s="2">
        <f>--26794.17</f>
        <v>26794.17</v>
      </c>
      <c r="U67" s="2"/>
      <c r="V67" s="19"/>
      <c r="W67" s="2"/>
      <c r="X67" s="2">
        <f t="shared" si="2"/>
        <v>-71.75</v>
      </c>
      <c r="Y67" s="2"/>
      <c r="Z67" s="19">
        <f t="shared" si="3"/>
        <v>-2.6778213320285721E-3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>--243120.09</f>
        <v>243120.09</v>
      </c>
      <c r="E68" s="2"/>
      <c r="F68" s="19"/>
      <c r="G68" s="2"/>
      <c r="H68" s="2">
        <f>--217296.52</f>
        <v>217296.52</v>
      </c>
      <c r="I68" s="2"/>
      <c r="J68" s="19"/>
      <c r="K68" s="2"/>
      <c r="L68" s="2">
        <f t="shared" si="0"/>
        <v>25823.570000000007</v>
      </c>
      <c r="M68" s="2"/>
      <c r="N68" s="19">
        <f t="shared" si="1"/>
        <v>0.11884023729418219</v>
      </c>
      <c r="O68" s="11"/>
      <c r="P68" s="2">
        <f>--522872.45</f>
        <v>522872.45</v>
      </c>
      <c r="Q68" s="2"/>
      <c r="R68" s="19"/>
      <c r="S68" s="2"/>
      <c r="T68" s="2">
        <f>--485933.32</f>
        <v>485933.32</v>
      </c>
      <c r="U68" s="2"/>
      <c r="V68" s="19"/>
      <c r="W68" s="2"/>
      <c r="X68" s="2">
        <f t="shared" si="2"/>
        <v>36939.130000000005</v>
      </c>
      <c r="Y68" s="2"/>
      <c r="Z68" s="19">
        <f t="shared" si="3"/>
        <v>7.6016869968908496E-2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>--3801.88</f>
        <v>3801.88</v>
      </c>
      <c r="E69" s="2"/>
      <c r="F69" s="19"/>
      <c r="G69" s="2"/>
      <c r="H69" s="2">
        <f>--3409.32</f>
        <v>3409.32</v>
      </c>
      <c r="I69" s="2"/>
      <c r="J69" s="19"/>
      <c r="K69" s="2"/>
      <c r="L69" s="2">
        <f t="shared" si="0"/>
        <v>392.55999999999995</v>
      </c>
      <c r="M69" s="2"/>
      <c r="N69" s="19">
        <f t="shared" si="1"/>
        <v>0.11514319571058156</v>
      </c>
      <c r="O69" s="11"/>
      <c r="P69" s="2">
        <f>--8466.86</f>
        <v>8466.86</v>
      </c>
      <c r="Q69" s="2"/>
      <c r="R69" s="19"/>
      <c r="S69" s="2"/>
      <c r="T69" s="2">
        <f>--7215.99</f>
        <v>7215.99</v>
      </c>
      <c r="U69" s="2"/>
      <c r="V69" s="19"/>
      <c r="W69" s="2"/>
      <c r="X69" s="2">
        <f t="shared" si="2"/>
        <v>1250.8700000000008</v>
      </c>
      <c r="Y69" s="2"/>
      <c r="Z69" s="19">
        <f t="shared" si="3"/>
        <v>0.17334696971586724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>0</f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--0.39</f>
        <v>0.39</v>
      </c>
      <c r="Q70" s="2"/>
      <c r="R70" s="19"/>
      <c r="S70" s="2"/>
      <c r="T70" s="2">
        <f>--163.41</f>
        <v>163.41</v>
      </c>
      <c r="U70" s="2"/>
      <c r="V70" s="19"/>
      <c r="W70" s="2"/>
      <c r="X70" s="2">
        <f t="shared" si="2"/>
        <v>-163.02000000000001</v>
      </c>
      <c r="Y70" s="2"/>
      <c r="Z70" s="19">
        <f t="shared" si="3"/>
        <v>-0.99761336515513133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>--17.9</f>
        <v>17.899999999999999</v>
      </c>
      <c r="E71" s="2"/>
      <c r="F71" s="19"/>
      <c r="G71" s="2"/>
      <c r="H71" s="2">
        <f>--58.44</f>
        <v>58.44</v>
      </c>
      <c r="I71" s="2"/>
      <c r="J71" s="19"/>
      <c r="K71" s="2"/>
      <c r="L71" s="2">
        <f t="shared" si="0"/>
        <v>-40.54</v>
      </c>
      <c r="M71" s="2"/>
      <c r="N71" s="19">
        <f t="shared" si="1"/>
        <v>-0.69370294318959613</v>
      </c>
      <c r="O71" s="11"/>
      <c r="P71" s="2">
        <f>--103.96</f>
        <v>103.96</v>
      </c>
      <c r="Q71" s="2"/>
      <c r="R71" s="19"/>
      <c r="S71" s="2"/>
      <c r="T71" s="2">
        <f>--109.06</f>
        <v>109.06</v>
      </c>
      <c r="U71" s="2"/>
      <c r="V71" s="19"/>
      <c r="W71" s="2"/>
      <c r="X71" s="2">
        <f t="shared" si="2"/>
        <v>-5.1000000000000085</v>
      </c>
      <c r="Y71" s="2"/>
      <c r="Z71" s="19">
        <f t="shared" si="3"/>
        <v>-4.676324958738317E-2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>--2252.19</f>
        <v>2252.19</v>
      </c>
      <c r="E72" s="2"/>
      <c r="F72" s="19"/>
      <c r="G72" s="2"/>
      <c r="H72" s="2">
        <f>--2344.24</f>
        <v>2344.2399999999998</v>
      </c>
      <c r="I72" s="2"/>
      <c r="J72" s="19"/>
      <c r="K72" s="2"/>
      <c r="L72" s="2">
        <f t="shared" si="0"/>
        <v>-92.049999999999727</v>
      </c>
      <c r="M72" s="2"/>
      <c r="N72" s="19">
        <f t="shared" si="1"/>
        <v>-3.9266457359314631E-2</v>
      </c>
      <c r="O72" s="11"/>
      <c r="P72" s="2">
        <f>--5114.15</f>
        <v>5114.1499999999996</v>
      </c>
      <c r="Q72" s="2"/>
      <c r="R72" s="19"/>
      <c r="S72" s="2"/>
      <c r="T72" s="2">
        <f>--4935.63</f>
        <v>4935.63</v>
      </c>
      <c r="U72" s="2"/>
      <c r="V72" s="19"/>
      <c r="W72" s="2"/>
      <c r="X72" s="2">
        <f t="shared" si="2"/>
        <v>178.51999999999953</v>
      </c>
      <c r="Y72" s="2"/>
      <c r="Z72" s="19">
        <f t="shared" si="3"/>
        <v>3.6169648048982504E-2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--4377.82</f>
        <v>4377.82</v>
      </c>
      <c r="E73" s="2"/>
      <c r="F73" s="19"/>
      <c r="G73" s="2"/>
      <c r="H73" s="2">
        <f>--3652.71</f>
        <v>3652.71</v>
      </c>
      <c r="I73" s="2"/>
      <c r="J73" s="19"/>
      <c r="K73" s="2"/>
      <c r="L73" s="2">
        <f t="shared" si="0"/>
        <v>725.10999999999967</v>
      </c>
      <c r="M73" s="2"/>
      <c r="N73" s="19">
        <f t="shared" si="1"/>
        <v>0.19851288495391084</v>
      </c>
      <c r="O73" s="11"/>
      <c r="P73" s="2">
        <f>--12635.52</f>
        <v>12635.52</v>
      </c>
      <c r="Q73" s="2"/>
      <c r="R73" s="19"/>
      <c r="S73" s="2"/>
      <c r="T73" s="2">
        <f>--11557.01</f>
        <v>11557.01</v>
      </c>
      <c r="U73" s="2"/>
      <c r="V73" s="19"/>
      <c r="W73" s="2"/>
      <c r="X73" s="2">
        <f t="shared" si="2"/>
        <v>1078.5100000000002</v>
      </c>
      <c r="Y73" s="2"/>
      <c r="Z73" s="19">
        <f t="shared" si="3"/>
        <v>9.3320850289131896E-2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--581.29</f>
        <v>581.29</v>
      </c>
      <c r="E74" s="2"/>
      <c r="F74" s="19"/>
      <c r="G74" s="2"/>
      <c r="H74" s="2">
        <f>--741.24</f>
        <v>741.24</v>
      </c>
      <c r="I74" s="2"/>
      <c r="J74" s="19"/>
      <c r="K74" s="2"/>
      <c r="L74" s="2">
        <f t="shared" si="0"/>
        <v>-159.95000000000005</v>
      </c>
      <c r="M74" s="2"/>
      <c r="N74" s="19">
        <f t="shared" si="1"/>
        <v>-0.21578705952188232</v>
      </c>
      <c r="O74" s="11"/>
      <c r="P74" s="2">
        <f>--1395.93</f>
        <v>1395.93</v>
      </c>
      <c r="Q74" s="2"/>
      <c r="R74" s="19"/>
      <c r="S74" s="2"/>
      <c r="T74" s="2">
        <f>--2469.53</f>
        <v>2469.5300000000002</v>
      </c>
      <c r="U74" s="2"/>
      <c r="V74" s="19"/>
      <c r="W74" s="2"/>
      <c r="X74" s="2">
        <f t="shared" si="2"/>
        <v>-1073.6000000000001</v>
      </c>
      <c r="Y74" s="2"/>
      <c r="Z74" s="19">
        <f t="shared" si="3"/>
        <v>-0.43473859398347053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--2883.11</f>
        <v>2883.11</v>
      </c>
      <c r="E75" s="2"/>
      <c r="F75" s="19"/>
      <c r="G75" s="2"/>
      <c r="H75" s="2">
        <f>--2670.34</f>
        <v>2670.34</v>
      </c>
      <c r="I75" s="2"/>
      <c r="J75" s="19"/>
      <c r="K75" s="2"/>
      <c r="L75" s="2">
        <f t="shared" si="0"/>
        <v>212.76999999999998</v>
      </c>
      <c r="M75" s="2"/>
      <c r="N75" s="19">
        <f t="shared" si="1"/>
        <v>7.9678992188260661E-2</v>
      </c>
      <c r="O75" s="11"/>
      <c r="P75" s="2">
        <f>--5919.61</f>
        <v>5919.61</v>
      </c>
      <c r="Q75" s="2"/>
      <c r="R75" s="19"/>
      <c r="S75" s="2"/>
      <c r="T75" s="2">
        <f>--5118.1</f>
        <v>5118.1000000000004</v>
      </c>
      <c r="U75" s="2"/>
      <c r="V75" s="19"/>
      <c r="W75" s="2"/>
      <c r="X75" s="2">
        <f t="shared" si="2"/>
        <v>801.50999999999931</v>
      </c>
      <c r="Y75" s="2"/>
      <c r="Z75" s="19">
        <f t="shared" si="3"/>
        <v>0.15660303628299549</v>
      </c>
    </row>
    <row r="76" spans="1:26" s="24" customFormat="1" hidden="1" outlineLevel="1" x14ac:dyDescent="0.25">
      <c r="A76" s="44"/>
      <c r="B76" s="11" t="str">
        <f>CONCATENATE("          ", "4144", " - ", "NON-TAXABLE SALES-ACCESSORIES")</f>
        <v xml:space="preserve">          4144 - NON-TAXABLE SALES-ACCESSORIES</v>
      </c>
      <c r="C76" s="11"/>
      <c r="D76" s="2">
        <f>--71.85</f>
        <v>71.849999999999994</v>
      </c>
      <c r="E76" s="2"/>
      <c r="F76" s="19"/>
      <c r="G76" s="2"/>
      <c r="H76" s="2">
        <f>--165.85</f>
        <v>165.85</v>
      </c>
      <c r="I76" s="2"/>
      <c r="J76" s="19"/>
      <c r="K76" s="2"/>
      <c r="L76" s="2">
        <f t="shared" si="0"/>
        <v>-94</v>
      </c>
      <c r="M76" s="2"/>
      <c r="N76" s="19">
        <f t="shared" si="1"/>
        <v>-0.56677720832077183</v>
      </c>
      <c r="O76" s="11"/>
      <c r="P76" s="2">
        <f>--211.61</f>
        <v>211.61</v>
      </c>
      <c r="Q76" s="2"/>
      <c r="R76" s="19"/>
      <c r="S76" s="2"/>
      <c r="T76" s="2">
        <f>--340.6</f>
        <v>340.6</v>
      </c>
      <c r="U76" s="2"/>
      <c r="V76" s="19"/>
      <c r="W76" s="2"/>
      <c r="X76" s="2">
        <f t="shared" si="2"/>
        <v>-128.99</v>
      </c>
      <c r="Y76" s="2"/>
      <c r="Z76" s="19">
        <f t="shared" si="3"/>
        <v>-0.3787140340575455</v>
      </c>
    </row>
    <row r="77" spans="1:26" s="24" customFormat="1" hidden="1" outlineLevel="1" x14ac:dyDescent="0.25">
      <c r="A77" s="44"/>
      <c r="B77" s="11" t="str">
        <f>CONCATENATE("          ", "4145", " - ", "NON-TAXABLE SALES-SPECIAL ORDE")</f>
        <v xml:space="preserve">          4145 - NON-TAXABLE SALES-SPECIAL ORDE</v>
      </c>
      <c r="C77" s="11"/>
      <c r="D77" s="2">
        <f>0</f>
        <v>0</v>
      </c>
      <c r="E77" s="2"/>
      <c r="F77" s="19"/>
      <c r="G77" s="2"/>
      <c r="H77" s="2">
        <f>--59.85</f>
        <v>59.85</v>
      </c>
      <c r="I77" s="2"/>
      <c r="J77" s="19"/>
      <c r="K77" s="2"/>
      <c r="L77" s="2">
        <f t="shared" si="0"/>
        <v>-59.85</v>
      </c>
      <c r="M77" s="2"/>
      <c r="N77" s="19">
        <f t="shared" si="1"/>
        <v>-1</v>
      </c>
      <c r="O77" s="11"/>
      <c r="P77" s="2">
        <f>--90</f>
        <v>90</v>
      </c>
      <c r="Q77" s="2"/>
      <c r="R77" s="19"/>
      <c r="S77" s="2"/>
      <c r="T77" s="2">
        <f>--261.6</f>
        <v>261.60000000000002</v>
      </c>
      <c r="U77" s="2"/>
      <c r="V77" s="19"/>
      <c r="W77" s="2"/>
      <c r="X77" s="2">
        <f t="shared" si="2"/>
        <v>-171.60000000000002</v>
      </c>
      <c r="Y77" s="2"/>
      <c r="Z77" s="19">
        <f t="shared" si="3"/>
        <v>-0.65596330275229364</v>
      </c>
    </row>
    <row r="78" spans="1:26" s="24" customFormat="1" hidden="1" outlineLevel="1" x14ac:dyDescent="0.25">
      <c r="A78" s="44"/>
      <c r="B78" s="11" t="str">
        <f>CONCATENATE("          ", "4146", " - ", "NON-TAXABLE SALES-COIN OP MACH")</f>
        <v xml:space="preserve">          4146 - NON-TAXABLE SALES-COIN OP MACH</v>
      </c>
      <c r="C78" s="11"/>
      <c r="D78" s="2">
        <f>--40316.8</f>
        <v>40316.800000000003</v>
      </c>
      <c r="E78" s="2"/>
      <c r="F78" s="19"/>
      <c r="G78" s="2"/>
      <c r="H78" s="2">
        <f>--41126.65</f>
        <v>41126.65</v>
      </c>
      <c r="I78" s="2"/>
      <c r="J78" s="19"/>
      <c r="K78" s="2"/>
      <c r="L78" s="2">
        <f t="shared" si="0"/>
        <v>-809.84999999999854</v>
      </c>
      <c r="M78" s="2"/>
      <c r="N78" s="19">
        <f t="shared" si="1"/>
        <v>-1.9691611157242286E-2</v>
      </c>
      <c r="O78" s="11"/>
      <c r="P78" s="2">
        <f>--90410.3</f>
        <v>90410.3</v>
      </c>
      <c r="Q78" s="2"/>
      <c r="R78" s="19"/>
      <c r="S78" s="2"/>
      <c r="T78" s="2">
        <f>--90241.1</f>
        <v>90241.1</v>
      </c>
      <c r="U78" s="2"/>
      <c r="V78" s="19"/>
      <c r="W78" s="2"/>
      <c r="X78" s="2">
        <f t="shared" si="2"/>
        <v>169.19999999999709</v>
      </c>
      <c r="Y78" s="2"/>
      <c r="Z78" s="19">
        <f t="shared" si="3"/>
        <v>1.8749771445604839E-3</v>
      </c>
    </row>
    <row r="79" spans="1:26" s="24" customFormat="1" hidden="1" outlineLevel="1" x14ac:dyDescent="0.25">
      <c r="A79" s="44"/>
      <c r="B79" s="11" t="str">
        <f>CONCATENATE("          ", "4147", " - ", "NON-TAXABLE SALES-MISC")</f>
        <v xml:space="preserve">          4147 - NON-TAXABLE SALES-MISC</v>
      </c>
      <c r="C79" s="11"/>
      <c r="D79" s="2">
        <f>-240</f>
        <v>-240</v>
      </c>
      <c r="E79" s="2"/>
      <c r="F79" s="19"/>
      <c r="G79" s="2"/>
      <c r="H79" s="2">
        <f>--96</f>
        <v>96</v>
      </c>
      <c r="I79" s="2"/>
      <c r="J79" s="19"/>
      <c r="K79" s="2"/>
      <c r="L79" s="2">
        <f t="shared" si="0"/>
        <v>-336</v>
      </c>
      <c r="M79" s="2"/>
      <c r="N79" s="19">
        <f t="shared" si="1"/>
        <v>-3.5</v>
      </c>
      <c r="O79" s="11"/>
      <c r="P79" s="2">
        <f>--174.9</f>
        <v>174.9</v>
      </c>
      <c r="Q79" s="2"/>
      <c r="R79" s="19"/>
      <c r="S79" s="2"/>
      <c r="T79" s="2">
        <f>--286</f>
        <v>286</v>
      </c>
      <c r="U79" s="2"/>
      <c r="V79" s="19"/>
      <c r="W79" s="2"/>
      <c r="X79" s="2">
        <f t="shared" si="2"/>
        <v>-111.1</v>
      </c>
      <c r="Y79" s="2"/>
      <c r="Z79" s="19">
        <f t="shared" si="3"/>
        <v>-0.38846153846153847</v>
      </c>
    </row>
    <row r="80" spans="1:26" s="24" customFormat="1" hidden="1" outlineLevel="1" x14ac:dyDescent="0.25">
      <c r="A80" s="44"/>
      <c r="B80" s="11" t="str">
        <f>CONCATENATE("          ", "4151", " - ", "NON-TAXABLE SALES-FOOD")</f>
        <v xml:space="preserve">          4151 - NON-TAXABLE SALES-FOOD</v>
      </c>
      <c r="C80" s="11"/>
      <c r="D80" s="2">
        <f>--2126163.38</f>
        <v>2126163.38</v>
      </c>
      <c r="E80" s="2"/>
      <c r="F80" s="19"/>
      <c r="G80" s="2"/>
      <c r="H80" s="2">
        <f>--2086703.57</f>
        <v>2086703.57</v>
      </c>
      <c r="I80" s="2"/>
      <c r="J80" s="19"/>
      <c r="K80" s="2"/>
      <c r="L80" s="2">
        <f t="shared" si="0"/>
        <v>39459.809999999823</v>
      </c>
      <c r="M80" s="2"/>
      <c r="N80" s="19">
        <f t="shared" si="1"/>
        <v>1.8910117645507176E-2</v>
      </c>
      <c r="O80" s="11"/>
      <c r="P80" s="2">
        <f>--4973952.84</f>
        <v>4973952.84</v>
      </c>
      <c r="Q80" s="2"/>
      <c r="R80" s="19"/>
      <c r="S80" s="2"/>
      <c r="T80" s="2">
        <f>--4913838.66</f>
        <v>4913838.66</v>
      </c>
      <c r="U80" s="2"/>
      <c r="V80" s="19"/>
      <c r="W80" s="2"/>
      <c r="X80" s="2">
        <f t="shared" si="2"/>
        <v>60114.179999999702</v>
      </c>
      <c r="Y80" s="2"/>
      <c r="Z80" s="19">
        <f t="shared" si="3"/>
        <v>1.2233649527271963E-2</v>
      </c>
    </row>
    <row r="81" spans="1:26" s="24" customFormat="1" hidden="1" outlineLevel="1" x14ac:dyDescent="0.25">
      <c r="A81" s="44"/>
      <c r="B81" s="11" t="str">
        <f>CONCATENATE("          ", "4152", " - ", "NON-TAXABLE SALES-FOOD")</f>
        <v xml:space="preserve">          4152 - NON-TAXABLE SALES-FOOD</v>
      </c>
      <c r="C81" s="11"/>
      <c r="D81" s="2">
        <f>--9149.73</f>
        <v>9149.73</v>
      </c>
      <c r="E81" s="2"/>
      <c r="F81" s="19"/>
      <c r="G81" s="2"/>
      <c r="H81" s="2">
        <f>--11678.23</f>
        <v>11678.23</v>
      </c>
      <c r="I81" s="2"/>
      <c r="J81" s="19"/>
      <c r="K81" s="2"/>
      <c r="L81" s="2">
        <f t="shared" si="0"/>
        <v>-2528.5</v>
      </c>
      <c r="M81" s="2"/>
      <c r="N81" s="19">
        <f t="shared" si="1"/>
        <v>-0.21651397514863127</v>
      </c>
      <c r="O81" s="11"/>
      <c r="P81" s="2">
        <f>--24938.79</f>
        <v>24938.79</v>
      </c>
      <c r="Q81" s="2"/>
      <c r="R81" s="19"/>
      <c r="S81" s="2"/>
      <c r="T81" s="2">
        <f>--26978.15</f>
        <v>26978.15</v>
      </c>
      <c r="U81" s="2"/>
      <c r="V81" s="19"/>
      <c r="W81" s="2"/>
      <c r="X81" s="2">
        <f t="shared" si="2"/>
        <v>-2039.3600000000006</v>
      </c>
      <c r="Y81" s="2"/>
      <c r="Z81" s="19">
        <f t="shared" si="3"/>
        <v>-7.5593026208246317E-2</v>
      </c>
    </row>
    <row r="82" spans="1:26" s="24" customFormat="1" hidden="1" outlineLevel="1" x14ac:dyDescent="0.25">
      <c r="A82" s="44"/>
      <c r="B82" s="11" t="str">
        <f>CONCATENATE("          ", "4153", " - ", "NON-TAXABLE SALES-FOOD")</f>
        <v xml:space="preserve">          4153 - NON-TAXABLE SALES-FOOD</v>
      </c>
      <c r="C82" s="11"/>
      <c r="D82" s="2">
        <f>--33376.48</f>
        <v>33376.480000000003</v>
      </c>
      <c r="E82" s="2"/>
      <c r="F82" s="19"/>
      <c r="G82" s="2"/>
      <c r="H82" s="2">
        <f>--37366.44</f>
        <v>37366.44</v>
      </c>
      <c r="I82" s="2"/>
      <c r="J82" s="19"/>
      <c r="K82" s="2"/>
      <c r="L82" s="2">
        <f t="shared" si="0"/>
        <v>-3989.9599999999991</v>
      </c>
      <c r="M82" s="2"/>
      <c r="N82" s="19">
        <f t="shared" si="1"/>
        <v>-0.10677923826834985</v>
      </c>
      <c r="O82" s="11"/>
      <c r="P82" s="2">
        <f>--195068.56</f>
        <v>195068.56</v>
      </c>
      <c r="Q82" s="2"/>
      <c r="R82" s="19"/>
      <c r="S82" s="2"/>
      <c r="T82" s="2">
        <f>--168390.35</f>
        <v>168390.35</v>
      </c>
      <c r="U82" s="2"/>
      <c r="V82" s="19"/>
      <c r="W82" s="2"/>
      <c r="X82" s="2">
        <f t="shared" si="2"/>
        <v>26678.209999999992</v>
      </c>
      <c r="Y82" s="2"/>
      <c r="Z82" s="19">
        <f t="shared" si="3"/>
        <v>0.15843075330623158</v>
      </c>
    </row>
    <row r="83" spans="1:26" s="24" customFormat="1" hidden="1" outlineLevel="1" x14ac:dyDescent="0.25">
      <c r="A83" s="44"/>
      <c r="B83" s="11" t="str">
        <f>CONCATENATE("          ", "4155", " - ", "NON-TAXABLE SALES-FOOD")</f>
        <v xml:space="preserve">          4155 - NON-TAXABLE SALES-FOOD</v>
      </c>
      <c r="C83" s="11"/>
      <c r="D83" s="2">
        <f>--150364.49</f>
        <v>150364.49</v>
      </c>
      <c r="E83" s="2"/>
      <c r="F83" s="19"/>
      <c r="G83" s="2"/>
      <c r="H83" s="2">
        <f>--134821.43</f>
        <v>134821.43</v>
      </c>
      <c r="I83" s="2"/>
      <c r="J83" s="19"/>
      <c r="K83" s="2"/>
      <c r="L83" s="2">
        <f t="shared" si="0"/>
        <v>15543.059999999998</v>
      </c>
      <c r="M83" s="2"/>
      <c r="N83" s="19">
        <f t="shared" si="1"/>
        <v>0.11528627162610572</v>
      </c>
      <c r="O83" s="11"/>
      <c r="P83" s="2">
        <f>--334390.14</f>
        <v>334390.14</v>
      </c>
      <c r="Q83" s="2"/>
      <c r="R83" s="19"/>
      <c r="S83" s="2"/>
      <c r="T83" s="2">
        <f>--309095.52</f>
        <v>309095.52</v>
      </c>
      <c r="U83" s="2"/>
      <c r="V83" s="19"/>
      <c r="W83" s="2"/>
      <c r="X83" s="2">
        <f t="shared" si="2"/>
        <v>25294.619999999995</v>
      </c>
      <c r="Y83" s="2"/>
      <c r="Z83" s="19">
        <f t="shared" si="3"/>
        <v>8.1834314518696341E-2</v>
      </c>
    </row>
    <row r="84" spans="1:26" s="24" customFormat="1" hidden="1" outlineLevel="1" x14ac:dyDescent="0.25">
      <c r="A84" s="44"/>
      <c r="B84" s="11" t="str">
        <f>CONCATENATE("          ", "4158", " - ", "NON-TAXABLE SALES-FOOD")</f>
        <v xml:space="preserve">          4158 - NON-TAXABLE SALES-FOOD</v>
      </c>
      <c r="C84" s="11"/>
      <c r="D84" s="2">
        <f>--95473.64</f>
        <v>95473.64</v>
      </c>
      <c r="E84" s="2"/>
      <c r="F84" s="19"/>
      <c r="G84" s="2"/>
      <c r="H84" s="2">
        <f>--90470.22</f>
        <v>90470.22</v>
      </c>
      <c r="I84" s="2"/>
      <c r="J84" s="19"/>
      <c r="K84" s="2"/>
      <c r="L84" s="2">
        <f t="shared" si="0"/>
        <v>5003.4199999999983</v>
      </c>
      <c r="M84" s="2"/>
      <c r="N84" s="19">
        <f t="shared" si="1"/>
        <v>5.5304607416672563E-2</v>
      </c>
      <c r="O84" s="11"/>
      <c r="P84" s="2">
        <f>--207720.27</f>
        <v>207720.27</v>
      </c>
      <c r="Q84" s="2"/>
      <c r="R84" s="19"/>
      <c r="S84" s="2"/>
      <c r="T84" s="2">
        <f>--213494.57</f>
        <v>213494.57</v>
      </c>
      <c r="U84" s="2"/>
      <c r="V84" s="19"/>
      <c r="W84" s="2"/>
      <c r="X84" s="2">
        <f t="shared" si="2"/>
        <v>-5774.3000000000175</v>
      </c>
      <c r="Y84" s="2"/>
      <c r="Z84" s="19">
        <f t="shared" si="3"/>
        <v>-2.7046589522159825E-2</v>
      </c>
    </row>
    <row r="85" spans="1:26" s="24" customFormat="1" hidden="1" outlineLevel="1" x14ac:dyDescent="0.25">
      <c r="A85" s="44"/>
      <c r="B85" s="11" t="str">
        <f>CONCATENATE("          ", "4159", " - ", "NON-TAXABLE SALES-FOOD")</f>
        <v xml:space="preserve">          4159 - NON-TAXABLE SALES-FOOD</v>
      </c>
      <c r="C85" s="11"/>
      <c r="D85" s="2">
        <f>0</f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0</f>
        <v>0</v>
      </c>
      <c r="Q85" s="2"/>
      <c r="R85" s="19"/>
      <c r="S85" s="2"/>
      <c r="T85" s="2">
        <f>--1054.9</f>
        <v>1054.9000000000001</v>
      </c>
      <c r="U85" s="2"/>
      <c r="V85" s="19"/>
      <c r="W85" s="2"/>
      <c r="X85" s="2">
        <f t="shared" si="2"/>
        <v>-1054.9000000000001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>--7.99</f>
        <v>7.99</v>
      </c>
      <c r="E86" s="2"/>
      <c r="F86" s="19"/>
      <c r="G86" s="2"/>
      <c r="H86" s="2">
        <f>--99.97</f>
        <v>99.97</v>
      </c>
      <c r="I86" s="2"/>
      <c r="J86" s="19"/>
      <c r="K86" s="2"/>
      <c r="L86" s="2">
        <f t="shared" si="0"/>
        <v>-91.98</v>
      </c>
      <c r="M86" s="2"/>
      <c r="N86" s="19">
        <f t="shared" si="1"/>
        <v>-0.92007602280684209</v>
      </c>
      <c r="O86" s="11"/>
      <c r="P86" s="2">
        <f>--1462.51</f>
        <v>1462.51</v>
      </c>
      <c r="Q86" s="2"/>
      <c r="R86" s="19"/>
      <c r="S86" s="2"/>
      <c r="T86" s="2">
        <f>--936.89</f>
        <v>936.89</v>
      </c>
      <c r="U86" s="2"/>
      <c r="V86" s="19"/>
      <c r="W86" s="2"/>
      <c r="X86" s="2">
        <f t="shared" si="2"/>
        <v>525.62</v>
      </c>
      <c r="Y86" s="2"/>
      <c r="Z86" s="19">
        <f t="shared" si="3"/>
        <v>0.56102637449433768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--10758</f>
        <v>10758</v>
      </c>
      <c r="E87" s="2"/>
      <c r="F87" s="19"/>
      <c r="G87" s="2"/>
      <c r="H87" s="2">
        <f>--56350</f>
        <v>56350</v>
      </c>
      <c r="I87" s="2"/>
      <c r="J87" s="19"/>
      <c r="K87" s="2"/>
      <c r="L87" s="2">
        <f t="shared" si="0"/>
        <v>-45592</v>
      </c>
      <c r="M87" s="2"/>
      <c r="N87" s="19">
        <f t="shared" si="1"/>
        <v>-0.8090860692102928</v>
      </c>
      <c r="O87" s="11"/>
      <c r="P87" s="2">
        <f>--56560</f>
        <v>56560</v>
      </c>
      <c r="Q87" s="2"/>
      <c r="R87" s="19"/>
      <c r="S87" s="2"/>
      <c r="T87" s="2">
        <f>--119563.88</f>
        <v>119563.88</v>
      </c>
      <c r="U87" s="2"/>
      <c r="V87" s="19"/>
      <c r="W87" s="2"/>
      <c r="X87" s="2">
        <f t="shared" si="2"/>
        <v>-63003.880000000005</v>
      </c>
      <c r="Y87" s="2"/>
      <c r="Z87" s="19">
        <f t="shared" si="3"/>
        <v>-0.52694743596477467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--1033.81</f>
        <v>1033.81</v>
      </c>
      <c r="E88" s="2"/>
      <c r="F88" s="19"/>
      <c r="G88" s="2"/>
      <c r="H88" s="2">
        <f>--2512.37</f>
        <v>2512.37</v>
      </c>
      <c r="I88" s="2"/>
      <c r="J88" s="19"/>
      <c r="K88" s="2"/>
      <c r="L88" s="2">
        <f t="shared" si="0"/>
        <v>-1478.56</v>
      </c>
      <c r="M88" s="2"/>
      <c r="N88" s="19">
        <f t="shared" si="1"/>
        <v>-0.58851204241413491</v>
      </c>
      <c r="O88" s="11"/>
      <c r="P88" s="2">
        <f>--3054.92</f>
        <v>3054.92</v>
      </c>
      <c r="Q88" s="2"/>
      <c r="R88" s="19"/>
      <c r="S88" s="2"/>
      <c r="T88" s="2">
        <f>--4142.82</f>
        <v>4142.82</v>
      </c>
      <c r="U88" s="2"/>
      <c r="V88" s="19"/>
      <c r="W88" s="2"/>
      <c r="X88" s="2">
        <f t="shared" si="2"/>
        <v>-1087.8999999999996</v>
      </c>
      <c r="Y88" s="2"/>
      <c r="Z88" s="19">
        <f t="shared" si="3"/>
        <v>-0.2625989060591577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--1522</f>
        <v>1522</v>
      </c>
      <c r="Q89" s="2"/>
      <c r="R89" s="19"/>
      <c r="S89" s="2"/>
      <c r="T89" s="2">
        <f>--99</f>
        <v>99</v>
      </c>
      <c r="U89" s="2"/>
      <c r="V89" s="19"/>
      <c r="W89" s="2"/>
      <c r="X89" s="2">
        <f t="shared" si="2"/>
        <v>1423</v>
      </c>
      <c r="Y89" s="2"/>
      <c r="Z89" s="19">
        <f t="shared" si="3"/>
        <v>14.373737373737374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--1389.95</f>
        <v>1389.95</v>
      </c>
      <c r="E90" s="2"/>
      <c r="F90" s="19"/>
      <c r="G90" s="2"/>
      <c r="H90" s="2">
        <f>--177</f>
        <v>177</v>
      </c>
      <c r="I90" s="2"/>
      <c r="J90" s="19"/>
      <c r="K90" s="2"/>
      <c r="L90" s="2">
        <f t="shared" si="0"/>
        <v>1212.95</v>
      </c>
      <c r="M90" s="2"/>
      <c r="N90" s="19">
        <f t="shared" si="1"/>
        <v>6.8528248587570628</v>
      </c>
      <c r="O90" s="11"/>
      <c r="P90" s="2">
        <f>--8467.89</f>
        <v>8467.89</v>
      </c>
      <c r="Q90" s="2"/>
      <c r="R90" s="19"/>
      <c r="S90" s="2"/>
      <c r="T90" s="2">
        <f>--2393.91</f>
        <v>2393.91</v>
      </c>
      <c r="U90" s="2"/>
      <c r="V90" s="19"/>
      <c r="W90" s="2"/>
      <c r="X90" s="2">
        <f t="shared" si="2"/>
        <v>6073.98</v>
      </c>
      <c r="Y90" s="2"/>
      <c r="Z90" s="19">
        <f t="shared" si="3"/>
        <v>2.5372633056380565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--796.63</f>
        <v>796.63</v>
      </c>
      <c r="E91" s="2"/>
      <c r="F91" s="19"/>
      <c r="G91" s="2"/>
      <c r="H91" s="2">
        <f>--595.84</f>
        <v>595.84</v>
      </c>
      <c r="I91" s="2"/>
      <c r="J91" s="19"/>
      <c r="K91" s="2"/>
      <c r="L91" s="2">
        <f t="shared" si="0"/>
        <v>200.78999999999996</v>
      </c>
      <c r="M91" s="2"/>
      <c r="N91" s="19">
        <f t="shared" si="1"/>
        <v>0.33698643931256705</v>
      </c>
      <c r="O91" s="11"/>
      <c r="P91" s="2">
        <f>--1522.41</f>
        <v>1522.41</v>
      </c>
      <c r="Q91" s="2"/>
      <c r="R91" s="19"/>
      <c r="S91" s="2"/>
      <c r="T91" s="2">
        <f>--2356.18</f>
        <v>2356.1799999999998</v>
      </c>
      <c r="U91" s="2"/>
      <c r="V91" s="19"/>
      <c r="W91" s="2"/>
      <c r="X91" s="2">
        <f t="shared" si="2"/>
        <v>-833.76999999999975</v>
      </c>
      <c r="Y91" s="2"/>
      <c r="Z91" s="19">
        <f t="shared" si="3"/>
        <v>-0.35386515461467283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0</f>
        <v>0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--219.96</f>
        <v>219.96</v>
      </c>
      <c r="Q92" s="2"/>
      <c r="R92" s="19"/>
      <c r="S92" s="2"/>
      <c r="T92" s="2">
        <f>--199.98</f>
        <v>199.98</v>
      </c>
      <c r="U92" s="2"/>
      <c r="V92" s="19"/>
      <c r="W92" s="2"/>
      <c r="X92" s="2">
        <f t="shared" si="2"/>
        <v>19.980000000000018</v>
      </c>
      <c r="Y92" s="2"/>
      <c r="Z92" s="19">
        <f t="shared" si="3"/>
        <v>9.9909990999100001E-2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-4543.92</f>
        <v>-4543.92</v>
      </c>
      <c r="E93" s="2"/>
      <c r="F93" s="19"/>
      <c r="G93" s="2"/>
      <c r="H93" s="2">
        <f>-12940.45</f>
        <v>-12940.45</v>
      </c>
      <c r="I93" s="2"/>
      <c r="J93" s="19"/>
      <c r="K93" s="2"/>
      <c r="L93" s="2">
        <f t="shared" si="0"/>
        <v>8396.5300000000007</v>
      </c>
      <c r="M93" s="2"/>
      <c r="N93" s="19">
        <f t="shared" si="1"/>
        <v>-0.64885919732312247</v>
      </c>
      <c r="O93" s="11"/>
      <c r="P93" s="2">
        <f>-77783.67</f>
        <v>-77783.67</v>
      </c>
      <c r="Q93" s="2"/>
      <c r="R93" s="19"/>
      <c r="S93" s="2"/>
      <c r="T93" s="2">
        <f>-111732.67</f>
        <v>-111732.67</v>
      </c>
      <c r="U93" s="2"/>
      <c r="V93" s="19"/>
      <c r="W93" s="2"/>
      <c r="X93" s="2">
        <f t="shared" si="2"/>
        <v>33949</v>
      </c>
      <c r="Y93" s="2"/>
      <c r="Z93" s="19">
        <f t="shared" si="3"/>
        <v>-0.30384130263780507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-3577.9</f>
        <v>-3577.9</v>
      </c>
      <c r="E94" s="2"/>
      <c r="F94" s="19"/>
      <c r="G94" s="2"/>
      <c r="H94" s="2">
        <f>-2444</f>
        <v>-2444</v>
      </c>
      <c r="I94" s="2"/>
      <c r="J94" s="19"/>
      <c r="K94" s="2"/>
      <c r="L94" s="2">
        <f t="shared" si="0"/>
        <v>-1133.9000000000001</v>
      </c>
      <c r="M94" s="2"/>
      <c r="N94" s="19">
        <f t="shared" si="1"/>
        <v>0.4639525368248773</v>
      </c>
      <c r="O94" s="11"/>
      <c r="P94" s="2">
        <f>-26929</f>
        <v>-26929</v>
      </c>
      <c r="Q94" s="2"/>
      <c r="R94" s="19"/>
      <c r="S94" s="2"/>
      <c r="T94" s="2">
        <f>-29099.65</f>
        <v>-29099.65</v>
      </c>
      <c r="U94" s="2"/>
      <c r="V94" s="19"/>
      <c r="W94" s="2"/>
      <c r="X94" s="2">
        <f t="shared" si="2"/>
        <v>2170.6500000000015</v>
      </c>
      <c r="Y94" s="2"/>
      <c r="Z94" s="19">
        <f t="shared" si="3"/>
        <v>-7.4593680680008226E-2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>0</f>
        <v>0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-144.99</f>
        <v>-144.99</v>
      </c>
      <c r="Q95" s="2"/>
      <c r="R95" s="19"/>
      <c r="S95" s="2"/>
      <c r="T95" s="2">
        <f>-1529.55</f>
        <v>-1529.55</v>
      </c>
      <c r="U95" s="2"/>
      <c r="V95" s="19"/>
      <c r="W95" s="2"/>
      <c r="X95" s="2">
        <f t="shared" si="2"/>
        <v>1384.56</v>
      </c>
      <c r="Y95" s="2"/>
      <c r="Z95" s="19">
        <f t="shared" si="3"/>
        <v>-0.90520741394527804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>-193.34</f>
        <v>-193.34</v>
      </c>
      <c r="E96" s="2"/>
      <c r="F96" s="19"/>
      <c r="G96" s="2"/>
      <c r="H96" s="2">
        <f>-358.14</f>
        <v>-358.14</v>
      </c>
      <c r="I96" s="2"/>
      <c r="J96" s="19"/>
      <c r="K96" s="2"/>
      <c r="L96" s="2">
        <f t="shared" si="0"/>
        <v>164.79999999999998</v>
      </c>
      <c r="M96" s="2"/>
      <c r="N96" s="19">
        <f t="shared" si="1"/>
        <v>-0.46015524655162782</v>
      </c>
      <c r="O96" s="11"/>
      <c r="P96" s="2">
        <f>-11250.06</f>
        <v>-11250.06</v>
      </c>
      <c r="Q96" s="2"/>
      <c r="R96" s="19"/>
      <c r="S96" s="2"/>
      <c r="T96" s="2">
        <f>-15499.78</f>
        <v>-15499.78</v>
      </c>
      <c r="U96" s="2"/>
      <c r="V96" s="19"/>
      <c r="W96" s="2"/>
      <c r="X96" s="2">
        <f t="shared" si="2"/>
        <v>4249.7200000000012</v>
      </c>
      <c r="Y96" s="2"/>
      <c r="Z96" s="19">
        <f t="shared" si="3"/>
        <v>-0.27417937544920001</v>
      </c>
    </row>
    <row r="97" spans="1:26" s="24" customFormat="1" hidden="1" outlineLevel="1" x14ac:dyDescent="0.25">
      <c r="A97" s="44"/>
      <c r="B97" s="11" t="str">
        <f>CONCATENATE("          ", "4213", " - ", "NON-TAXABLE SALES-TRADE BOOKS")</f>
        <v xml:space="preserve">          4213 - NON-TAXABLE SALES-TRADE BOOKS</v>
      </c>
      <c r="C97" s="11"/>
      <c r="D97" s="2">
        <f>-35.37</f>
        <v>-35.369999999999997</v>
      </c>
      <c r="E97" s="2"/>
      <c r="F97" s="19"/>
      <c r="G97" s="2"/>
      <c r="H97" s="2">
        <f t="shared" ref="H97:H99" si="6">0</f>
        <v>0</v>
      </c>
      <c r="I97" s="2"/>
      <c r="J97" s="19"/>
      <c r="K97" s="2"/>
      <c r="L97" s="2">
        <f t="shared" si="0"/>
        <v>-35.369999999999997</v>
      </c>
      <c r="M97" s="2"/>
      <c r="N97" s="19">
        <f t="shared" si="1"/>
        <v>0</v>
      </c>
      <c r="O97" s="11"/>
      <c r="P97" s="2">
        <f>-35.37</f>
        <v>-35.369999999999997</v>
      </c>
      <c r="Q97" s="2"/>
      <c r="R97" s="19"/>
      <c r="S97" s="2"/>
      <c r="T97" s="2">
        <f>-15</f>
        <v>-15</v>
      </c>
      <c r="U97" s="2"/>
      <c r="V97" s="19"/>
      <c r="W97" s="2"/>
      <c r="X97" s="2">
        <f t="shared" si="2"/>
        <v>-20.369999999999997</v>
      </c>
      <c r="Y97" s="2"/>
      <c r="Z97" s="19">
        <f t="shared" si="3"/>
        <v>1.3579999999999999</v>
      </c>
    </row>
    <row r="98" spans="1:26" s="24" customFormat="1" hidden="1" outlineLevel="1" x14ac:dyDescent="0.25">
      <c r="A98" s="44"/>
      <c r="B98" s="11" t="str">
        <f>CONCATENATE("          ", "4217", " - ", "NON-TAXABLE SALES-DORM/HOUSEWA")</f>
        <v xml:space="preserve">          4217 - NON-TAXABLE SALES-DORM/HOUSEWA</v>
      </c>
      <c r="C98" s="11"/>
      <c r="D98" s="2">
        <f>-2.98</f>
        <v>-2.98</v>
      </c>
      <c r="E98" s="2"/>
      <c r="F98" s="19"/>
      <c r="G98" s="2"/>
      <c r="H98" s="2">
        <f t="shared" si="6"/>
        <v>0</v>
      </c>
      <c r="I98" s="2"/>
      <c r="J98" s="19"/>
      <c r="K98" s="2"/>
      <c r="L98" s="2">
        <f t="shared" si="0"/>
        <v>-2.98</v>
      </c>
      <c r="M98" s="2"/>
      <c r="N98" s="19">
        <f t="shared" si="1"/>
        <v>0</v>
      </c>
      <c r="O98" s="11"/>
      <c r="P98" s="2">
        <f>-2.98</f>
        <v>-2.98</v>
      </c>
      <c r="Q98" s="2"/>
      <c r="R98" s="19"/>
      <c r="S98" s="2"/>
      <c r="T98" s="2">
        <f>-1.5</f>
        <v>-1.5</v>
      </c>
      <c r="U98" s="2"/>
      <c r="V98" s="19"/>
      <c r="W98" s="2"/>
      <c r="X98" s="2">
        <f t="shared" si="2"/>
        <v>-1.48</v>
      </c>
      <c r="Y98" s="2"/>
      <c r="Z98" s="19">
        <f t="shared" si="3"/>
        <v>0.98666666666666669</v>
      </c>
    </row>
    <row r="99" spans="1:26" s="24" customFormat="1" hidden="1" outlineLevel="1" x14ac:dyDescent="0.25">
      <c r="A99" s="44"/>
      <c r="B99" s="11" t="str">
        <f>CONCATENATE("          ", "4218", " - ", "SALES RETURN TAXABLE-STUDY GUI")</f>
        <v xml:space="preserve">          4218 - SALES RETURN TAXABLE-STUDY GUI</v>
      </c>
      <c r="C99" s="11"/>
      <c r="D99" s="2">
        <f>0</f>
        <v>0</v>
      </c>
      <c r="E99" s="2"/>
      <c r="F99" s="19"/>
      <c r="G99" s="2"/>
      <c r="H99" s="2">
        <f t="shared" si="6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-32.75</f>
        <v>-32.75</v>
      </c>
      <c r="Q99" s="2"/>
      <c r="R99" s="19"/>
      <c r="S99" s="2"/>
      <c r="T99" s="2">
        <f>-22.9</f>
        <v>-22.9</v>
      </c>
      <c r="U99" s="2"/>
      <c r="V99" s="19"/>
      <c r="W99" s="2"/>
      <c r="X99" s="2">
        <f t="shared" si="2"/>
        <v>-9.8500000000000014</v>
      </c>
      <c r="Y99" s="2"/>
      <c r="Z99" s="19">
        <f t="shared" si="3"/>
        <v>0.43013100436681234</v>
      </c>
    </row>
    <row r="100" spans="1:26" s="24" customFormat="1" hidden="1" outlineLevel="1" x14ac:dyDescent="0.25">
      <c r="A100" s="44"/>
      <c r="B100" s="11" t="str">
        <f>CONCATENATE("          ", "4225", " - ", "SALES RETURN TAXABLE-TEST FORM")</f>
        <v xml:space="preserve">          4225 - SALES RETURN TAXABLE-TEST FORM</v>
      </c>
      <c r="C100" s="11"/>
      <c r="D100" s="2">
        <f>-8.45</f>
        <v>-8.4499999999999993</v>
      </c>
      <c r="E100" s="2"/>
      <c r="F100" s="19"/>
      <c r="G100" s="2"/>
      <c r="H100" s="2">
        <f>-23.96</f>
        <v>-23.96</v>
      </c>
      <c r="I100" s="2"/>
      <c r="J100" s="19"/>
      <c r="K100" s="2"/>
      <c r="L100" s="2">
        <f t="shared" si="0"/>
        <v>15.510000000000002</v>
      </c>
      <c r="M100" s="2"/>
      <c r="N100" s="19">
        <f t="shared" si="1"/>
        <v>-0.64732888146911527</v>
      </c>
      <c r="O100" s="11"/>
      <c r="P100" s="2">
        <f>-41.55</f>
        <v>-41.55</v>
      </c>
      <c r="Q100" s="2"/>
      <c r="R100" s="19"/>
      <c r="S100" s="2"/>
      <c r="T100" s="2">
        <f>-61.29</f>
        <v>-61.29</v>
      </c>
      <c r="U100" s="2"/>
      <c r="V100" s="19"/>
      <c r="W100" s="2"/>
      <c r="X100" s="2">
        <f t="shared" si="2"/>
        <v>19.740000000000002</v>
      </c>
      <c r="Y100" s="2"/>
      <c r="Z100" s="19">
        <f t="shared" si="3"/>
        <v>-0.32207537934410185</v>
      </c>
    </row>
    <row r="101" spans="1:26" s="24" customFormat="1" hidden="1" outlineLevel="1" x14ac:dyDescent="0.25">
      <c r="A101" s="44"/>
      <c r="B101" s="11" t="str">
        <f>CONCATENATE("          ", "4226", " - ", "SALES RETURN TAXABLE-WRITING I")</f>
        <v xml:space="preserve">          4226 - SALES RETURN TAXABLE-WRITING I</v>
      </c>
      <c r="C101" s="11"/>
      <c r="D101" s="2">
        <f>-166.9</f>
        <v>-166.9</v>
      </c>
      <c r="E101" s="2"/>
      <c r="F101" s="19"/>
      <c r="G101" s="2"/>
      <c r="H101" s="2">
        <f>-123.89</f>
        <v>-123.89</v>
      </c>
      <c r="I101" s="2"/>
      <c r="J101" s="19"/>
      <c r="K101" s="2"/>
      <c r="L101" s="2">
        <f t="shared" si="0"/>
        <v>-43.010000000000005</v>
      </c>
      <c r="M101" s="2"/>
      <c r="N101" s="19">
        <f t="shared" si="1"/>
        <v>0.347162805714747</v>
      </c>
      <c r="O101" s="11"/>
      <c r="P101" s="2">
        <f>-475.97</f>
        <v>-475.97</v>
      </c>
      <c r="Q101" s="2"/>
      <c r="R101" s="19"/>
      <c r="S101" s="2"/>
      <c r="T101" s="2">
        <f>-241.15</f>
        <v>-241.15</v>
      </c>
      <c r="U101" s="2"/>
      <c r="V101" s="19"/>
      <c r="W101" s="2"/>
      <c r="X101" s="2">
        <f t="shared" si="2"/>
        <v>-234.82000000000002</v>
      </c>
      <c r="Y101" s="2"/>
      <c r="Z101" s="19">
        <f t="shared" si="3"/>
        <v>0.97375077752436245</v>
      </c>
    </row>
    <row r="102" spans="1:26" s="24" customFormat="1" hidden="1" outlineLevel="1" x14ac:dyDescent="0.25">
      <c r="A102" s="44"/>
      <c r="B102" s="11" t="str">
        <f>CONCATENATE("          ", "4227", " - ", "SALES RETURN TAXABLE-SCHOOL SU")</f>
        <v xml:space="preserve">          4227 - SALES RETURN TAXABLE-SCHOOL SU</v>
      </c>
      <c r="C102" s="11"/>
      <c r="D102" s="2">
        <f>-324.85</f>
        <v>-324.85000000000002</v>
      </c>
      <c r="E102" s="2"/>
      <c r="F102" s="19"/>
      <c r="G102" s="2"/>
      <c r="H102" s="2">
        <f>-154.62</f>
        <v>-154.62</v>
      </c>
      <c r="I102" s="2"/>
      <c r="J102" s="19"/>
      <c r="K102" s="2"/>
      <c r="L102" s="2">
        <f t="shared" si="0"/>
        <v>-170.23000000000002</v>
      </c>
      <c r="M102" s="2"/>
      <c r="N102" s="19">
        <f t="shared" si="1"/>
        <v>1.1009571853576512</v>
      </c>
      <c r="O102" s="11"/>
      <c r="P102" s="2">
        <f>-4826.48</f>
        <v>-4826.4799999999996</v>
      </c>
      <c r="Q102" s="2"/>
      <c r="R102" s="19"/>
      <c r="S102" s="2"/>
      <c r="T102" s="2">
        <f>-2100.84</f>
        <v>-2100.84</v>
      </c>
      <c r="U102" s="2"/>
      <c r="V102" s="19"/>
      <c r="W102" s="2"/>
      <c r="X102" s="2">
        <f t="shared" si="2"/>
        <v>-2725.6399999999994</v>
      </c>
      <c r="Y102" s="2"/>
      <c r="Z102" s="19">
        <f t="shared" si="3"/>
        <v>1.2974048475847753</v>
      </c>
    </row>
    <row r="103" spans="1:26" s="24" customFormat="1" hidden="1" outlineLevel="1" x14ac:dyDescent="0.25">
      <c r="A103" s="44"/>
      <c r="B103" s="11" t="str">
        <f>CONCATENATE("          ", "4228", " - ", "SALES RETURN TAXABLE-ART/TECH")</f>
        <v xml:space="preserve">          4228 - SALES RETURN TAXABLE-ART/TECH</v>
      </c>
      <c r="C103" s="11"/>
      <c r="D103" s="2">
        <f>-502.99</f>
        <v>-502.99</v>
      </c>
      <c r="E103" s="2"/>
      <c r="F103" s="19"/>
      <c r="G103" s="2"/>
      <c r="H103" s="2">
        <f>-995.36</f>
        <v>-995.36</v>
      </c>
      <c r="I103" s="2"/>
      <c r="J103" s="19"/>
      <c r="K103" s="2"/>
      <c r="L103" s="2">
        <f t="shared" si="0"/>
        <v>492.37</v>
      </c>
      <c r="M103" s="2"/>
      <c r="N103" s="19">
        <f t="shared" si="1"/>
        <v>-0.49466524674489631</v>
      </c>
      <c r="O103" s="11"/>
      <c r="P103" s="2">
        <f>-2430.26</f>
        <v>-2430.2600000000002</v>
      </c>
      <c r="Q103" s="2"/>
      <c r="R103" s="19"/>
      <c r="S103" s="2"/>
      <c r="T103" s="2">
        <f>-3776.79</f>
        <v>-3776.79</v>
      </c>
      <c r="U103" s="2"/>
      <c r="V103" s="19"/>
      <c r="W103" s="2"/>
      <c r="X103" s="2">
        <f t="shared" si="2"/>
        <v>1346.5299999999997</v>
      </c>
      <c r="Y103" s="2"/>
      <c r="Z103" s="19">
        <f t="shared" si="3"/>
        <v>-0.35652763325469505</v>
      </c>
    </row>
    <row r="104" spans="1:26" s="24" customFormat="1" hidden="1" outlineLevel="1" x14ac:dyDescent="0.25">
      <c r="A104" s="44"/>
      <c r="B104" s="11" t="str">
        <f>CONCATENATE("          ", "4233", " - ", "SALES RETURN TAXABLE-CANDY")</f>
        <v xml:space="preserve">          4233 - SALES RETURN TAXABLE-CANDY</v>
      </c>
      <c r="C104" s="11"/>
      <c r="D104" s="2">
        <f>0</f>
        <v>0</v>
      </c>
      <c r="E104" s="2"/>
      <c r="F104" s="19"/>
      <c r="G104" s="2"/>
      <c r="H104" s="2">
        <f>-1.89</f>
        <v>-1.89</v>
      </c>
      <c r="I104" s="2"/>
      <c r="J104" s="19"/>
      <c r="K104" s="2"/>
      <c r="L104" s="2">
        <f t="shared" si="0"/>
        <v>1.89</v>
      </c>
      <c r="M104" s="2"/>
      <c r="N104" s="19">
        <f t="shared" si="1"/>
        <v>-1</v>
      </c>
      <c r="O104" s="11"/>
      <c r="P104" s="2">
        <f>0</f>
        <v>0</v>
      </c>
      <c r="Q104" s="2"/>
      <c r="R104" s="19"/>
      <c r="S104" s="2"/>
      <c r="T104" s="2">
        <f>-3.58</f>
        <v>-3.58</v>
      </c>
      <c r="U104" s="2"/>
      <c r="V104" s="19"/>
      <c r="W104" s="2"/>
      <c r="X104" s="2">
        <f t="shared" si="2"/>
        <v>3.58</v>
      </c>
      <c r="Y104" s="2"/>
      <c r="Z104" s="19">
        <f t="shared" si="3"/>
        <v>-1</v>
      </c>
    </row>
    <row r="105" spans="1:26" s="24" customFormat="1" hidden="1" outlineLevel="1" x14ac:dyDescent="0.25">
      <c r="A105" s="44"/>
      <c r="B105" s="11" t="str">
        <f>CONCATENATE("          ", "4240", " - ", "SALES RETURN TAXABLE-LOGO CLOT")</f>
        <v xml:space="preserve">          4240 - SALES RETURN TAXABLE-LOGO CLOT</v>
      </c>
      <c r="C105" s="11"/>
      <c r="D105" s="2">
        <f>-9501.82</f>
        <v>-9501.82</v>
      </c>
      <c r="E105" s="2"/>
      <c r="F105" s="19"/>
      <c r="G105" s="2"/>
      <c r="H105" s="2">
        <f>-8092.81</f>
        <v>-8092.81</v>
      </c>
      <c r="I105" s="2"/>
      <c r="J105" s="19"/>
      <c r="K105" s="2"/>
      <c r="L105" s="2">
        <f t="shared" si="0"/>
        <v>-1409.0099999999993</v>
      </c>
      <c r="M105" s="2"/>
      <c r="N105" s="19">
        <f t="shared" si="1"/>
        <v>0.17410639814847986</v>
      </c>
      <c r="O105" s="11"/>
      <c r="P105" s="2">
        <f>-30294.8</f>
        <v>-30294.799999999999</v>
      </c>
      <c r="Q105" s="2"/>
      <c r="R105" s="19"/>
      <c r="S105" s="2"/>
      <c r="T105" s="2">
        <f>-28621.41</f>
        <v>-28621.41</v>
      </c>
      <c r="U105" s="2"/>
      <c r="V105" s="19"/>
      <c r="W105" s="2"/>
      <c r="X105" s="2">
        <f t="shared" si="2"/>
        <v>-1673.3899999999994</v>
      </c>
      <c r="Y105" s="2"/>
      <c r="Z105" s="19">
        <f t="shared" si="3"/>
        <v>5.8466371852399987E-2</v>
      </c>
    </row>
    <row r="106" spans="1:26" s="24" customFormat="1" hidden="1" outlineLevel="1" x14ac:dyDescent="0.25">
      <c r="A106" s="44"/>
      <c r="B106" s="11" t="str">
        <f>CONCATENATE("          ", "4241", " - ", "SALES RETURN TAXABLE-LOGO GIFT")</f>
        <v xml:space="preserve">          4241 - SALES RETURN TAXABLE-LOGO GIFT</v>
      </c>
      <c r="C106" s="11"/>
      <c r="D106" s="2">
        <f>-327.07</f>
        <v>-327.07</v>
      </c>
      <c r="E106" s="2"/>
      <c r="F106" s="19"/>
      <c r="G106" s="2"/>
      <c r="H106" s="2">
        <f>-816.93</f>
        <v>-816.93</v>
      </c>
      <c r="I106" s="2"/>
      <c r="J106" s="19"/>
      <c r="K106" s="2"/>
      <c r="L106" s="2">
        <f t="shared" si="0"/>
        <v>489.85999999999996</v>
      </c>
      <c r="M106" s="2"/>
      <c r="N106" s="19">
        <f t="shared" si="1"/>
        <v>-0.59963521966386346</v>
      </c>
      <c r="O106" s="11"/>
      <c r="P106" s="2">
        <f>-2717.95</f>
        <v>-2717.95</v>
      </c>
      <c r="Q106" s="2"/>
      <c r="R106" s="19"/>
      <c r="S106" s="2"/>
      <c r="T106" s="2">
        <f>-3417.67</f>
        <v>-3417.67</v>
      </c>
      <c r="U106" s="2"/>
      <c r="V106" s="19"/>
      <c r="W106" s="2"/>
      <c r="X106" s="2">
        <f t="shared" si="2"/>
        <v>699.72000000000025</v>
      </c>
      <c r="Y106" s="2"/>
      <c r="Z106" s="19">
        <f t="shared" si="3"/>
        <v>-0.20473597509414315</v>
      </c>
    </row>
    <row r="107" spans="1:26" s="24" customFormat="1" hidden="1" outlineLevel="1" x14ac:dyDescent="0.25">
      <c r="A107" s="44"/>
      <c r="B107" s="11" t="str">
        <f>CONCATENATE("          ", "4242", " - ", "SALES RETURN TAXABLE-EVERYDAY")</f>
        <v xml:space="preserve">          4242 - SALES RETURN TAXABLE-EVERYDAY</v>
      </c>
      <c r="C107" s="11"/>
      <c r="D107" s="2">
        <f>-165.1</f>
        <v>-165.1</v>
      </c>
      <c r="E107" s="2"/>
      <c r="F107" s="19"/>
      <c r="G107" s="2"/>
      <c r="H107" s="2">
        <f>-327.87</f>
        <v>-327.87</v>
      </c>
      <c r="I107" s="2"/>
      <c r="J107" s="19"/>
      <c r="K107" s="2"/>
      <c r="L107" s="2">
        <f t="shared" si="0"/>
        <v>162.77000000000001</v>
      </c>
      <c r="M107" s="2"/>
      <c r="N107" s="19">
        <f t="shared" si="1"/>
        <v>-0.49644676243633151</v>
      </c>
      <c r="O107" s="11"/>
      <c r="P107" s="2">
        <f>-1159.57</f>
        <v>-1159.57</v>
      </c>
      <c r="Q107" s="2"/>
      <c r="R107" s="19"/>
      <c r="S107" s="2"/>
      <c r="T107" s="2">
        <f>-1066.22</f>
        <v>-1066.22</v>
      </c>
      <c r="U107" s="2"/>
      <c r="V107" s="19"/>
      <c r="W107" s="2"/>
      <c r="X107" s="2">
        <f t="shared" si="2"/>
        <v>-93.349999999999909</v>
      </c>
      <c r="Y107" s="2"/>
      <c r="Z107" s="19">
        <f t="shared" si="3"/>
        <v>8.7552287520399077E-2</v>
      </c>
    </row>
    <row r="108" spans="1:26" s="24" customFormat="1" hidden="1" outlineLevel="1" x14ac:dyDescent="0.25">
      <c r="A108" s="44"/>
      <c r="B108" s="11" t="str">
        <f>CONCATENATE("          ", "4243", " - ", "SALES RETURN TAXABLE-CARDS")</f>
        <v xml:space="preserve">          4243 - SALES RETURN TAXABLE-CARDS</v>
      </c>
      <c r="C108" s="11"/>
      <c r="D108" s="2">
        <f>0</f>
        <v>0</v>
      </c>
      <c r="E108" s="2"/>
      <c r="F108" s="19"/>
      <c r="G108" s="2"/>
      <c r="H108" s="2">
        <f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-4.5</f>
        <v>-4.5</v>
      </c>
      <c r="Q108" s="2"/>
      <c r="R108" s="19"/>
      <c r="S108" s="2"/>
      <c r="T108" s="2">
        <f>-12.95</f>
        <v>-12.95</v>
      </c>
      <c r="U108" s="2"/>
      <c r="V108" s="19"/>
      <c r="W108" s="2"/>
      <c r="X108" s="2">
        <f t="shared" si="2"/>
        <v>8.4499999999999993</v>
      </c>
      <c r="Y108" s="2"/>
      <c r="Z108" s="19">
        <f t="shared" si="3"/>
        <v>-0.65250965250965254</v>
      </c>
    </row>
    <row r="109" spans="1:26" s="24" customFormat="1" hidden="1" outlineLevel="1" x14ac:dyDescent="0.25">
      <c r="A109" s="44"/>
      <c r="B109" s="11" t="str">
        <f>CONCATENATE("          ", "4244", " - ", "SALES RETURN TAXABLE-ACCESSORI")</f>
        <v xml:space="preserve">          4244 - SALES RETURN TAXABLE-ACCESSORI</v>
      </c>
      <c r="C109" s="11"/>
      <c r="D109" s="2">
        <f>-177.85</f>
        <v>-177.85</v>
      </c>
      <c r="E109" s="2"/>
      <c r="F109" s="19"/>
      <c r="G109" s="2"/>
      <c r="H109" s="2">
        <f>-424.7</f>
        <v>-424.7</v>
      </c>
      <c r="I109" s="2"/>
      <c r="J109" s="19"/>
      <c r="K109" s="2"/>
      <c r="L109" s="2">
        <f t="shared" si="0"/>
        <v>246.85</v>
      </c>
      <c r="M109" s="2"/>
      <c r="N109" s="19">
        <f t="shared" si="1"/>
        <v>-0.58123381210266067</v>
      </c>
      <c r="O109" s="11"/>
      <c r="P109" s="2">
        <f>-1432.36</f>
        <v>-1432.36</v>
      </c>
      <c r="Q109" s="2"/>
      <c r="R109" s="19"/>
      <c r="S109" s="2"/>
      <c r="T109" s="2">
        <f>-2448.06</f>
        <v>-2448.06</v>
      </c>
      <c r="U109" s="2"/>
      <c r="V109" s="19"/>
      <c r="W109" s="2"/>
      <c r="X109" s="2">
        <f t="shared" si="2"/>
        <v>1015.7</v>
      </c>
      <c r="Y109" s="2"/>
      <c r="Z109" s="19">
        <f t="shared" si="3"/>
        <v>-0.41489996160224835</v>
      </c>
    </row>
    <row r="110" spans="1:26" s="24" customFormat="1" hidden="1" outlineLevel="1" x14ac:dyDescent="0.25">
      <c r="A110" s="44"/>
      <c r="B110" s="11" t="str">
        <f>CONCATENATE("          ", "4245", " - ", "SALES RETURN TAXABLE-SPECIAL O")</f>
        <v xml:space="preserve">          4245 - SALES RETURN TAXABLE-SPECIAL O</v>
      </c>
      <c r="C110" s="11"/>
      <c r="D110" s="2">
        <f>0</f>
        <v>0</v>
      </c>
      <c r="E110" s="2"/>
      <c r="F110" s="19"/>
      <c r="G110" s="2"/>
      <c r="H110" s="2">
        <f>0</f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-91.96</f>
        <v>-91.96</v>
      </c>
      <c r="Q110" s="2"/>
      <c r="R110" s="19"/>
      <c r="S110" s="2"/>
      <c r="T110" s="2">
        <f>-174.85</f>
        <v>-174.85</v>
      </c>
      <c r="U110" s="2"/>
      <c r="V110" s="19"/>
      <c r="W110" s="2"/>
      <c r="X110" s="2">
        <f t="shared" si="2"/>
        <v>82.89</v>
      </c>
      <c r="Y110" s="2"/>
      <c r="Z110" s="19">
        <f t="shared" si="3"/>
        <v>-0.47406348298541606</v>
      </c>
    </row>
    <row r="111" spans="1:26" s="24" customFormat="1" hidden="1" outlineLevel="1" x14ac:dyDescent="0.25">
      <c r="A111" s="44"/>
      <c r="B111" s="11" t="str">
        <f>CONCATENATE("          ", "4281", " - ", "SALES RETURN TAXABLE-ELECTRONI")</f>
        <v xml:space="preserve">          4281 - SALES RETURN TAXABLE-ELECTRONI</v>
      </c>
      <c r="C111" s="11"/>
      <c r="D111" s="2">
        <f>-1301.67</f>
        <v>-1301.67</v>
      </c>
      <c r="E111" s="2"/>
      <c r="F111" s="19"/>
      <c r="G111" s="2"/>
      <c r="H111" s="2">
        <f>-1409.89</f>
        <v>-1409.89</v>
      </c>
      <c r="I111" s="2"/>
      <c r="J111" s="19"/>
      <c r="K111" s="2"/>
      <c r="L111" s="2">
        <f t="shared" si="0"/>
        <v>108.22000000000003</v>
      </c>
      <c r="M111" s="2"/>
      <c r="N111" s="19">
        <f t="shared" si="1"/>
        <v>-7.6757761243784986E-2</v>
      </c>
      <c r="O111" s="11"/>
      <c r="P111" s="2">
        <f>-4601.13</f>
        <v>-4601.13</v>
      </c>
      <c r="Q111" s="2"/>
      <c r="R111" s="19"/>
      <c r="S111" s="2"/>
      <c r="T111" s="2">
        <f>-3866.17</f>
        <v>-3866.17</v>
      </c>
      <c r="U111" s="2"/>
      <c r="V111" s="19"/>
      <c r="W111" s="2"/>
      <c r="X111" s="2">
        <f t="shared" si="2"/>
        <v>-734.96</v>
      </c>
      <c r="Y111" s="2"/>
      <c r="Z111" s="19">
        <f t="shared" si="3"/>
        <v>0.1901002801221881</v>
      </c>
    </row>
    <row r="112" spans="1:26" s="24" customFormat="1" hidden="1" outlineLevel="1" x14ac:dyDescent="0.25">
      <c r="A112" s="44"/>
      <c r="B112" s="11" t="str">
        <f>CONCATENATE("          ", "4282", " - ", "SALES RETURN TAXABLE-COMPUTER")</f>
        <v xml:space="preserve">          4282 - SALES RETURN TAXABLE-COMPUTER</v>
      </c>
      <c r="C112" s="11"/>
      <c r="D112" s="2">
        <f>-22491.01</f>
        <v>-22491.01</v>
      </c>
      <c r="E112" s="2"/>
      <c r="F112" s="19"/>
      <c r="G112" s="2"/>
      <c r="H112" s="2">
        <f>-2483.83</f>
        <v>-2483.83</v>
      </c>
      <c r="I112" s="2"/>
      <c r="J112" s="19"/>
      <c r="K112" s="2"/>
      <c r="L112" s="2">
        <f t="shared" si="0"/>
        <v>-20007.18</v>
      </c>
      <c r="M112" s="2"/>
      <c r="N112" s="19">
        <f t="shared" si="1"/>
        <v>8.0549715560243662</v>
      </c>
      <c r="O112" s="11"/>
      <c r="P112" s="2">
        <f>-170137.86</f>
        <v>-170137.86</v>
      </c>
      <c r="Q112" s="2"/>
      <c r="R112" s="19"/>
      <c r="S112" s="2"/>
      <c r="T112" s="2">
        <f>-32775.27</f>
        <v>-32775.269999999997</v>
      </c>
      <c r="U112" s="2"/>
      <c r="V112" s="19"/>
      <c r="W112" s="2"/>
      <c r="X112" s="2">
        <f t="shared" si="2"/>
        <v>-137362.59</v>
      </c>
      <c r="Y112" s="2"/>
      <c r="Z112" s="19">
        <f t="shared" si="3"/>
        <v>4.1910437351088188</v>
      </c>
    </row>
    <row r="113" spans="1:26" s="24" customFormat="1" hidden="1" outlineLevel="1" x14ac:dyDescent="0.25">
      <c r="A113" s="44"/>
      <c r="B113" s="11" t="str">
        <f>CONCATENATE("          ", "4283", " - ", "SALES RETURN TAXABLE-COMPUTER")</f>
        <v xml:space="preserve">          4283 - SALES RETURN TAXABLE-COMPUTER</v>
      </c>
      <c r="C113" s="11"/>
      <c r="D113" s="2">
        <f>-1247.85</f>
        <v>-1247.8499999999999</v>
      </c>
      <c r="E113" s="2"/>
      <c r="F113" s="19"/>
      <c r="G113" s="2"/>
      <c r="H113" s="2">
        <f>-616.78</f>
        <v>-616.78</v>
      </c>
      <c r="I113" s="2"/>
      <c r="J113" s="19"/>
      <c r="K113" s="2"/>
      <c r="L113" s="2">
        <f t="shared" si="0"/>
        <v>-631.06999999999994</v>
      </c>
      <c r="M113" s="2"/>
      <c r="N113" s="19">
        <f t="shared" si="1"/>
        <v>1.023168714938876</v>
      </c>
      <c r="O113" s="11"/>
      <c r="P113" s="2">
        <f>-2532.33</f>
        <v>-2532.33</v>
      </c>
      <c r="Q113" s="2"/>
      <c r="R113" s="19"/>
      <c r="S113" s="2"/>
      <c r="T113" s="2">
        <f>-3204.82</f>
        <v>-3204.82</v>
      </c>
      <c r="U113" s="2"/>
      <c r="V113" s="19"/>
      <c r="W113" s="2"/>
      <c r="X113" s="2">
        <f t="shared" si="2"/>
        <v>672.49000000000024</v>
      </c>
      <c r="Y113" s="2"/>
      <c r="Z113" s="19">
        <f t="shared" si="3"/>
        <v>-0.20983705793149077</v>
      </c>
    </row>
    <row r="114" spans="1:26" s="24" customFormat="1" hidden="1" outlineLevel="1" x14ac:dyDescent="0.25">
      <c r="A114" s="44"/>
      <c r="B114" s="11" t="str">
        <f>CONCATENATE("          ", "4284", " - ", "SALES RETURN TAXABLE-SOFTWARE")</f>
        <v xml:space="preserve">          4284 - SALES RETURN TAXABLE-SOFTWARE</v>
      </c>
      <c r="C114" s="11"/>
      <c r="D114" s="2">
        <f>0</f>
        <v>0</v>
      </c>
      <c r="E114" s="2"/>
      <c r="F114" s="19"/>
      <c r="G114" s="2"/>
      <c r="H114" s="2">
        <f t="shared" ref="H114:H115" si="7"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-129</f>
        <v>-129</v>
      </c>
      <c r="Q114" s="2"/>
      <c r="R114" s="19"/>
      <c r="S114" s="2"/>
      <c r="T114" s="2">
        <f t="shared" ref="T114:T115" si="8">0</f>
        <v>0</v>
      </c>
      <c r="U114" s="2"/>
      <c r="V114" s="19"/>
      <c r="W114" s="2"/>
      <c r="X114" s="2">
        <f t="shared" si="2"/>
        <v>-129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"4285", " - ", "SALES RETURN TAXABLE-SOFTWARE")</f>
        <v xml:space="preserve">          4285 - SALES RETURN TAXABLE-SOFTWARE</v>
      </c>
      <c r="C115" s="11"/>
      <c r="D115" s="2">
        <f>-248.99</f>
        <v>-248.99</v>
      </c>
      <c r="E115" s="2"/>
      <c r="F115" s="19"/>
      <c r="G115" s="2"/>
      <c r="H115" s="2">
        <f t="shared" si="7"/>
        <v>0</v>
      </c>
      <c r="I115" s="2"/>
      <c r="J115" s="19"/>
      <c r="K115" s="2"/>
      <c r="L115" s="2">
        <f t="shared" si="0"/>
        <v>-248.99</v>
      </c>
      <c r="M115" s="2"/>
      <c r="N115" s="19">
        <f t="shared" si="1"/>
        <v>0</v>
      </c>
      <c r="O115" s="11"/>
      <c r="P115" s="2">
        <f>-655.98</f>
        <v>-655.98</v>
      </c>
      <c r="Q115" s="2"/>
      <c r="R115" s="19"/>
      <c r="S115" s="2"/>
      <c r="T115" s="2">
        <f t="shared" si="8"/>
        <v>0</v>
      </c>
      <c r="U115" s="2"/>
      <c r="V115" s="19"/>
      <c r="W115" s="2"/>
      <c r="X115" s="2">
        <f t="shared" si="2"/>
        <v>-655.98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"4286", " - ", "SALES RETURN TAXABLE-COMPUTER")</f>
        <v xml:space="preserve">          4286 - SALES RETURN TAXABLE-COMPUTER</v>
      </c>
      <c r="C116" s="11"/>
      <c r="D116" s="2">
        <f>-307.86</f>
        <v>-307.86</v>
      </c>
      <c r="E116" s="2"/>
      <c r="F116" s="19"/>
      <c r="G116" s="2"/>
      <c r="H116" s="2">
        <f>-413.58</f>
        <v>-413.58</v>
      </c>
      <c r="I116" s="2"/>
      <c r="J116" s="19"/>
      <c r="K116" s="2"/>
      <c r="L116" s="2">
        <f t="shared" si="0"/>
        <v>105.71999999999997</v>
      </c>
      <c r="M116" s="2"/>
      <c r="N116" s="19">
        <f t="shared" si="1"/>
        <v>-0.25562164514725078</v>
      </c>
      <c r="O116" s="11"/>
      <c r="P116" s="2">
        <f>-2451.6</f>
        <v>-2451.6</v>
      </c>
      <c r="Q116" s="2"/>
      <c r="R116" s="19"/>
      <c r="S116" s="2"/>
      <c r="T116" s="2">
        <f>-2182.56</f>
        <v>-2182.56</v>
      </c>
      <c r="U116" s="2"/>
      <c r="V116" s="19"/>
      <c r="W116" s="2"/>
      <c r="X116" s="2">
        <f t="shared" si="2"/>
        <v>-269.03999999999996</v>
      </c>
      <c r="Y116" s="2"/>
      <c r="Z116" s="19">
        <f t="shared" si="3"/>
        <v>0.12326808884979105</v>
      </c>
    </row>
    <row r="117" spans="1:26" s="24" customFormat="1" hidden="1" outlineLevel="1" x14ac:dyDescent="0.25">
      <c r="A117" s="44"/>
      <c r="B117" s="11" t="str">
        <f>CONCATENATE("          ", "4288", " - ", "TAXABLE SALES RETURN-MUSIC")</f>
        <v xml:space="preserve">          4288 - TAXABLE SALES RETURN-MUSIC</v>
      </c>
      <c r="C117" s="11"/>
      <c r="D117" s="2">
        <f>-3.99</f>
        <v>-3.99</v>
      </c>
      <c r="E117" s="2"/>
      <c r="F117" s="19"/>
      <c r="G117" s="2"/>
      <c r="H117" s="2">
        <f t="shared" ref="H117:H119" si="9">0</f>
        <v>0</v>
      </c>
      <c r="I117" s="2"/>
      <c r="J117" s="19"/>
      <c r="K117" s="2"/>
      <c r="L117" s="2">
        <f t="shared" si="0"/>
        <v>-3.99</v>
      </c>
      <c r="M117" s="2"/>
      <c r="N117" s="19">
        <f t="shared" si="1"/>
        <v>0</v>
      </c>
      <c r="O117" s="11"/>
      <c r="P117" s="2">
        <f>-3.99</f>
        <v>-3.99</v>
      </c>
      <c r="Q117" s="2"/>
      <c r="R117" s="19"/>
      <c r="S117" s="2"/>
      <c r="T117" s="2">
        <f>0</f>
        <v>0</v>
      </c>
      <c r="U117" s="2"/>
      <c r="V117" s="19"/>
      <c r="W117" s="2"/>
      <c r="X117" s="2">
        <f t="shared" si="2"/>
        <v>-3.99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"4292", " - ", "SALES RETURN TAXABLE-GRAD MERC")</f>
        <v xml:space="preserve">          4292 - SALES RETURN TAXABLE-GRAD MERC</v>
      </c>
      <c r="C118" s="11"/>
      <c r="D118" s="2">
        <f>-39.95</f>
        <v>-39.950000000000003</v>
      </c>
      <c r="E118" s="2"/>
      <c r="F118" s="19"/>
      <c r="G118" s="2"/>
      <c r="H118" s="2">
        <f t="shared" si="9"/>
        <v>0</v>
      </c>
      <c r="I118" s="2"/>
      <c r="J118" s="19"/>
      <c r="K118" s="2"/>
      <c r="L118" s="2">
        <f t="shared" si="0"/>
        <v>-39.950000000000003</v>
      </c>
      <c r="M118" s="2"/>
      <c r="N118" s="19">
        <f t="shared" si="1"/>
        <v>0</v>
      </c>
      <c r="O118" s="11"/>
      <c r="P118" s="2">
        <f>-409.1</f>
        <v>-409.1</v>
      </c>
      <c r="Q118" s="2"/>
      <c r="R118" s="19"/>
      <c r="S118" s="2"/>
      <c r="T118" s="2">
        <f>-478.25</f>
        <v>-478.25</v>
      </c>
      <c r="U118" s="2"/>
      <c r="V118" s="19"/>
      <c r="W118" s="2"/>
      <c r="X118" s="2">
        <f t="shared" si="2"/>
        <v>69.149999999999977</v>
      </c>
      <c r="Y118" s="2"/>
      <c r="Z118" s="19">
        <f t="shared" si="3"/>
        <v>-0.14458964976476735</v>
      </c>
    </row>
    <row r="119" spans="1:26" s="24" customFormat="1" hidden="1" outlineLevel="1" x14ac:dyDescent="0.25">
      <c r="A119" s="44"/>
      <c r="B119" s="11" t="str">
        <f>CONCATENATE("          ", "4295", " - ", "SALES RETURN TAXABLE-CUSTOMER")</f>
        <v xml:space="preserve">          4295 - SALES RETURN TAXABLE-CUSTOMER</v>
      </c>
      <c r="C119" s="11"/>
      <c r="D119" s="2">
        <f>0</f>
        <v>0</v>
      </c>
      <c r="E119" s="2"/>
      <c r="F119" s="19"/>
      <c r="G119" s="2"/>
      <c r="H119" s="2">
        <f t="shared" si="9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--0.99</f>
        <v>0.99</v>
      </c>
      <c r="Q119" s="2"/>
      <c r="R119" s="19"/>
      <c r="S119" s="2"/>
      <c r="T119" s="2">
        <f>-99</f>
        <v>-99</v>
      </c>
      <c r="U119" s="2"/>
      <c r="V119" s="19"/>
      <c r="W119" s="2"/>
      <c r="X119" s="2">
        <f t="shared" si="2"/>
        <v>99.99</v>
      </c>
      <c r="Y119" s="2"/>
      <c r="Z119" s="19">
        <f t="shared" si="3"/>
        <v>-1.01</v>
      </c>
    </row>
    <row r="120" spans="1:26" s="24" customFormat="1" hidden="1" outlineLevel="1" x14ac:dyDescent="0.25">
      <c r="A120" s="44"/>
      <c r="B120" s="11" t="str">
        <f>CONCATENATE("          ", "4301", " - ", "SALES RETURN NON TAXABLE-NEW T")</f>
        <v xml:space="preserve">          4301 - SALES RETURN NON TAXABLE-NEW T</v>
      </c>
      <c r="C120" s="11"/>
      <c r="D120" s="2">
        <f>-5585.76</f>
        <v>-5585.76</v>
      </c>
      <c r="E120" s="2"/>
      <c r="F120" s="19"/>
      <c r="G120" s="2"/>
      <c r="H120" s="2">
        <f>-3879.18</f>
        <v>-3879.18</v>
      </c>
      <c r="I120" s="2"/>
      <c r="J120" s="19"/>
      <c r="K120" s="2"/>
      <c r="L120" s="2">
        <f t="shared" si="0"/>
        <v>-1706.5800000000004</v>
      </c>
      <c r="M120" s="2"/>
      <c r="N120" s="19">
        <f t="shared" si="1"/>
        <v>0.43993318175490709</v>
      </c>
      <c r="O120" s="11"/>
      <c r="P120" s="2">
        <f>-12310.98</f>
        <v>-12310.98</v>
      </c>
      <c r="Q120" s="2"/>
      <c r="R120" s="19"/>
      <c r="S120" s="2"/>
      <c r="T120" s="2">
        <f>-24921.37</f>
        <v>-24921.37</v>
      </c>
      <c r="U120" s="2"/>
      <c r="V120" s="19"/>
      <c r="W120" s="2"/>
      <c r="X120" s="2">
        <f t="shared" si="2"/>
        <v>12610.39</v>
      </c>
      <c r="Y120" s="2"/>
      <c r="Z120" s="19">
        <f t="shared" si="3"/>
        <v>-0.50600709351050921</v>
      </c>
    </row>
    <row r="121" spans="1:26" s="24" customFormat="1" hidden="1" outlineLevel="1" x14ac:dyDescent="0.25">
      <c r="A121" s="44"/>
      <c r="B121" s="11" t="str">
        <f>CONCATENATE("          ", "4302", " - ", "SALES RETURN NON TAXABLE-TEXT")</f>
        <v xml:space="preserve">          4302 - SALES RETURN NON TAXABLE-TEXT</v>
      </c>
      <c r="C121" s="11"/>
      <c r="D121" s="2">
        <f>-35.1</f>
        <v>-35.1</v>
      </c>
      <c r="E121" s="2"/>
      <c r="F121" s="19"/>
      <c r="G121" s="2"/>
      <c r="H121" s="2">
        <f>-60</f>
        <v>-60</v>
      </c>
      <c r="I121" s="2"/>
      <c r="J121" s="19"/>
      <c r="K121" s="2"/>
      <c r="L121" s="2">
        <f t="shared" si="0"/>
        <v>24.9</v>
      </c>
      <c r="M121" s="2"/>
      <c r="N121" s="19">
        <f t="shared" si="1"/>
        <v>-0.41499999999999998</v>
      </c>
      <c r="O121" s="11"/>
      <c r="P121" s="2">
        <f>-683.8</f>
        <v>-683.8</v>
      </c>
      <c r="Q121" s="2"/>
      <c r="R121" s="19"/>
      <c r="S121" s="2"/>
      <c r="T121" s="2">
        <f>-2152.04</f>
        <v>-2152.04</v>
      </c>
      <c r="U121" s="2"/>
      <c r="V121" s="19"/>
      <c r="W121" s="2"/>
      <c r="X121" s="2">
        <f t="shared" si="2"/>
        <v>1468.24</v>
      </c>
      <c r="Y121" s="2"/>
      <c r="Z121" s="19">
        <f t="shared" si="3"/>
        <v>-0.68225497667329604</v>
      </c>
    </row>
    <row r="122" spans="1:26" s="24" customFormat="1" hidden="1" outlineLevel="1" x14ac:dyDescent="0.25">
      <c r="A122" s="44"/>
      <c r="B122" s="11" t="str">
        <f>CONCATENATE("          ", "4303", " - ", "SALES RETURN NON-TAXABLE-RENTA")</f>
        <v xml:space="preserve">          4303 - SALES RETURN NON-TAXABLE-RENTA</v>
      </c>
      <c r="C122" s="11"/>
      <c r="D122" s="2">
        <f>0</f>
        <v>0</v>
      </c>
      <c r="E122" s="2"/>
      <c r="F122" s="19"/>
      <c r="G122" s="2"/>
      <c r="H122" s="2">
        <f t="shared" ref="H122:H123" si="10">0</f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-184.99</f>
        <v>-184.99</v>
      </c>
      <c r="Q122" s="2"/>
      <c r="R122" s="19"/>
      <c r="S122" s="2"/>
      <c r="T122" s="2">
        <f>-509.85</f>
        <v>-509.85</v>
      </c>
      <c r="U122" s="2"/>
      <c r="V122" s="19"/>
      <c r="W122" s="2"/>
      <c r="X122" s="2">
        <f t="shared" si="2"/>
        <v>324.86</v>
      </c>
      <c r="Y122" s="2"/>
      <c r="Z122" s="19">
        <f t="shared" si="3"/>
        <v>-0.63716779444934779</v>
      </c>
    </row>
    <row r="123" spans="1:26" s="24" customFormat="1" hidden="1" outlineLevel="1" x14ac:dyDescent="0.25">
      <c r="A123" s="44"/>
      <c r="B123" s="11" t="str">
        <f>CONCATENATE("          ", "4304", " - ", "SALES RETURN NON TAXABLE-DIGIT")</f>
        <v xml:space="preserve">          4304 - SALES RETURN NON TAXABLE-DIGIT</v>
      </c>
      <c r="C123" s="11"/>
      <c r="D123" s="2">
        <f>-617.98</f>
        <v>-617.98</v>
      </c>
      <c r="E123" s="2"/>
      <c r="F123" s="19"/>
      <c r="G123" s="2"/>
      <c r="H123" s="2">
        <f t="shared" si="10"/>
        <v>0</v>
      </c>
      <c r="I123" s="2"/>
      <c r="J123" s="19"/>
      <c r="K123" s="2"/>
      <c r="L123" s="2">
        <f t="shared" si="0"/>
        <v>-617.98</v>
      </c>
      <c r="M123" s="2"/>
      <c r="N123" s="19">
        <f t="shared" si="1"/>
        <v>0</v>
      </c>
      <c r="O123" s="11"/>
      <c r="P123" s="2">
        <f>-13133.29</f>
        <v>-13133.29</v>
      </c>
      <c r="Q123" s="2"/>
      <c r="R123" s="19"/>
      <c r="S123" s="2"/>
      <c r="T123" s="2">
        <f>-3743.75</f>
        <v>-3743.75</v>
      </c>
      <c r="U123" s="2"/>
      <c r="V123" s="19"/>
      <c r="W123" s="2"/>
      <c r="X123" s="2">
        <f t="shared" si="2"/>
        <v>-9389.5400000000009</v>
      </c>
      <c r="Y123" s="2"/>
      <c r="Z123" s="19">
        <f t="shared" si="3"/>
        <v>2.5080574290484141</v>
      </c>
    </row>
    <row r="124" spans="1:26" s="24" customFormat="1" hidden="1" outlineLevel="1" x14ac:dyDescent="0.25">
      <c r="A124" s="44"/>
      <c r="B124" s="11" t="str">
        <f>CONCATENATE("          ", "4311", " - ", "SALES RETURN NON TAXABLE-NO VA")</f>
        <v xml:space="preserve">          4311 - SALES RETURN NON TAXABLE-NO VA</v>
      </c>
      <c r="C124" s="11"/>
      <c r="D124" s="2">
        <f>-0.02</f>
        <v>-0.02</v>
      </c>
      <c r="E124" s="2"/>
      <c r="F124" s="19"/>
      <c r="G124" s="2"/>
      <c r="H124" s="2">
        <f>-228.36</f>
        <v>-228.36</v>
      </c>
      <c r="I124" s="2"/>
      <c r="J124" s="19"/>
      <c r="K124" s="2"/>
      <c r="L124" s="2">
        <f t="shared" si="0"/>
        <v>228.34</v>
      </c>
      <c r="M124" s="2"/>
      <c r="N124" s="19">
        <f t="shared" si="1"/>
        <v>-0.99991241898756344</v>
      </c>
      <c r="O124" s="11"/>
      <c r="P124" s="2">
        <f>-387.96</f>
        <v>-387.96</v>
      </c>
      <c r="Q124" s="2"/>
      <c r="R124" s="19"/>
      <c r="S124" s="2"/>
      <c r="T124" s="2">
        <f>-586.28</f>
        <v>-586.28</v>
      </c>
      <c r="U124" s="2"/>
      <c r="V124" s="19"/>
      <c r="W124" s="2"/>
      <c r="X124" s="2">
        <f t="shared" si="2"/>
        <v>198.32</v>
      </c>
      <c r="Y124" s="2"/>
      <c r="Z124" s="19">
        <f t="shared" si="3"/>
        <v>-0.33826840417547932</v>
      </c>
    </row>
    <row r="125" spans="1:26" s="24" customFormat="1" hidden="1" outlineLevel="1" x14ac:dyDescent="0.25">
      <c r="A125" s="44"/>
      <c r="B125" s="11" t="str">
        <f>CONCATENATE("          ", "4326", " - ", "SALES RETURN NON TAXABLE-WRITI")</f>
        <v xml:space="preserve">          4326 - SALES RETURN NON TAXABLE-WRITI</v>
      </c>
      <c r="C125" s="11"/>
      <c r="D125" s="2">
        <f t="shared" ref="D125:D127" si="11">0</f>
        <v>0</v>
      </c>
      <c r="E125" s="2"/>
      <c r="F125" s="19"/>
      <c r="G125" s="2"/>
      <c r="H125" s="2">
        <f>-2.5</f>
        <v>-2.5</v>
      </c>
      <c r="I125" s="2"/>
      <c r="J125" s="19"/>
      <c r="K125" s="2"/>
      <c r="L125" s="2">
        <f t="shared" si="0"/>
        <v>2.5</v>
      </c>
      <c r="M125" s="2"/>
      <c r="N125" s="19">
        <f t="shared" si="1"/>
        <v>-1</v>
      </c>
      <c r="O125" s="11"/>
      <c r="P125" s="2">
        <f>0</f>
        <v>0</v>
      </c>
      <c r="Q125" s="2"/>
      <c r="R125" s="19"/>
      <c r="S125" s="2"/>
      <c r="T125" s="2">
        <f>-8.08</f>
        <v>-8.08</v>
      </c>
      <c r="U125" s="2"/>
      <c r="V125" s="19"/>
      <c r="W125" s="2"/>
      <c r="X125" s="2">
        <f t="shared" si="2"/>
        <v>8.08</v>
      </c>
      <c r="Y125" s="2"/>
      <c r="Z125" s="19">
        <f t="shared" si="3"/>
        <v>-1</v>
      </c>
    </row>
    <row r="126" spans="1:26" s="24" customFormat="1" hidden="1" outlineLevel="1" x14ac:dyDescent="0.25">
      <c r="A126" s="44"/>
      <c r="B126" s="11" t="str">
        <f>CONCATENATE("          ", "4327", " - ", "SALES RETURN NON TAXABLE-SCHOO")</f>
        <v xml:space="preserve">          4327 - SALES RETURN NON TAXABLE-SCHOO</v>
      </c>
      <c r="C126" s="11"/>
      <c r="D126" s="2">
        <f t="shared" si="11"/>
        <v>0</v>
      </c>
      <c r="E126" s="2"/>
      <c r="F126" s="19"/>
      <c r="G126" s="2"/>
      <c r="H126" s="2">
        <f>0</f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-21.87</f>
        <v>-21.87</v>
      </c>
      <c r="Q126" s="2"/>
      <c r="R126" s="19"/>
      <c r="S126" s="2"/>
      <c r="T126" s="2">
        <f>0</f>
        <v>0</v>
      </c>
      <c r="U126" s="2"/>
      <c r="V126" s="19"/>
      <c r="W126" s="2"/>
      <c r="X126" s="2">
        <f t="shared" si="2"/>
        <v>-21.87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"4340", " - ", "SALES RETURN NON TAXABLE-LOGO")</f>
        <v xml:space="preserve">          4340 - SALES RETURN NON TAXABLE-LOGO</v>
      </c>
      <c r="C127" s="11"/>
      <c r="D127" s="2">
        <f t="shared" si="11"/>
        <v>0</v>
      </c>
      <c r="E127" s="2"/>
      <c r="F127" s="19"/>
      <c r="G127" s="2"/>
      <c r="H127" s="2">
        <f>-39.95</f>
        <v>-39.950000000000003</v>
      </c>
      <c r="I127" s="2"/>
      <c r="J127" s="19"/>
      <c r="K127" s="2"/>
      <c r="L127" s="2">
        <f t="shared" si="0"/>
        <v>39.950000000000003</v>
      </c>
      <c r="M127" s="2"/>
      <c r="N127" s="19">
        <f t="shared" si="1"/>
        <v>-1</v>
      </c>
      <c r="O127" s="11"/>
      <c r="P127" s="2">
        <f>-293.45</f>
        <v>-293.45</v>
      </c>
      <c r="Q127" s="2"/>
      <c r="R127" s="19"/>
      <c r="S127" s="2"/>
      <c r="T127" s="2">
        <f>-266.64</f>
        <v>-266.64</v>
      </c>
      <c r="U127" s="2"/>
      <c r="V127" s="19"/>
      <c r="W127" s="2"/>
      <c r="X127" s="2">
        <f t="shared" si="2"/>
        <v>-26.810000000000002</v>
      </c>
      <c r="Y127" s="2"/>
      <c r="Z127" s="19">
        <f t="shared" si="3"/>
        <v>0.10054755475547555</v>
      </c>
    </row>
    <row r="128" spans="1:26" s="24" customFormat="1" hidden="1" outlineLevel="1" x14ac:dyDescent="0.25">
      <c r="A128" s="44"/>
      <c r="B128" s="11" t="str">
        <f>CONCATENATE("          ", "4341", " - ", "SALES RETURN NON TAXABLE-LOGO")</f>
        <v xml:space="preserve">          4341 - SALES RETURN NON TAXABLE-LOGO</v>
      </c>
      <c r="C128" s="11"/>
      <c r="D128" s="2">
        <f>-6.95</f>
        <v>-6.95</v>
      </c>
      <c r="E128" s="2"/>
      <c r="F128" s="19"/>
      <c r="G128" s="2"/>
      <c r="H128" s="2">
        <f>-11.9</f>
        <v>-11.9</v>
      </c>
      <c r="I128" s="2"/>
      <c r="J128" s="19"/>
      <c r="K128" s="2"/>
      <c r="L128" s="2">
        <f t="shared" si="0"/>
        <v>4.95</v>
      </c>
      <c r="M128" s="2"/>
      <c r="N128" s="19">
        <f t="shared" si="1"/>
        <v>-0.41596638655462187</v>
      </c>
      <c r="O128" s="11"/>
      <c r="P128" s="2">
        <f>-10.9</f>
        <v>-10.9</v>
      </c>
      <c r="Q128" s="2"/>
      <c r="R128" s="19"/>
      <c r="S128" s="2"/>
      <c r="T128" s="2">
        <f>-60</f>
        <v>-60</v>
      </c>
      <c r="U128" s="2"/>
      <c r="V128" s="19"/>
      <c r="W128" s="2"/>
      <c r="X128" s="2">
        <f t="shared" si="2"/>
        <v>49.1</v>
      </c>
      <c r="Y128" s="2"/>
      <c r="Z128" s="19">
        <f t="shared" si="3"/>
        <v>-0.81833333333333336</v>
      </c>
    </row>
    <row r="129" spans="1:26" s="24" customFormat="1" hidden="1" outlineLevel="1" x14ac:dyDescent="0.25">
      <c r="A129" s="44"/>
      <c r="B129" s="11" t="str">
        <f>CONCATENATE("          ", "4342", " - ", "SALES RETURN NON TAXABLE-EVERY")</f>
        <v xml:space="preserve">          4342 - SALES RETURN NON TAXABLE-EVERY</v>
      </c>
      <c r="C129" s="11"/>
      <c r="D129" s="2">
        <f>-92.85</f>
        <v>-92.85</v>
      </c>
      <c r="E129" s="2"/>
      <c r="F129" s="19"/>
      <c r="G129" s="2"/>
      <c r="H129" s="2">
        <f t="shared" ref="H129:H131" si="12">0</f>
        <v>0</v>
      </c>
      <c r="I129" s="2"/>
      <c r="J129" s="19"/>
      <c r="K129" s="2"/>
      <c r="L129" s="2">
        <f t="shared" si="0"/>
        <v>-92.85</v>
      </c>
      <c r="M129" s="2"/>
      <c r="N129" s="19">
        <f t="shared" si="1"/>
        <v>0</v>
      </c>
      <c r="O129" s="11"/>
      <c r="P129" s="2">
        <f>-102.85</f>
        <v>-102.85</v>
      </c>
      <c r="Q129" s="2"/>
      <c r="R129" s="19"/>
      <c r="S129" s="2"/>
      <c r="T129" s="2">
        <f t="shared" ref="T129:T131" si="13">0</f>
        <v>0</v>
      </c>
      <c r="U129" s="2"/>
      <c r="V129" s="19"/>
      <c r="W129" s="2"/>
      <c r="X129" s="2">
        <f t="shared" si="2"/>
        <v>-102.85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"4346", " - ", "SALES RETURN NON TAXABLE-COIN-")</f>
        <v xml:space="preserve">          4346 - SALES RETURN NON TAXABLE-COIN-</v>
      </c>
      <c r="C130" s="11"/>
      <c r="D130" s="2">
        <f t="shared" ref="D130:D131" si="14">0</f>
        <v>0</v>
      </c>
      <c r="E130" s="2"/>
      <c r="F130" s="19"/>
      <c r="G130" s="2"/>
      <c r="H130" s="2">
        <f t="shared" si="12"/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-8.15</f>
        <v>-8.15</v>
      </c>
      <c r="Q130" s="2"/>
      <c r="R130" s="19"/>
      <c r="S130" s="2"/>
      <c r="T130" s="2">
        <f t="shared" si="13"/>
        <v>0</v>
      </c>
      <c r="U130" s="2"/>
      <c r="V130" s="19"/>
      <c r="W130" s="2"/>
      <c r="X130" s="2">
        <f t="shared" si="2"/>
        <v>-8.15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"4381", " - ", "SALES RETURN NON TAXABLE-ELECT")</f>
        <v xml:space="preserve">          4381 - SALES RETURN NON TAXABLE-ELECT</v>
      </c>
      <c r="C131" s="11"/>
      <c r="D131" s="2">
        <f t="shared" si="14"/>
        <v>0</v>
      </c>
      <c r="E131" s="2"/>
      <c r="F131" s="19"/>
      <c r="G131" s="2"/>
      <c r="H131" s="2">
        <f t="shared" si="12"/>
        <v>0</v>
      </c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-1279.84</f>
        <v>-1279.8399999999999</v>
      </c>
      <c r="Q131" s="2"/>
      <c r="R131" s="19"/>
      <c r="S131" s="2"/>
      <c r="T131" s="2">
        <f t="shared" si="13"/>
        <v>0</v>
      </c>
      <c r="U131" s="2"/>
      <c r="V131" s="19"/>
      <c r="W131" s="2"/>
      <c r="X131" s="2">
        <f t="shared" si="2"/>
        <v>-1279.8399999999999</v>
      </c>
      <c r="Y131" s="2"/>
      <c r="Z131" s="19">
        <f t="shared" si="3"/>
        <v>0</v>
      </c>
    </row>
    <row r="132" spans="1:26" s="24" customFormat="1" hidden="1" outlineLevel="1" x14ac:dyDescent="0.25">
      <c r="A132" s="44"/>
      <c r="B132" s="11" t="str">
        <f>CONCATENATE("          ", "4383", " - ", "SALES RETURN NON TAXABLE-COMPU")</f>
        <v xml:space="preserve">          4383 - SALES RETURN NON TAXABLE-COMPU</v>
      </c>
      <c r="C132" s="11"/>
      <c r="D132" s="2">
        <f>-24.99</f>
        <v>-24.99</v>
      </c>
      <c r="E132" s="2"/>
      <c r="F132" s="19"/>
      <c r="G132" s="2"/>
      <c r="H132" s="2">
        <f>-13.99</f>
        <v>-13.99</v>
      </c>
      <c r="I132" s="2"/>
      <c r="J132" s="19"/>
      <c r="K132" s="2"/>
      <c r="L132" s="2">
        <f t="shared" si="0"/>
        <v>-10.999999999999998</v>
      </c>
      <c r="M132" s="2"/>
      <c r="N132" s="19">
        <f t="shared" si="1"/>
        <v>0.78627591136526076</v>
      </c>
      <c r="O132" s="11"/>
      <c r="P132" s="2">
        <f>-49.98</f>
        <v>-49.98</v>
      </c>
      <c r="Q132" s="2"/>
      <c r="R132" s="19"/>
      <c r="S132" s="2"/>
      <c r="T132" s="2">
        <f>-13.99</f>
        <v>-13.99</v>
      </c>
      <c r="U132" s="2"/>
      <c r="V132" s="19"/>
      <c r="W132" s="2"/>
      <c r="X132" s="2">
        <f t="shared" si="2"/>
        <v>-35.989999999999995</v>
      </c>
      <c r="Y132" s="2"/>
      <c r="Z132" s="19">
        <f t="shared" si="3"/>
        <v>2.5725518227305213</v>
      </c>
    </row>
    <row r="133" spans="1:26" s="24" customFormat="1" hidden="1" outlineLevel="1" x14ac:dyDescent="0.25">
      <c r="A133" s="44"/>
      <c r="B133" s="11" t="str">
        <f>CONCATENATE("          ", "4386", " - ", "SALES RETURN NON TAXABLE-COMPU")</f>
        <v xml:space="preserve">          4386 - SALES RETURN NON TAXABLE-COMPU</v>
      </c>
      <c r="C133" s="11"/>
      <c r="D133" s="2">
        <f>-34.98</f>
        <v>-34.979999999999997</v>
      </c>
      <c r="E133" s="2"/>
      <c r="F133" s="19"/>
      <c r="G133" s="2"/>
      <c r="H133" s="2">
        <f>0</f>
        <v>0</v>
      </c>
      <c r="I133" s="2"/>
      <c r="J133" s="19"/>
      <c r="K133" s="2"/>
      <c r="L133" s="2">
        <f t="shared" si="0"/>
        <v>-34.979999999999997</v>
      </c>
      <c r="M133" s="2"/>
      <c r="N133" s="19">
        <f t="shared" si="1"/>
        <v>0</v>
      </c>
      <c r="O133" s="11"/>
      <c r="P133" s="2">
        <f>-54.97</f>
        <v>-54.97</v>
      </c>
      <c r="Q133" s="2"/>
      <c r="R133" s="19"/>
      <c r="S133" s="2"/>
      <c r="T133" s="2">
        <f>0</f>
        <v>0</v>
      </c>
      <c r="U133" s="2"/>
      <c r="V133" s="19"/>
      <c r="W133" s="2"/>
      <c r="X133" s="2">
        <f t="shared" si="2"/>
        <v>-54.97</v>
      </c>
      <c r="Y133" s="2"/>
      <c r="Z133" s="19">
        <f t="shared" si="3"/>
        <v>0</v>
      </c>
    </row>
    <row r="134" spans="1:26" x14ac:dyDescent="0.25">
      <c r="A134" s="9"/>
      <c r="B134" s="10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collapsed="1" x14ac:dyDescent="0.25">
      <c r="A135" s="10"/>
      <c r="B135" s="29" t="s">
        <v>8</v>
      </c>
      <c r="C135" s="10"/>
      <c r="D135" s="4">
        <f>SUM(OSRRefD16x_0)</f>
        <v>1241006.0500000005</v>
      </c>
      <c r="E135" s="4"/>
      <c r="F135" s="12">
        <f t="shared" ref="F135:F193" si="15">IF(D$12=0,0,D135/D$12)</f>
        <v>0.33329661358970397</v>
      </c>
      <c r="G135" s="4"/>
      <c r="H135" s="4">
        <f>SUM(OSRRefH16x_0)</f>
        <v>1274587.4399999997</v>
      </c>
      <c r="I135" s="4"/>
      <c r="J135" s="12">
        <f t="shared" ref="J135:J193" si="16">IF(H$12=0,0,H135/H$12)</f>
        <v>0.34472199727954167</v>
      </c>
      <c r="K135" s="4"/>
      <c r="L135" s="4">
        <f t="shared" ref="L135:L193" si="17">+D135-H135</f>
        <v>-33581.389999999199</v>
      </c>
      <c r="M135" s="4"/>
      <c r="N135" s="12">
        <f t="shared" ref="N135:N193" si="18">IF(H135=0,0,L135/H135)</f>
        <v>-2.6346870325349516E-2</v>
      </c>
      <c r="O135" s="10"/>
      <c r="P135" s="4">
        <f>SUM(OSRRefP16x_0)</f>
        <v>6244288.5700000012</v>
      </c>
      <c r="Q135" s="4"/>
      <c r="R135" s="12">
        <f t="shared" ref="R135:R193" si="19">IF(P$12=0,0,P135/P$12)</f>
        <v>0.46400399095732803</v>
      </c>
      <c r="S135" s="4"/>
      <c r="T135" s="4">
        <f>SUM(OSRRefT16x_0)</f>
        <v>6366871.2599999988</v>
      </c>
      <c r="U135" s="4"/>
      <c r="V135" s="12">
        <f t="shared" ref="V135:V193" si="20">IF(T$12=0,0,T135/T$12)</f>
        <v>0.4636030619030308</v>
      </c>
      <c r="W135" s="4"/>
      <c r="X135" s="4">
        <f t="shared" ref="X135:X193" si="21">+P135-T135</f>
        <v>-122582.68999999762</v>
      </c>
      <c r="Y135" s="4"/>
      <c r="Z135" s="12">
        <f t="shared" ref="Z135:Z193" si="22">IF(T135=0,0,X135/T135)</f>
        <v>-1.9253206951132484E-2</v>
      </c>
    </row>
    <row r="136" spans="1:26" s="24" customFormat="1" hidden="1" outlineLevel="1" x14ac:dyDescent="0.25">
      <c r="A136" s="44"/>
      <c r="B136" s="11" t="str">
        <f>CONCATENATE("          ", "5001", " - ", "PURCHASES @ COST-NEW TEXT")</f>
        <v xml:space="preserve">          5001 - PURCHASES @ COST-NEW TEXT</v>
      </c>
      <c r="C136" s="11"/>
      <c r="D136" s="2">
        <v>-175502.53</v>
      </c>
      <c r="E136" s="2"/>
      <c r="F136" s="19">
        <f t="shared" si="15"/>
        <v>-4.7134660564648656E-2</v>
      </c>
      <c r="G136" s="2"/>
      <c r="H136" s="2">
        <v>-327927.62</v>
      </c>
      <c r="I136" s="2"/>
      <c r="J136" s="19">
        <f t="shared" si="16"/>
        <v>-8.8690552395155095E-2</v>
      </c>
      <c r="K136" s="2"/>
      <c r="L136" s="2">
        <f t="shared" si="17"/>
        <v>152425.09</v>
      </c>
      <c r="M136" s="2"/>
      <c r="N136" s="19">
        <f t="shared" si="18"/>
        <v>-0.46481321091526234</v>
      </c>
      <c r="O136" s="11"/>
      <c r="P136" s="2">
        <v>1757148.42</v>
      </c>
      <c r="Q136" s="2"/>
      <c r="R136" s="19">
        <f t="shared" si="19"/>
        <v>0.13057114040204632</v>
      </c>
      <c r="S136" s="2"/>
      <c r="T136" s="2">
        <v>1724550.02</v>
      </c>
      <c r="U136" s="2"/>
      <c r="V136" s="19">
        <f t="shared" si="20"/>
        <v>0.12557292852768209</v>
      </c>
      <c r="W136" s="2"/>
      <c r="X136" s="2">
        <f t="shared" si="21"/>
        <v>32598.399999999907</v>
      </c>
      <c r="Y136" s="2"/>
      <c r="Z136" s="19">
        <f t="shared" si="22"/>
        <v>1.8902554070307515E-2</v>
      </c>
    </row>
    <row r="137" spans="1:26" s="24" customFormat="1" hidden="1" outlineLevel="1" x14ac:dyDescent="0.25">
      <c r="A137" s="44"/>
      <c r="B137" s="11" t="str">
        <f>CONCATENATE("          ", "5002", " - ", "PURCHASES @ COST-USED TEXT")</f>
        <v xml:space="preserve">          5002 - PURCHASES @ COST-USED TEXT</v>
      </c>
      <c r="C137" s="11"/>
      <c r="D137" s="2">
        <v>14221.93</v>
      </c>
      <c r="E137" s="2"/>
      <c r="F137" s="19">
        <f t="shared" si="15"/>
        <v>3.8195793708739908E-3</v>
      </c>
      <c r="G137" s="2"/>
      <c r="H137" s="2">
        <v>1917.24</v>
      </c>
      <c r="I137" s="2"/>
      <c r="J137" s="19">
        <f t="shared" si="16"/>
        <v>5.1853233550161817E-4</v>
      </c>
      <c r="K137" s="2"/>
      <c r="L137" s="2">
        <f t="shared" si="17"/>
        <v>12304.69</v>
      </c>
      <c r="M137" s="2"/>
      <c r="N137" s="19">
        <f t="shared" si="18"/>
        <v>6.417918466128393</v>
      </c>
      <c r="O137" s="11"/>
      <c r="P137" s="2">
        <v>368033.17</v>
      </c>
      <c r="Q137" s="2"/>
      <c r="R137" s="19">
        <f t="shared" si="19"/>
        <v>2.7348008947747388E-2</v>
      </c>
      <c r="S137" s="2"/>
      <c r="T137" s="2">
        <v>316967.42000000004</v>
      </c>
      <c r="U137" s="2"/>
      <c r="V137" s="19">
        <f t="shared" si="20"/>
        <v>2.3079949387182049E-2</v>
      </c>
      <c r="W137" s="2"/>
      <c r="X137" s="2">
        <f t="shared" si="21"/>
        <v>51065.749999999942</v>
      </c>
      <c r="Y137" s="2"/>
      <c r="Z137" s="19">
        <f t="shared" si="22"/>
        <v>0.16110725196930314</v>
      </c>
    </row>
    <row r="138" spans="1:26" s="24" customFormat="1" hidden="1" outlineLevel="1" x14ac:dyDescent="0.25">
      <c r="A138" s="44"/>
      <c r="B138" s="11" t="str">
        <f>CONCATENATE("          ", "5003", " - ", "PURCHASES @ COST-RENTAL TEXT")</f>
        <v xml:space="preserve">          5003 - PURCHASES @ COST-RENTAL TEXT</v>
      </c>
      <c r="C138" s="11"/>
      <c r="D138" s="2"/>
      <c r="E138" s="2"/>
      <c r="F138" s="19">
        <f t="shared" si="15"/>
        <v>0</v>
      </c>
      <c r="G138" s="2"/>
      <c r="H138" s="2">
        <v>707.2</v>
      </c>
      <c r="I138" s="2"/>
      <c r="J138" s="19">
        <f t="shared" si="16"/>
        <v>1.9126769088207235E-4</v>
      </c>
      <c r="K138" s="2"/>
      <c r="L138" s="2">
        <f t="shared" si="17"/>
        <v>-707.2</v>
      </c>
      <c r="M138" s="2"/>
      <c r="N138" s="19">
        <f t="shared" si="18"/>
        <v>-1</v>
      </c>
      <c r="O138" s="11"/>
      <c r="P138" s="2">
        <v>-78.400000000000006</v>
      </c>
      <c r="Q138" s="2"/>
      <c r="R138" s="19">
        <f t="shared" si="19"/>
        <v>-5.8257898371046158E-6</v>
      </c>
      <c r="S138" s="2"/>
      <c r="T138" s="2">
        <v>185.1</v>
      </c>
      <c r="U138" s="2"/>
      <c r="V138" s="19">
        <f t="shared" si="20"/>
        <v>1.3478037053673835E-5</v>
      </c>
      <c r="W138" s="2"/>
      <c r="X138" s="2">
        <f t="shared" si="21"/>
        <v>-263.5</v>
      </c>
      <c r="Y138" s="2"/>
      <c r="Z138" s="19">
        <f t="shared" si="22"/>
        <v>-1.4235548352242031</v>
      </c>
    </row>
    <row r="139" spans="1:26" s="24" customFormat="1" hidden="1" outlineLevel="1" x14ac:dyDescent="0.25">
      <c r="A139" s="44"/>
      <c r="B139" s="11" t="str">
        <f>CONCATENATE("          ", "5004", " - ", "PURCHASES @ COST-DIGITAL TEXT")</f>
        <v xml:space="preserve">          5004 - PURCHASES @ COST-DIGITAL TEXT</v>
      </c>
      <c r="C139" s="11"/>
      <c r="D139" s="2">
        <v>-30949.360000000001</v>
      </c>
      <c r="E139" s="2"/>
      <c r="F139" s="19">
        <f t="shared" si="15"/>
        <v>-8.3120601070144958E-3</v>
      </c>
      <c r="G139" s="2"/>
      <c r="H139" s="2">
        <v>51916.84</v>
      </c>
      <c r="I139" s="2"/>
      <c r="J139" s="19">
        <f t="shared" si="16"/>
        <v>1.4041309537180441E-2</v>
      </c>
      <c r="K139" s="2"/>
      <c r="L139" s="2">
        <f t="shared" si="17"/>
        <v>-82866.2</v>
      </c>
      <c r="M139" s="2"/>
      <c r="N139" s="19">
        <f t="shared" si="18"/>
        <v>-1.5961333548035668</v>
      </c>
      <c r="O139" s="11"/>
      <c r="P139" s="2">
        <v>322779.02999999997</v>
      </c>
      <c r="Q139" s="2"/>
      <c r="R139" s="19">
        <f t="shared" si="19"/>
        <v>2.3985239701587825E-2</v>
      </c>
      <c r="S139" s="2"/>
      <c r="T139" s="2">
        <v>291596.33</v>
      </c>
      <c r="U139" s="2"/>
      <c r="V139" s="19">
        <f t="shared" si="20"/>
        <v>2.1232556134280409E-2</v>
      </c>
      <c r="W139" s="2"/>
      <c r="X139" s="2">
        <f t="shared" si="21"/>
        <v>31182.699999999953</v>
      </c>
      <c r="Y139" s="2"/>
      <c r="Z139" s="19">
        <f t="shared" si="22"/>
        <v>0.10693790281928429</v>
      </c>
    </row>
    <row r="140" spans="1:26" s="24" customFormat="1" hidden="1" outlineLevel="1" x14ac:dyDescent="0.25">
      <c r="A140" s="44"/>
      <c r="B140" s="11" t="str">
        <f>CONCATENATE("          ", "5011", " - ", "PURCHASES @ COST-NO VALUE TEXT")</f>
        <v xml:space="preserve">          5011 - PURCHASES @ COST-NO VALUE TEXT</v>
      </c>
      <c r="C140" s="11"/>
      <c r="D140" s="2">
        <v>90</v>
      </c>
      <c r="E140" s="2"/>
      <c r="F140" s="19">
        <f t="shared" si="15"/>
        <v>2.4171272350423548E-5</v>
      </c>
      <c r="G140" s="2"/>
      <c r="H140" s="2">
        <v>1692</v>
      </c>
      <c r="I140" s="2"/>
      <c r="J140" s="19">
        <f t="shared" si="16"/>
        <v>4.5761444142034278E-4</v>
      </c>
      <c r="K140" s="2"/>
      <c r="L140" s="2">
        <f t="shared" si="17"/>
        <v>-1602</v>
      </c>
      <c r="M140" s="2"/>
      <c r="N140" s="19">
        <f t="shared" si="18"/>
        <v>-0.94680851063829785</v>
      </c>
      <c r="O140" s="11"/>
      <c r="P140" s="2">
        <v>3675</v>
      </c>
      <c r="Q140" s="2"/>
      <c r="R140" s="19">
        <f t="shared" si="19"/>
        <v>2.7308389861427883E-4</v>
      </c>
      <c r="S140" s="2"/>
      <c r="T140" s="2">
        <v>2775</v>
      </c>
      <c r="U140" s="2"/>
      <c r="V140" s="19">
        <f t="shared" si="20"/>
        <v>2.0206133346269527E-4</v>
      </c>
      <c r="W140" s="2"/>
      <c r="X140" s="2">
        <f t="shared" si="21"/>
        <v>900</v>
      </c>
      <c r="Y140" s="2"/>
      <c r="Z140" s="19">
        <f t="shared" si="22"/>
        <v>0.32432432432432434</v>
      </c>
    </row>
    <row r="141" spans="1:26" s="24" customFormat="1" hidden="1" outlineLevel="1" x14ac:dyDescent="0.25">
      <c r="A141" s="44"/>
      <c r="B141" s="11" t="str">
        <f>CONCATENATE("          ", "5013", " - ", "PURCHASES @ COST-TRADE BOOKS")</f>
        <v xml:space="preserve">          5013 - PURCHASES @ COST-TRADE BOOKS</v>
      </c>
      <c r="C141" s="11"/>
      <c r="D141" s="2">
        <v>212.56</v>
      </c>
      <c r="E141" s="2"/>
      <c r="F141" s="19">
        <f t="shared" si="15"/>
        <v>5.7087173897844771E-5</v>
      </c>
      <c r="G141" s="2"/>
      <c r="H141" s="2">
        <v>557.55999999999995</v>
      </c>
      <c r="I141" s="2"/>
      <c r="J141" s="19">
        <f t="shared" si="16"/>
        <v>1.507963995025569E-4</v>
      </c>
      <c r="K141" s="2"/>
      <c r="L141" s="2">
        <f t="shared" si="17"/>
        <v>-344.99999999999994</v>
      </c>
      <c r="M141" s="2"/>
      <c r="N141" s="19">
        <f t="shared" si="18"/>
        <v>-0.6187674869072386</v>
      </c>
      <c r="O141" s="11"/>
      <c r="P141" s="2">
        <v>687.35</v>
      </c>
      <c r="Q141" s="2"/>
      <c r="R141" s="19">
        <f t="shared" si="19"/>
        <v>5.1075977608850224E-5</v>
      </c>
      <c r="S141" s="2"/>
      <c r="T141" s="2">
        <v>1136.94</v>
      </c>
      <c r="U141" s="2"/>
      <c r="V141" s="19">
        <f t="shared" si="20"/>
        <v>8.2786166654802429E-5</v>
      </c>
      <c r="W141" s="2"/>
      <c r="X141" s="2">
        <f t="shared" si="21"/>
        <v>-449.59000000000003</v>
      </c>
      <c r="Y141" s="2"/>
      <c r="Z141" s="19">
        <f t="shared" si="22"/>
        <v>-0.39543863352507608</v>
      </c>
    </row>
    <row r="142" spans="1:26" s="24" customFormat="1" hidden="1" outlineLevel="1" x14ac:dyDescent="0.25">
      <c r="A142" s="44"/>
      <c r="B142" s="11" t="str">
        <f>CONCATENATE("          ", "5014", " - ", "PURCHASES @ COST-REMAINDERS")</f>
        <v xml:space="preserve">          5014 - PURCHASES @ COST-REMAINDERS</v>
      </c>
      <c r="C142" s="11"/>
      <c r="D142" s="2">
        <v>52</v>
      </c>
      <c r="E142" s="2"/>
      <c r="F142" s="19">
        <f t="shared" si="15"/>
        <v>1.3965624024689162E-5</v>
      </c>
      <c r="G142" s="2"/>
      <c r="H142" s="2">
        <v>87.6</v>
      </c>
      <c r="I142" s="2"/>
      <c r="J142" s="19">
        <f t="shared" si="16"/>
        <v>2.3692095194102851E-5</v>
      </c>
      <c r="K142" s="2"/>
      <c r="L142" s="2">
        <f t="shared" si="17"/>
        <v>-35.599999999999994</v>
      </c>
      <c r="M142" s="2"/>
      <c r="N142" s="19">
        <f t="shared" si="18"/>
        <v>-0.40639269406392692</v>
      </c>
      <c r="O142" s="11"/>
      <c r="P142" s="2">
        <v>341.97</v>
      </c>
      <c r="Q142" s="2"/>
      <c r="R142" s="19">
        <f t="shared" si="19"/>
        <v>2.5411292737176857E-5</v>
      </c>
      <c r="S142" s="2"/>
      <c r="T142" s="2">
        <v>488.86</v>
      </c>
      <c r="U142" s="2"/>
      <c r="V142" s="19">
        <f t="shared" si="20"/>
        <v>3.5596289541107462E-5</v>
      </c>
      <c r="W142" s="2"/>
      <c r="X142" s="2">
        <f t="shared" si="21"/>
        <v>-146.88999999999999</v>
      </c>
      <c r="Y142" s="2"/>
      <c r="Z142" s="19">
        <f t="shared" si="22"/>
        <v>-0.30047457349752482</v>
      </c>
    </row>
    <row r="143" spans="1:26" s="24" customFormat="1" hidden="1" outlineLevel="1" x14ac:dyDescent="0.25">
      <c r="A143" s="44"/>
      <c r="B143" s="11" t="str">
        <f>CONCATENATE("          ", "5017", " - ", "PURCHASES @ COST-DORM/HOUSEWAR")</f>
        <v xml:space="preserve">          5017 - PURCHASES @ COST-DORM/HOUSEWAR</v>
      </c>
      <c r="C143" s="11"/>
      <c r="D143" s="2"/>
      <c r="E143" s="2"/>
      <c r="F143" s="19">
        <f t="shared" si="15"/>
        <v>0</v>
      </c>
      <c r="G143" s="2"/>
      <c r="H143" s="2">
        <v>239.9</v>
      </c>
      <c r="I143" s="2"/>
      <c r="J143" s="19">
        <f t="shared" si="16"/>
        <v>6.4882804076087607E-5</v>
      </c>
      <c r="K143" s="2"/>
      <c r="L143" s="2">
        <f t="shared" si="17"/>
        <v>-239.9</v>
      </c>
      <c r="M143" s="2"/>
      <c r="N143" s="19">
        <f t="shared" si="18"/>
        <v>-1</v>
      </c>
      <c r="O143" s="11"/>
      <c r="P143" s="2">
        <v>0</v>
      </c>
      <c r="Q143" s="2"/>
      <c r="R143" s="19">
        <f t="shared" si="19"/>
        <v>0</v>
      </c>
      <c r="S143" s="2"/>
      <c r="T143" s="2">
        <v>239.9</v>
      </c>
      <c r="U143" s="2"/>
      <c r="V143" s="19">
        <f t="shared" si="20"/>
        <v>1.7468293296468681E-5</v>
      </c>
      <c r="W143" s="2"/>
      <c r="X143" s="2">
        <f t="shared" si="21"/>
        <v>-239.9</v>
      </c>
      <c r="Y143" s="2"/>
      <c r="Z143" s="19">
        <f t="shared" si="22"/>
        <v>-1</v>
      </c>
    </row>
    <row r="144" spans="1:26" s="24" customFormat="1" hidden="1" outlineLevel="1" x14ac:dyDescent="0.25">
      <c r="A144" s="44"/>
      <c r="B144" s="11" t="str">
        <f>CONCATENATE("          ", "5018", " - ", "PURCHASES @ COST-STUDY GUIDES")</f>
        <v xml:space="preserve">          5018 - PURCHASES @ COST-STUDY GUIDES</v>
      </c>
      <c r="C144" s="11"/>
      <c r="D144" s="2">
        <v>298.16000000000003</v>
      </c>
      <c r="E144" s="2"/>
      <c r="F144" s="19">
        <f t="shared" si="15"/>
        <v>8.0076739600025399E-5</v>
      </c>
      <c r="G144" s="2"/>
      <c r="H144" s="2">
        <v>-0.12</v>
      </c>
      <c r="I144" s="2"/>
      <c r="J144" s="19">
        <f t="shared" si="16"/>
        <v>-3.2454924923428567E-8</v>
      </c>
      <c r="K144" s="2"/>
      <c r="L144" s="2">
        <f t="shared" si="17"/>
        <v>298.28000000000003</v>
      </c>
      <c r="M144" s="2"/>
      <c r="N144" s="19">
        <f t="shared" si="18"/>
        <v>-2485.666666666667</v>
      </c>
      <c r="O144" s="11"/>
      <c r="P144" s="2">
        <v>802.09</v>
      </c>
      <c r="Q144" s="2"/>
      <c r="R144" s="19">
        <f t="shared" si="19"/>
        <v>5.9602139929122972E-5</v>
      </c>
      <c r="S144" s="2"/>
      <c r="T144" s="2">
        <v>1034.55</v>
      </c>
      <c r="U144" s="2"/>
      <c r="V144" s="19">
        <f t="shared" si="20"/>
        <v>7.5330649561741037E-5</v>
      </c>
      <c r="W144" s="2"/>
      <c r="X144" s="2">
        <f t="shared" si="21"/>
        <v>-232.45999999999992</v>
      </c>
      <c r="Y144" s="2"/>
      <c r="Z144" s="19">
        <f t="shared" si="22"/>
        <v>-0.22469672804601029</v>
      </c>
    </row>
    <row r="145" spans="1:26" s="24" customFormat="1" hidden="1" outlineLevel="1" x14ac:dyDescent="0.25">
      <c r="A145" s="44"/>
      <c r="B145" s="11" t="str">
        <f>CONCATENATE("          ", "5025", " - ", "PURCHASES @ COST-TEST FORMS")</f>
        <v xml:space="preserve">          5025 - PURCHASES @ COST-TEST FORMS</v>
      </c>
      <c r="C145" s="11"/>
      <c r="D145" s="2">
        <v>0</v>
      </c>
      <c r="E145" s="2"/>
      <c r="F145" s="19">
        <f t="shared" si="15"/>
        <v>0</v>
      </c>
      <c r="G145" s="2"/>
      <c r="H145" s="2">
        <v>0</v>
      </c>
      <c r="I145" s="2"/>
      <c r="J145" s="19">
        <f t="shared" si="16"/>
        <v>0</v>
      </c>
      <c r="K145" s="2"/>
      <c r="L145" s="2">
        <f t="shared" si="17"/>
        <v>0</v>
      </c>
      <c r="M145" s="2"/>
      <c r="N145" s="19">
        <f t="shared" si="18"/>
        <v>0</v>
      </c>
      <c r="O145" s="11"/>
      <c r="P145" s="2">
        <v>3252.39</v>
      </c>
      <c r="Q145" s="2"/>
      <c r="R145" s="19">
        <f t="shared" si="19"/>
        <v>2.4168036490179439E-4</v>
      </c>
      <c r="S145" s="2"/>
      <c r="T145" s="2">
        <v>1050</v>
      </c>
      <c r="U145" s="2"/>
      <c r="V145" s="19">
        <f t="shared" si="20"/>
        <v>7.6455639688587391E-5</v>
      </c>
      <c r="W145" s="2"/>
      <c r="X145" s="2">
        <f t="shared" si="21"/>
        <v>2202.39</v>
      </c>
      <c r="Y145" s="2"/>
      <c r="Z145" s="19">
        <f t="shared" si="22"/>
        <v>2.0975142857142854</v>
      </c>
    </row>
    <row r="146" spans="1:26" s="24" customFormat="1" hidden="1" outlineLevel="1" x14ac:dyDescent="0.25">
      <c r="A146" s="44"/>
      <c r="B146" s="11" t="str">
        <f>CONCATENATE("          ", "5026", " - ", "PURCHASES @ COST-WRITING INSTR")</f>
        <v xml:space="preserve">          5026 - PURCHASES @ COST-WRITING INSTR</v>
      </c>
      <c r="C146" s="11"/>
      <c r="D146" s="2">
        <v>10530.19</v>
      </c>
      <c r="E146" s="2"/>
      <c r="F146" s="19">
        <f t="shared" si="15"/>
        <v>2.8280898932411839E-3</v>
      </c>
      <c r="G146" s="2"/>
      <c r="H146" s="2">
        <v>4384.4399999999996</v>
      </c>
      <c r="I146" s="2"/>
      <c r="J146" s="19">
        <f t="shared" si="16"/>
        <v>1.1858055919273093E-3</v>
      </c>
      <c r="K146" s="2"/>
      <c r="L146" s="2">
        <f t="shared" si="17"/>
        <v>6145.7500000000009</v>
      </c>
      <c r="M146" s="2"/>
      <c r="N146" s="19">
        <f t="shared" si="18"/>
        <v>1.4017183494357321</v>
      </c>
      <c r="O146" s="11"/>
      <c r="P146" s="2">
        <v>25317.57</v>
      </c>
      <c r="Q146" s="2"/>
      <c r="R146" s="19">
        <f t="shared" si="19"/>
        <v>1.881311760282968E-3</v>
      </c>
      <c r="S146" s="2"/>
      <c r="T146" s="2">
        <v>27224.929999999997</v>
      </c>
      <c r="U146" s="2"/>
      <c r="V146" s="19">
        <f t="shared" si="20"/>
        <v>1.9823804177400129E-3</v>
      </c>
      <c r="W146" s="2"/>
      <c r="X146" s="2">
        <f t="shared" si="21"/>
        <v>-1907.3599999999969</v>
      </c>
      <c r="Y146" s="2"/>
      <c r="Z146" s="19">
        <f t="shared" si="22"/>
        <v>-7.0059316956921372E-2</v>
      </c>
    </row>
    <row r="147" spans="1:26" s="24" customFormat="1" hidden="1" outlineLevel="1" x14ac:dyDescent="0.25">
      <c r="A147" s="44"/>
      <c r="B147" s="11" t="str">
        <f>CONCATENATE("          ", "5027", " - ", "PURCHASES @ COST-SCHOOL SUPPLI")</f>
        <v xml:space="preserve">          5027 - PURCHASES @ COST-SCHOOL SUPPLI</v>
      </c>
      <c r="C147" s="11"/>
      <c r="D147" s="2">
        <v>9839.7000000000007</v>
      </c>
      <c r="E147" s="2"/>
      <c r="F147" s="19">
        <f t="shared" si="15"/>
        <v>2.6426452060718066E-3</v>
      </c>
      <c r="G147" s="2"/>
      <c r="H147" s="2">
        <v>15846.8</v>
      </c>
      <c r="I147" s="2"/>
      <c r="J147" s="19">
        <f t="shared" si="16"/>
        <v>4.2858892023048979E-3</v>
      </c>
      <c r="K147" s="2"/>
      <c r="L147" s="2">
        <f t="shared" si="17"/>
        <v>-6007.0999999999985</v>
      </c>
      <c r="M147" s="2"/>
      <c r="N147" s="19">
        <f t="shared" si="18"/>
        <v>-0.37907337759042825</v>
      </c>
      <c r="O147" s="11"/>
      <c r="P147" s="2">
        <v>72022.38</v>
      </c>
      <c r="Q147" s="2"/>
      <c r="R147" s="19">
        <f t="shared" si="19"/>
        <v>5.3518781817358E-3</v>
      </c>
      <c r="S147" s="2"/>
      <c r="T147" s="2">
        <v>74579.03</v>
      </c>
      <c r="U147" s="2"/>
      <c r="V147" s="19">
        <f t="shared" si="20"/>
        <v>5.4304642342898569E-3</v>
      </c>
      <c r="W147" s="2"/>
      <c r="X147" s="2">
        <f t="shared" si="21"/>
        <v>-2556.6499999999942</v>
      </c>
      <c r="Y147" s="2"/>
      <c r="Z147" s="19">
        <f t="shared" si="22"/>
        <v>-3.4281084106349925E-2</v>
      </c>
    </row>
    <row r="148" spans="1:26" s="24" customFormat="1" hidden="1" outlineLevel="1" x14ac:dyDescent="0.25">
      <c r="A148" s="44"/>
      <c r="B148" s="11" t="str">
        <f>CONCATENATE("          ", "5028", " - ", "PURCHASES @ COST-ART/TECH")</f>
        <v xml:space="preserve">          5028 - PURCHASES @ COST-ART/TECH</v>
      </c>
      <c r="C148" s="11"/>
      <c r="D148" s="2">
        <v>19494.289999999997</v>
      </c>
      <c r="E148" s="2"/>
      <c r="F148" s="19">
        <f t="shared" si="15"/>
        <v>5.2355754763126466E-3</v>
      </c>
      <c r="G148" s="2"/>
      <c r="H148" s="2">
        <v>29619.939999999995</v>
      </c>
      <c r="I148" s="2"/>
      <c r="J148" s="19">
        <f t="shared" si="16"/>
        <v>8.0109410744704877E-3</v>
      </c>
      <c r="K148" s="2"/>
      <c r="L148" s="2">
        <f t="shared" si="17"/>
        <v>-10125.649999999998</v>
      </c>
      <c r="M148" s="2"/>
      <c r="N148" s="19">
        <f t="shared" si="18"/>
        <v>-0.34185248180786321</v>
      </c>
      <c r="O148" s="11"/>
      <c r="P148" s="2">
        <v>90339.069999999992</v>
      </c>
      <c r="Q148" s="2"/>
      <c r="R148" s="19">
        <f t="shared" si="19"/>
        <v>6.7129647436158469E-3</v>
      </c>
      <c r="S148" s="2"/>
      <c r="T148" s="2">
        <v>82795.509999999995</v>
      </c>
      <c r="U148" s="2"/>
      <c r="V148" s="19">
        <f t="shared" si="20"/>
        <v>6.0287463622788898E-3</v>
      </c>
      <c r="W148" s="2"/>
      <c r="X148" s="2">
        <f t="shared" si="21"/>
        <v>7543.5599999999977</v>
      </c>
      <c r="Y148" s="2"/>
      <c r="Z148" s="19">
        <f t="shared" si="22"/>
        <v>9.1110737768267849E-2</v>
      </c>
    </row>
    <row r="149" spans="1:26" s="24" customFormat="1" hidden="1" outlineLevel="1" x14ac:dyDescent="0.25">
      <c r="A149" s="44"/>
      <c r="B149" s="11" t="str">
        <f>CONCATENATE("          ", "5031", " - ", "PURCHASES @ COST-FOOD")</f>
        <v xml:space="preserve">          5031 - PURCHASES @ COST-FOOD</v>
      </c>
      <c r="C149" s="11"/>
      <c r="D149" s="2">
        <v>7839.04</v>
      </c>
      <c r="E149" s="2"/>
      <c r="F149" s="19">
        <f t="shared" si="15"/>
        <v>2.1053285645096023E-3</v>
      </c>
      <c r="G149" s="2"/>
      <c r="H149" s="2">
        <v>6328.18</v>
      </c>
      <c r="I149" s="2"/>
      <c r="J149" s="19">
        <f t="shared" si="16"/>
        <v>1.7115050566828514E-3</v>
      </c>
      <c r="K149" s="2"/>
      <c r="L149" s="2">
        <f t="shared" si="17"/>
        <v>1510.8599999999997</v>
      </c>
      <c r="M149" s="2"/>
      <c r="N149" s="19">
        <f t="shared" si="18"/>
        <v>0.23875111011380834</v>
      </c>
      <c r="O149" s="11"/>
      <c r="P149" s="2">
        <v>15989.089999999998</v>
      </c>
      <c r="Q149" s="2"/>
      <c r="R149" s="19">
        <f t="shared" si="19"/>
        <v>1.1881259952366203E-3</v>
      </c>
      <c r="S149" s="2"/>
      <c r="T149" s="2">
        <v>13421.61</v>
      </c>
      <c r="U149" s="2"/>
      <c r="V149" s="19">
        <f t="shared" si="20"/>
        <v>9.772931220959442E-4</v>
      </c>
      <c r="W149" s="2"/>
      <c r="X149" s="2">
        <f t="shared" si="21"/>
        <v>2567.4799999999977</v>
      </c>
      <c r="Y149" s="2"/>
      <c r="Z149" s="19">
        <f t="shared" si="22"/>
        <v>0.19129448702502885</v>
      </c>
    </row>
    <row r="150" spans="1:26" s="24" customFormat="1" hidden="1" outlineLevel="1" x14ac:dyDescent="0.25">
      <c r="A150" s="44"/>
      <c r="B150" s="11" t="str">
        <f>CONCATENATE("          ", "5032", " - ", "PURCHASES @ COST-JUICE")</f>
        <v xml:space="preserve">          5032 - PURCHASES @ COST-JUICE</v>
      </c>
      <c r="C150" s="11"/>
      <c r="D150" s="2">
        <v>2565.13</v>
      </c>
      <c r="E150" s="2"/>
      <c r="F150" s="19">
        <f t="shared" si="15"/>
        <v>6.8891617604713285E-4</v>
      </c>
      <c r="G150" s="2"/>
      <c r="H150" s="2">
        <v>1808.19</v>
      </c>
      <c r="I150" s="2"/>
      <c r="J150" s="19">
        <f t="shared" si="16"/>
        <v>4.8903892247745251E-4</v>
      </c>
      <c r="K150" s="2"/>
      <c r="L150" s="2">
        <f t="shared" si="17"/>
        <v>756.94</v>
      </c>
      <c r="M150" s="2"/>
      <c r="N150" s="19">
        <f t="shared" si="18"/>
        <v>0.41861751254016449</v>
      </c>
      <c r="O150" s="11"/>
      <c r="P150" s="2">
        <v>3384.28</v>
      </c>
      <c r="Q150" s="2"/>
      <c r="R150" s="19">
        <f t="shared" si="19"/>
        <v>2.5148091874893381E-4</v>
      </c>
      <c r="S150" s="2"/>
      <c r="T150" s="2">
        <v>3835.77</v>
      </c>
      <c r="U150" s="2"/>
      <c r="V150" s="19">
        <f t="shared" si="20"/>
        <v>2.7930118956980275E-4</v>
      </c>
      <c r="W150" s="2"/>
      <c r="X150" s="2">
        <f t="shared" si="21"/>
        <v>-451.48999999999978</v>
      </c>
      <c r="Y150" s="2"/>
      <c r="Z150" s="19">
        <f t="shared" si="22"/>
        <v>-0.11770518044616851</v>
      </c>
    </row>
    <row r="151" spans="1:26" s="24" customFormat="1" hidden="1" outlineLevel="1" x14ac:dyDescent="0.25">
      <c r="A151" s="44"/>
      <c r="B151" s="11" t="str">
        <f>CONCATENATE("          ", "5033", " - ", "PURCHASES @ COST-CANDY")</f>
        <v xml:space="preserve">          5033 - PURCHASES @ COST-CANDY</v>
      </c>
      <c r="C151" s="11"/>
      <c r="D151" s="2">
        <v>2102.09</v>
      </c>
      <c r="E151" s="2"/>
      <c r="F151" s="19">
        <f t="shared" si="15"/>
        <v>5.6455766550113156E-4</v>
      </c>
      <c r="G151" s="2"/>
      <c r="H151" s="2">
        <v>1794.06</v>
      </c>
      <c r="I151" s="2"/>
      <c r="J151" s="19">
        <f t="shared" si="16"/>
        <v>4.8521735506771874E-4</v>
      </c>
      <c r="K151" s="2"/>
      <c r="L151" s="2">
        <f t="shared" si="17"/>
        <v>308.0300000000002</v>
      </c>
      <c r="M151" s="2"/>
      <c r="N151" s="19">
        <f t="shared" si="18"/>
        <v>0.1716943691961251</v>
      </c>
      <c r="O151" s="11"/>
      <c r="P151" s="2">
        <v>4455.2</v>
      </c>
      <c r="Q151" s="2"/>
      <c r="R151" s="19">
        <f t="shared" si="19"/>
        <v>3.3105942451873064E-4</v>
      </c>
      <c r="S151" s="2"/>
      <c r="T151" s="2">
        <v>3566.92</v>
      </c>
      <c r="U151" s="2"/>
      <c r="V151" s="19">
        <f t="shared" si="20"/>
        <v>2.5972490506477727E-4</v>
      </c>
      <c r="W151" s="2"/>
      <c r="X151" s="2">
        <f t="shared" si="21"/>
        <v>888.27999999999975</v>
      </c>
      <c r="Y151" s="2"/>
      <c r="Z151" s="19">
        <f t="shared" si="22"/>
        <v>0.2490327789801845</v>
      </c>
    </row>
    <row r="152" spans="1:26" s="24" customFormat="1" hidden="1" outlineLevel="1" x14ac:dyDescent="0.25">
      <c r="A152" s="44"/>
      <c r="B152" s="11" t="str">
        <f>CONCATENATE("          ", "5034", " - ", "PURCHASES @ COST-SODA")</f>
        <v xml:space="preserve">          5034 - PURCHASES @ COST-SODA</v>
      </c>
      <c r="C152" s="11"/>
      <c r="D152" s="2">
        <v>876</v>
      </c>
      <c r="E152" s="2"/>
      <c r="F152" s="19">
        <f t="shared" si="15"/>
        <v>2.3526705087745586E-4</v>
      </c>
      <c r="G152" s="2"/>
      <c r="H152" s="2">
        <v>570.59</v>
      </c>
      <c r="I152" s="2"/>
      <c r="J152" s="19">
        <f t="shared" si="16"/>
        <v>1.5432046343382587E-4</v>
      </c>
      <c r="K152" s="2"/>
      <c r="L152" s="2">
        <f t="shared" si="17"/>
        <v>305.40999999999997</v>
      </c>
      <c r="M152" s="2"/>
      <c r="N152" s="19">
        <f t="shared" si="18"/>
        <v>0.53525298375365837</v>
      </c>
      <c r="O152" s="11"/>
      <c r="P152" s="2">
        <v>1494.54</v>
      </c>
      <c r="Q152" s="2"/>
      <c r="R152" s="19">
        <f t="shared" si="19"/>
        <v>1.1105709111156036E-4</v>
      </c>
      <c r="S152" s="2"/>
      <c r="T152" s="2">
        <v>1257.75</v>
      </c>
      <c r="U152" s="2"/>
      <c r="V152" s="19">
        <f t="shared" si="20"/>
        <v>9.1582934112686471E-5</v>
      </c>
      <c r="W152" s="2"/>
      <c r="X152" s="2">
        <f t="shared" si="21"/>
        <v>236.78999999999996</v>
      </c>
      <c r="Y152" s="2"/>
      <c r="Z152" s="19">
        <f t="shared" si="22"/>
        <v>0.18826475849731661</v>
      </c>
    </row>
    <row r="153" spans="1:26" s="24" customFormat="1" hidden="1" outlineLevel="1" x14ac:dyDescent="0.25">
      <c r="A153" s="44"/>
      <c r="B153" s="11" t="str">
        <f>CONCATENATE("          ", "5035", " - ", "PURCHASES @ COST-HEALTH &amp; BEAU")</f>
        <v xml:space="preserve">          5035 - PURCHASES @ COST-HEALTH &amp; BEAU</v>
      </c>
      <c r="C153" s="11"/>
      <c r="D153" s="2">
        <v>291.13</v>
      </c>
      <c r="E153" s="2"/>
      <c r="F153" s="19">
        <f t="shared" si="15"/>
        <v>7.8188694659764529E-5</v>
      </c>
      <c r="G153" s="2"/>
      <c r="H153" s="2">
        <v>343.81</v>
      </c>
      <c r="I153" s="2"/>
      <c r="J153" s="19">
        <f t="shared" si="16"/>
        <v>9.2986064482699786E-5</v>
      </c>
      <c r="K153" s="2"/>
      <c r="L153" s="2">
        <f t="shared" si="17"/>
        <v>-52.680000000000007</v>
      </c>
      <c r="M153" s="2"/>
      <c r="N153" s="19">
        <f t="shared" si="18"/>
        <v>-0.15322416450946746</v>
      </c>
      <c r="O153" s="11"/>
      <c r="P153" s="2">
        <v>578.69000000000005</v>
      </c>
      <c r="Q153" s="2"/>
      <c r="R153" s="19">
        <f t="shared" si="19"/>
        <v>4.3001611235128447E-5</v>
      </c>
      <c r="S153" s="2"/>
      <c r="T153" s="2">
        <v>469.33</v>
      </c>
      <c r="U153" s="2"/>
      <c r="V153" s="19">
        <f t="shared" si="20"/>
        <v>3.4174214642899735E-5</v>
      </c>
      <c r="W153" s="2"/>
      <c r="X153" s="2">
        <f t="shared" si="21"/>
        <v>109.36000000000007</v>
      </c>
      <c r="Y153" s="2"/>
      <c r="Z153" s="19">
        <f t="shared" si="22"/>
        <v>0.23301301855837059</v>
      </c>
    </row>
    <row r="154" spans="1:26" s="24" customFormat="1" hidden="1" outlineLevel="1" x14ac:dyDescent="0.25">
      <c r="A154" s="44"/>
      <c r="B154" s="11" t="str">
        <f>CONCATENATE("          ", "5037", " - ", "PURCHASES @ COST-WATER")</f>
        <v xml:space="preserve">          5037 - PURCHASES @ COST-WATER</v>
      </c>
      <c r="C154" s="11"/>
      <c r="D154" s="2">
        <v>1463.27</v>
      </c>
      <c r="E154" s="2"/>
      <c r="F154" s="19">
        <f t="shared" si="15"/>
        <v>3.9298997435782516E-4</v>
      </c>
      <c r="G154" s="2"/>
      <c r="H154" s="2">
        <v>1459.34</v>
      </c>
      <c r="I154" s="2"/>
      <c r="J154" s="19">
        <f t="shared" si="16"/>
        <v>3.9468975114796868E-4</v>
      </c>
      <c r="K154" s="2"/>
      <c r="L154" s="2">
        <f t="shared" si="17"/>
        <v>3.9300000000000637</v>
      </c>
      <c r="M154" s="2"/>
      <c r="N154" s="19">
        <f t="shared" si="18"/>
        <v>2.6929982046679075E-3</v>
      </c>
      <c r="O154" s="11"/>
      <c r="P154" s="2">
        <v>2855.85</v>
      </c>
      <c r="Q154" s="2"/>
      <c r="R154" s="19">
        <f t="shared" si="19"/>
        <v>2.1221405492723489E-4</v>
      </c>
      <c r="S154" s="2"/>
      <c r="T154" s="2">
        <v>2666.08</v>
      </c>
      <c r="U154" s="2"/>
      <c r="V154" s="19">
        <f t="shared" si="20"/>
        <v>1.9413033510566578E-4</v>
      </c>
      <c r="W154" s="2"/>
      <c r="X154" s="2">
        <f t="shared" si="21"/>
        <v>189.76999999999998</v>
      </c>
      <c r="Y154" s="2"/>
      <c r="Z154" s="19">
        <f t="shared" si="22"/>
        <v>7.1179409470083416E-2</v>
      </c>
    </row>
    <row r="155" spans="1:26" s="24" customFormat="1" hidden="1" outlineLevel="1" x14ac:dyDescent="0.25">
      <c r="A155" s="44"/>
      <c r="B155" s="11" t="str">
        <f>CONCATENATE("          ", "5040", " - ", "PURCHASES @ COST-LOGO CLOTHING")</f>
        <v xml:space="preserve">          5040 - PURCHASES @ COST-LOGO CLOTHING</v>
      </c>
      <c r="C155" s="11"/>
      <c r="D155" s="2">
        <v>176749.05</v>
      </c>
      <c r="E155" s="2"/>
      <c r="F155" s="19">
        <f t="shared" si="15"/>
        <v>4.7469438058095878E-2</v>
      </c>
      <c r="G155" s="2"/>
      <c r="H155" s="2">
        <v>148087.87</v>
      </c>
      <c r="I155" s="2"/>
      <c r="J155" s="19">
        <f t="shared" si="16"/>
        <v>4.0051505857670408E-2</v>
      </c>
      <c r="K155" s="2"/>
      <c r="L155" s="2">
        <f t="shared" si="17"/>
        <v>28661.179999999993</v>
      </c>
      <c r="M155" s="2"/>
      <c r="N155" s="19">
        <f t="shared" si="18"/>
        <v>0.19354171276823681</v>
      </c>
      <c r="O155" s="11"/>
      <c r="P155" s="2">
        <v>512600.91000000003</v>
      </c>
      <c r="Q155" s="2"/>
      <c r="R155" s="19">
        <f t="shared" si="19"/>
        <v>3.8090627193476757E-2</v>
      </c>
      <c r="S155" s="2"/>
      <c r="T155" s="2">
        <v>443210.29</v>
      </c>
      <c r="U155" s="2"/>
      <c r="V155" s="19">
        <f t="shared" si="20"/>
        <v>3.2272310703346976E-2</v>
      </c>
      <c r="W155" s="2"/>
      <c r="X155" s="2">
        <f t="shared" si="21"/>
        <v>69390.620000000054</v>
      </c>
      <c r="Y155" s="2"/>
      <c r="Z155" s="19">
        <f t="shared" si="22"/>
        <v>0.15656364837558273</v>
      </c>
    </row>
    <row r="156" spans="1:26" s="24" customFormat="1" hidden="1" outlineLevel="1" x14ac:dyDescent="0.25">
      <c r="A156" s="44"/>
      <c r="B156" s="11" t="str">
        <f>CONCATENATE("          ", "5041", " - ", "PURCHASES @ COST-LOGO GIFTS")</f>
        <v xml:space="preserve">          5041 - PURCHASES @ COST-LOGO GIFTS</v>
      </c>
      <c r="C156" s="11"/>
      <c r="D156" s="2">
        <v>27759.98</v>
      </c>
      <c r="E156" s="2"/>
      <c r="F156" s="19">
        <f t="shared" si="15"/>
        <v>7.4554893002478969E-3</v>
      </c>
      <c r="G156" s="2"/>
      <c r="H156" s="2">
        <v>39602.310000000005</v>
      </c>
      <c r="I156" s="2"/>
      <c r="J156" s="19">
        <f t="shared" si="16"/>
        <v>1.0710749982036204E-2</v>
      </c>
      <c r="K156" s="2"/>
      <c r="L156" s="2">
        <f t="shared" si="17"/>
        <v>-11842.330000000005</v>
      </c>
      <c r="M156" s="2"/>
      <c r="N156" s="19">
        <f t="shared" si="18"/>
        <v>-0.29903129388159438</v>
      </c>
      <c r="O156" s="11"/>
      <c r="P156" s="2">
        <v>70456.460000000006</v>
      </c>
      <c r="Q156" s="2"/>
      <c r="R156" s="19">
        <f t="shared" si="19"/>
        <v>5.2355169467648965E-3</v>
      </c>
      <c r="S156" s="2"/>
      <c r="T156" s="2">
        <v>83100.850000000006</v>
      </c>
      <c r="U156" s="2"/>
      <c r="V156" s="19">
        <f t="shared" si="20"/>
        <v>6.0509796623003315E-3</v>
      </c>
      <c r="W156" s="2"/>
      <c r="X156" s="2">
        <f t="shared" si="21"/>
        <v>-12644.39</v>
      </c>
      <c r="Y156" s="2"/>
      <c r="Z156" s="19">
        <f t="shared" si="22"/>
        <v>-0.15215716806747462</v>
      </c>
    </row>
    <row r="157" spans="1:26" s="24" customFormat="1" hidden="1" outlineLevel="1" x14ac:dyDescent="0.25">
      <c r="A157" s="44"/>
      <c r="B157" s="11" t="str">
        <f>CONCATENATE("          ", "5042", " - ", "PURCHASES @ COST-EVERYDAY GIFT")</f>
        <v xml:space="preserve">          5042 - PURCHASES @ COST-EVERYDAY GIFT</v>
      </c>
      <c r="C157" s="11"/>
      <c r="D157" s="2">
        <v>13956.79</v>
      </c>
      <c r="E157" s="2"/>
      <c r="F157" s="19">
        <f t="shared" si="15"/>
        <v>3.7483708025296434E-3</v>
      </c>
      <c r="G157" s="2"/>
      <c r="H157" s="2">
        <v>25064.3</v>
      </c>
      <c r="I157" s="2"/>
      <c r="J157" s="19">
        <f t="shared" si="16"/>
        <v>6.778833122985755E-3</v>
      </c>
      <c r="K157" s="2"/>
      <c r="L157" s="2">
        <f t="shared" si="17"/>
        <v>-11107.509999999998</v>
      </c>
      <c r="M157" s="2"/>
      <c r="N157" s="19">
        <f t="shared" si="18"/>
        <v>-0.44316059096005067</v>
      </c>
      <c r="O157" s="11"/>
      <c r="P157" s="2">
        <v>49248.47</v>
      </c>
      <c r="Q157" s="2"/>
      <c r="R157" s="19">
        <f t="shared" si="19"/>
        <v>3.6595820920784635E-3</v>
      </c>
      <c r="S157" s="2"/>
      <c r="T157" s="2">
        <v>60335.35</v>
      </c>
      <c r="U157" s="2"/>
      <c r="V157" s="19">
        <f t="shared" si="20"/>
        <v>4.393312171509344E-3</v>
      </c>
      <c r="W157" s="2"/>
      <c r="X157" s="2">
        <f t="shared" si="21"/>
        <v>-11086.879999999997</v>
      </c>
      <c r="Y157" s="2"/>
      <c r="Z157" s="19">
        <f t="shared" si="22"/>
        <v>-0.18375429992533396</v>
      </c>
    </row>
    <row r="158" spans="1:26" s="24" customFormat="1" hidden="1" outlineLevel="1" x14ac:dyDescent="0.25">
      <c r="A158" s="44"/>
      <c r="B158" s="11" t="str">
        <f>CONCATENATE("          ", "5043", " - ", "PURCHASES @ COST-CARDS")</f>
        <v xml:space="preserve">          5043 - PURCHASES @ COST-CARDS</v>
      </c>
      <c r="C158" s="11"/>
      <c r="D158" s="2">
        <v>331.09</v>
      </c>
      <c r="E158" s="2"/>
      <c r="F158" s="19">
        <f t="shared" si="15"/>
        <v>8.8920739583352577E-5</v>
      </c>
      <c r="G158" s="2"/>
      <c r="H158" s="2">
        <v>670.29</v>
      </c>
      <c r="I158" s="2"/>
      <c r="J158" s="19">
        <f t="shared" si="16"/>
        <v>1.8128509689104109E-4</v>
      </c>
      <c r="K158" s="2"/>
      <c r="L158" s="2">
        <f t="shared" si="17"/>
        <v>-339.2</v>
      </c>
      <c r="M158" s="2"/>
      <c r="N158" s="19">
        <f t="shared" si="18"/>
        <v>-0.50604962031359557</v>
      </c>
      <c r="O158" s="11"/>
      <c r="P158" s="2">
        <v>1340.08</v>
      </c>
      <c r="Q158" s="2"/>
      <c r="R158" s="19">
        <f t="shared" si="19"/>
        <v>9.9579393429938167E-5</v>
      </c>
      <c r="S158" s="2"/>
      <c r="T158" s="2">
        <v>1808.34</v>
      </c>
      <c r="U158" s="2"/>
      <c r="V158" s="19">
        <f t="shared" si="20"/>
        <v>1.3167408711853344E-4</v>
      </c>
      <c r="W158" s="2"/>
      <c r="X158" s="2">
        <f t="shared" si="21"/>
        <v>-468.26</v>
      </c>
      <c r="Y158" s="2"/>
      <c r="Z158" s="19">
        <f t="shared" si="22"/>
        <v>-0.25894466748509681</v>
      </c>
    </row>
    <row r="159" spans="1:26" s="24" customFormat="1" hidden="1" outlineLevel="1" x14ac:dyDescent="0.25">
      <c r="A159" s="44"/>
      <c r="B159" s="11" t="str">
        <f>CONCATENATE("          ", "5044", " - ", "PURCHASES @ COST-ACCESSORIES")</f>
        <v xml:space="preserve">          5044 - PURCHASES @ COST-ACCESSORIES</v>
      </c>
      <c r="C159" s="11"/>
      <c r="D159" s="2">
        <v>3747.48</v>
      </c>
      <c r="E159" s="2"/>
      <c r="F159" s="19">
        <f t="shared" si="15"/>
        <v>1.0064595523085027E-3</v>
      </c>
      <c r="G159" s="2"/>
      <c r="H159" s="2">
        <v>5410.78</v>
      </c>
      <c r="I159" s="2"/>
      <c r="J159" s="19">
        <f t="shared" si="16"/>
        <v>1.4633871556432401E-3</v>
      </c>
      <c r="K159" s="2"/>
      <c r="L159" s="2">
        <f t="shared" si="17"/>
        <v>-1663.2999999999997</v>
      </c>
      <c r="M159" s="2"/>
      <c r="N159" s="19">
        <f t="shared" si="18"/>
        <v>-0.30740484736026963</v>
      </c>
      <c r="O159" s="11"/>
      <c r="P159" s="2">
        <v>24151.129999999997</v>
      </c>
      <c r="Q159" s="2"/>
      <c r="R159" s="19">
        <f t="shared" si="19"/>
        <v>1.7946353024055151E-3</v>
      </c>
      <c r="S159" s="2"/>
      <c r="T159" s="2">
        <v>18947.070000000003</v>
      </c>
      <c r="U159" s="2"/>
      <c r="V159" s="19">
        <f t="shared" si="20"/>
        <v>1.3796289114994702E-3</v>
      </c>
      <c r="W159" s="2"/>
      <c r="X159" s="2">
        <f t="shared" si="21"/>
        <v>5204.059999999994</v>
      </c>
      <c r="Y159" s="2"/>
      <c r="Z159" s="19">
        <f t="shared" si="22"/>
        <v>0.27466304816523046</v>
      </c>
    </row>
    <row r="160" spans="1:26" s="24" customFormat="1" hidden="1" outlineLevel="1" x14ac:dyDescent="0.25">
      <c r="A160" s="44"/>
      <c r="B160" s="11" t="str">
        <f>CONCATENATE("          ", "5045", " - ", "PURCHASES @ COST-SPECIAL ORDER")</f>
        <v xml:space="preserve">          5045 - PURCHASES @ COST-SPECIAL ORDER</v>
      </c>
      <c r="C160" s="11"/>
      <c r="D160" s="2">
        <v>3599.17</v>
      </c>
      <c r="E160" s="2"/>
      <c r="F160" s="19">
        <f t="shared" si="15"/>
        <v>9.6662798117193251E-4</v>
      </c>
      <c r="G160" s="2"/>
      <c r="H160" s="2">
        <v>8833.39</v>
      </c>
      <c r="I160" s="2"/>
      <c r="J160" s="19">
        <f t="shared" si="16"/>
        <v>2.3890584105780385E-3</v>
      </c>
      <c r="K160" s="2"/>
      <c r="L160" s="2">
        <f t="shared" si="17"/>
        <v>-5234.2199999999993</v>
      </c>
      <c r="M160" s="2"/>
      <c r="N160" s="19">
        <f t="shared" si="18"/>
        <v>-0.59254940628682751</v>
      </c>
      <c r="O160" s="11"/>
      <c r="P160" s="2">
        <v>28063.200000000001</v>
      </c>
      <c r="Q160" s="2"/>
      <c r="R160" s="19">
        <f t="shared" si="19"/>
        <v>2.08533552750809E-3</v>
      </c>
      <c r="S160" s="2"/>
      <c r="T160" s="2">
        <v>41970.42</v>
      </c>
      <c r="U160" s="2"/>
      <c r="V160" s="19">
        <f t="shared" si="20"/>
        <v>3.0560717229511257E-3</v>
      </c>
      <c r="W160" s="2"/>
      <c r="X160" s="2">
        <f t="shared" si="21"/>
        <v>-13907.219999999998</v>
      </c>
      <c r="Y160" s="2"/>
      <c r="Z160" s="19">
        <f t="shared" si="22"/>
        <v>-0.3313576561778509</v>
      </c>
    </row>
    <row r="161" spans="1:26" s="24" customFormat="1" hidden="1" outlineLevel="1" x14ac:dyDescent="0.25">
      <c r="A161" s="44"/>
      <c r="B161" s="11" t="str">
        <f>CONCATENATE("          ", "5053", " - ", "PURCHASES @ COST-FOOD")</f>
        <v xml:space="preserve">          5053 - PURCHASES @ COST-FOOD</v>
      </c>
      <c r="C161" s="11"/>
      <c r="D161" s="2">
        <v>926039.94000000006</v>
      </c>
      <c r="E161" s="2"/>
      <c r="F161" s="19">
        <f t="shared" si="15"/>
        <v>0.2487062621901098</v>
      </c>
      <c r="G161" s="2"/>
      <c r="H161" s="2">
        <v>892138.87</v>
      </c>
      <c r="I161" s="2"/>
      <c r="J161" s="19">
        <f t="shared" si="16"/>
        <v>0.24128583372601997</v>
      </c>
      <c r="K161" s="2"/>
      <c r="L161" s="2">
        <f t="shared" si="17"/>
        <v>33901.070000000065</v>
      </c>
      <c r="M161" s="2"/>
      <c r="N161" s="19">
        <f t="shared" si="18"/>
        <v>3.7999767906088507E-2</v>
      </c>
      <c r="O161" s="11"/>
      <c r="P161" s="2">
        <v>2338600.98</v>
      </c>
      <c r="Q161" s="2"/>
      <c r="R161" s="19">
        <f t="shared" si="19"/>
        <v>0.17377803344804713</v>
      </c>
      <c r="S161" s="2"/>
      <c r="T161" s="2">
        <v>2295198.06</v>
      </c>
      <c r="U161" s="2"/>
      <c r="V161" s="19">
        <f t="shared" si="20"/>
        <v>0.16712460560886172</v>
      </c>
      <c r="W161" s="2"/>
      <c r="X161" s="2">
        <f t="shared" si="21"/>
        <v>43402.919999999925</v>
      </c>
      <c r="Y161" s="2"/>
      <c r="Z161" s="19">
        <f t="shared" si="22"/>
        <v>1.8910315739810238E-2</v>
      </c>
    </row>
    <row r="162" spans="1:26" s="24" customFormat="1" hidden="1" outlineLevel="1" x14ac:dyDescent="0.25">
      <c r="A162" s="44"/>
      <c r="B162" s="11" t="str">
        <f>CONCATENATE("          ", "5059", " - ", "PURCHASES @ COST-FOOD")</f>
        <v xml:space="preserve">          5059 - PURCHASES @ COST-FOOD</v>
      </c>
      <c r="C162" s="11"/>
      <c r="D162" s="2">
        <v>-22045.34</v>
      </c>
      <c r="E162" s="2"/>
      <c r="F162" s="19">
        <f t="shared" si="15"/>
        <v>-5.9207101910854027E-3</v>
      </c>
      <c r="G162" s="2"/>
      <c r="H162" s="2">
        <v>17352.89</v>
      </c>
      <c r="I162" s="2"/>
      <c r="J162" s="19">
        <f t="shared" si="16"/>
        <v>4.6932228512876189E-3</v>
      </c>
      <c r="K162" s="2"/>
      <c r="L162" s="2">
        <f t="shared" si="17"/>
        <v>-39398.229999999996</v>
      </c>
      <c r="M162" s="2"/>
      <c r="N162" s="19">
        <f t="shared" si="18"/>
        <v>-2.2704131703710448</v>
      </c>
      <c r="O162" s="11"/>
      <c r="P162" s="2">
        <v>-109586.63</v>
      </c>
      <c r="Q162" s="2"/>
      <c r="R162" s="19">
        <f t="shared" si="19"/>
        <v>-8.1432228997008142E-3</v>
      </c>
      <c r="S162" s="2"/>
      <c r="T162" s="2">
        <v>-102587.07999999999</v>
      </c>
      <c r="U162" s="2"/>
      <c r="V162" s="19">
        <f t="shared" si="20"/>
        <v>-7.4698674525564661E-3</v>
      </c>
      <c r="W162" s="2"/>
      <c r="X162" s="2">
        <f t="shared" si="21"/>
        <v>-6999.5500000000175</v>
      </c>
      <c r="Y162" s="2"/>
      <c r="Z162" s="19">
        <f t="shared" si="22"/>
        <v>6.8230326859873763E-2</v>
      </c>
    </row>
    <row r="163" spans="1:26" s="24" customFormat="1" hidden="1" outlineLevel="1" x14ac:dyDescent="0.25">
      <c r="A163" s="44"/>
      <c r="B163" s="11" t="str">
        <f>CONCATENATE("          ", "5081", " - ", "PURCHASES @ COST-ELECTRONICS")</f>
        <v xml:space="preserve">          5081 - PURCHASES @ COST-ELECTRONICS</v>
      </c>
      <c r="C163" s="11"/>
      <c r="D163" s="2">
        <v>18978.52</v>
      </c>
      <c r="E163" s="2"/>
      <c r="F163" s="19">
        <f t="shared" si="15"/>
        <v>5.0970552858662262E-3</v>
      </c>
      <c r="G163" s="2"/>
      <c r="H163" s="2">
        <v>13584.7</v>
      </c>
      <c r="I163" s="2"/>
      <c r="J163" s="19">
        <f t="shared" si="16"/>
        <v>3.6740868217275003E-3</v>
      </c>
      <c r="K163" s="2"/>
      <c r="L163" s="2">
        <f t="shared" si="17"/>
        <v>5393.82</v>
      </c>
      <c r="M163" s="2"/>
      <c r="N163" s="19">
        <f t="shared" si="18"/>
        <v>0.39705109424573226</v>
      </c>
      <c r="O163" s="11"/>
      <c r="P163" s="2">
        <v>169136.69</v>
      </c>
      <c r="Q163" s="2"/>
      <c r="R163" s="19">
        <f t="shared" si="19"/>
        <v>1.2568301143922371E-2</v>
      </c>
      <c r="S163" s="2"/>
      <c r="T163" s="2">
        <v>146129.32</v>
      </c>
      <c r="U163" s="2"/>
      <c r="V163" s="19">
        <f t="shared" si="20"/>
        <v>1.0640391083674561E-2</v>
      </c>
      <c r="W163" s="2"/>
      <c r="X163" s="2">
        <f t="shared" si="21"/>
        <v>23007.369999999995</v>
      </c>
      <c r="Y163" s="2"/>
      <c r="Z163" s="19">
        <f t="shared" si="22"/>
        <v>0.15744526834176736</v>
      </c>
    </row>
    <row r="164" spans="1:26" s="24" customFormat="1" hidden="1" outlineLevel="1" x14ac:dyDescent="0.25">
      <c r="A164" s="44"/>
      <c r="B164" s="11" t="str">
        <f>CONCATENATE("          ", "5082", " - ", "PURCHASES @ COST-COMPUTER HARD")</f>
        <v xml:space="preserve">          5082 - PURCHASES @ COST-COMPUTER HARD</v>
      </c>
      <c r="C164" s="11"/>
      <c r="D164" s="2">
        <v>94594.73</v>
      </c>
      <c r="E164" s="2"/>
      <c r="F164" s="19">
        <f t="shared" si="15"/>
        <v>2.5405277574942011E-2</v>
      </c>
      <c r="G164" s="2"/>
      <c r="H164" s="2">
        <v>54674.52</v>
      </c>
      <c r="I164" s="2"/>
      <c r="J164" s="19">
        <f t="shared" si="16"/>
        <v>1.4787145348537445E-2</v>
      </c>
      <c r="K164" s="2"/>
      <c r="L164" s="2">
        <f t="shared" si="17"/>
        <v>39920.21</v>
      </c>
      <c r="M164" s="2"/>
      <c r="N164" s="19">
        <f t="shared" si="18"/>
        <v>0.73014285264872925</v>
      </c>
      <c r="O164" s="11"/>
      <c r="P164" s="2">
        <v>895787.3</v>
      </c>
      <c r="Q164" s="2"/>
      <c r="R164" s="19">
        <f t="shared" si="19"/>
        <v>6.6564649853920702E-2</v>
      </c>
      <c r="S164" s="2"/>
      <c r="T164" s="2">
        <v>635280.40999999992</v>
      </c>
      <c r="U164" s="2"/>
      <c r="V164" s="19">
        <f t="shared" si="20"/>
        <v>4.6257876312550537E-2</v>
      </c>
      <c r="W164" s="2"/>
      <c r="X164" s="2">
        <f t="shared" si="21"/>
        <v>260506.89000000013</v>
      </c>
      <c r="Y164" s="2"/>
      <c r="Z164" s="19">
        <f t="shared" si="22"/>
        <v>0.41006598959977403</v>
      </c>
    </row>
    <row r="165" spans="1:26" s="24" customFormat="1" hidden="1" outlineLevel="1" x14ac:dyDescent="0.25">
      <c r="A165" s="44"/>
      <c r="B165" s="11" t="str">
        <f>CONCATENATE("          ", "5083", " - ", "PURCHASES @ COST-COMPUTER EQUI")</f>
        <v xml:space="preserve">          5083 - PURCHASES @ COST-COMPUTER EQUI</v>
      </c>
      <c r="C165" s="11"/>
      <c r="D165" s="2">
        <v>14172.43</v>
      </c>
      <c r="E165" s="2"/>
      <c r="F165" s="19">
        <f t="shared" si="15"/>
        <v>3.8062851710812581E-3</v>
      </c>
      <c r="G165" s="2"/>
      <c r="H165" s="2">
        <v>13373.97</v>
      </c>
      <c r="I165" s="2"/>
      <c r="J165" s="19">
        <f t="shared" si="16"/>
        <v>3.6170932689848826E-3</v>
      </c>
      <c r="K165" s="2"/>
      <c r="L165" s="2">
        <f t="shared" si="17"/>
        <v>798.46000000000095</v>
      </c>
      <c r="M165" s="2"/>
      <c r="N165" s="19">
        <f t="shared" si="18"/>
        <v>5.9702541578902972E-2</v>
      </c>
      <c r="O165" s="11"/>
      <c r="P165" s="2">
        <v>42040.84</v>
      </c>
      <c r="Q165" s="2"/>
      <c r="R165" s="19">
        <f t="shared" si="19"/>
        <v>3.1239936022364944E-3</v>
      </c>
      <c r="S165" s="2"/>
      <c r="T165" s="2">
        <v>44346.44</v>
      </c>
      <c r="U165" s="2"/>
      <c r="V165" s="19">
        <f t="shared" si="20"/>
        <v>3.229081369630057E-3</v>
      </c>
      <c r="W165" s="2"/>
      <c r="X165" s="2">
        <f t="shared" si="21"/>
        <v>-2305.6000000000058</v>
      </c>
      <c r="Y165" s="2"/>
      <c r="Z165" s="19">
        <f t="shared" si="22"/>
        <v>-5.1990644570342193E-2</v>
      </c>
    </row>
    <row r="166" spans="1:26" s="24" customFormat="1" hidden="1" outlineLevel="1" x14ac:dyDescent="0.25">
      <c r="A166" s="44"/>
      <c r="B166" s="11" t="str">
        <f>CONCATENATE("          ", "5084", " - ", "PURCHASES @ COST-SOFTWARE LICE")</f>
        <v xml:space="preserve">          5084 - PURCHASES @ COST-SOFTWARE LICE</v>
      </c>
      <c r="C166" s="11"/>
      <c r="D166" s="2">
        <v>1206</v>
      </c>
      <c r="E166" s="2"/>
      <c r="F166" s="19">
        <f t="shared" si="15"/>
        <v>3.2389504949567556E-4</v>
      </c>
      <c r="G166" s="2"/>
      <c r="H166" s="2">
        <v>129</v>
      </c>
      <c r="I166" s="2"/>
      <c r="J166" s="19">
        <f t="shared" si="16"/>
        <v>3.4889044292685707E-5</v>
      </c>
      <c r="K166" s="2"/>
      <c r="L166" s="2">
        <f t="shared" si="17"/>
        <v>1077</v>
      </c>
      <c r="M166" s="2"/>
      <c r="N166" s="19">
        <f t="shared" si="18"/>
        <v>8.3488372093023262</v>
      </c>
      <c r="O166" s="11"/>
      <c r="P166" s="2">
        <v>2728</v>
      </c>
      <c r="Q166" s="2"/>
      <c r="R166" s="19">
        <f t="shared" si="19"/>
        <v>2.0271370759721163E-4</v>
      </c>
      <c r="S166" s="2"/>
      <c r="T166" s="2">
        <v>228</v>
      </c>
      <c r="U166" s="2"/>
      <c r="V166" s="19">
        <f t="shared" si="20"/>
        <v>1.6601796046664692E-5</v>
      </c>
      <c r="W166" s="2"/>
      <c r="X166" s="2">
        <f t="shared" si="21"/>
        <v>2500</v>
      </c>
      <c r="Y166" s="2"/>
      <c r="Z166" s="19">
        <f t="shared" si="22"/>
        <v>10.964912280701755</v>
      </c>
    </row>
    <row r="167" spans="1:26" s="24" customFormat="1" hidden="1" outlineLevel="1" x14ac:dyDescent="0.25">
      <c r="A167" s="44"/>
      <c r="B167" s="11" t="str">
        <f>CONCATENATE("          ", "5085", " - ", "PURCHASES @ COST-SOFTWARE")</f>
        <v xml:space="preserve">          5085 - PURCHASES @ COST-SOFTWARE</v>
      </c>
      <c r="C167" s="11"/>
      <c r="D167" s="2">
        <v>506.04</v>
      </c>
      <c r="E167" s="2"/>
      <c r="F167" s="19">
        <f t="shared" si="15"/>
        <v>1.3590700733564815E-4</v>
      </c>
      <c r="G167" s="2"/>
      <c r="H167" s="2">
        <v>1943.84</v>
      </c>
      <c r="I167" s="2"/>
      <c r="J167" s="19">
        <f t="shared" si="16"/>
        <v>5.2572651052631145E-4</v>
      </c>
      <c r="K167" s="2"/>
      <c r="L167" s="2">
        <f t="shared" si="17"/>
        <v>-1437.8</v>
      </c>
      <c r="M167" s="2"/>
      <c r="N167" s="19">
        <f t="shared" si="18"/>
        <v>-0.73966993168161987</v>
      </c>
      <c r="O167" s="11"/>
      <c r="P167" s="2">
        <v>6932.04</v>
      </c>
      <c r="Q167" s="2"/>
      <c r="R167" s="19">
        <f t="shared" si="19"/>
        <v>5.151097982449321E-4</v>
      </c>
      <c r="S167" s="2"/>
      <c r="T167" s="2">
        <v>6563.47</v>
      </c>
      <c r="U167" s="2"/>
      <c r="V167" s="19">
        <f t="shared" si="20"/>
        <v>4.7791837850176452E-4</v>
      </c>
      <c r="W167" s="2"/>
      <c r="X167" s="2">
        <f t="shared" si="21"/>
        <v>368.56999999999971</v>
      </c>
      <c r="Y167" s="2"/>
      <c r="Z167" s="19">
        <f t="shared" si="22"/>
        <v>5.6154747412572877E-2</v>
      </c>
    </row>
    <row r="168" spans="1:26" s="24" customFormat="1" hidden="1" outlineLevel="1" x14ac:dyDescent="0.25">
      <c r="A168" s="44"/>
      <c r="B168" s="11" t="str">
        <f>CONCATENATE("          ", "5086", " - ", "PURCHASES @ COST-COMPUTER SUPP")</f>
        <v xml:space="preserve">          5086 - PURCHASES @ COST-COMPUTER SUPP</v>
      </c>
      <c r="C168" s="11"/>
      <c r="D168" s="2">
        <v>5942.35</v>
      </c>
      <c r="E168" s="2"/>
      <c r="F168" s="19">
        <f t="shared" si="15"/>
        <v>1.5959351139059931E-3</v>
      </c>
      <c r="G168" s="2"/>
      <c r="H168" s="2">
        <v>3521.84</v>
      </c>
      <c r="I168" s="2"/>
      <c r="J168" s="19">
        <f t="shared" si="16"/>
        <v>9.5250877326939721E-4</v>
      </c>
      <c r="K168" s="2"/>
      <c r="L168" s="2">
        <f t="shared" si="17"/>
        <v>2420.5100000000002</v>
      </c>
      <c r="M168" s="2"/>
      <c r="N168" s="19">
        <f t="shared" si="18"/>
        <v>0.68728562342411925</v>
      </c>
      <c r="O168" s="11"/>
      <c r="P168" s="2">
        <v>18509.099999999999</v>
      </c>
      <c r="Q168" s="2"/>
      <c r="R168" s="19">
        <f t="shared" si="19"/>
        <v>1.3753842688004213E-3</v>
      </c>
      <c r="S168" s="2"/>
      <c r="T168" s="2">
        <v>17680.47</v>
      </c>
      <c r="U168" s="2"/>
      <c r="V168" s="19">
        <f t="shared" si="20"/>
        <v>1.2874015655665514E-3</v>
      </c>
      <c r="W168" s="2"/>
      <c r="X168" s="2">
        <f t="shared" si="21"/>
        <v>828.62999999999738</v>
      </c>
      <c r="Y168" s="2"/>
      <c r="Z168" s="19">
        <f t="shared" si="22"/>
        <v>4.6866966771810778E-2</v>
      </c>
    </row>
    <row r="169" spans="1:26" s="24" customFormat="1" hidden="1" outlineLevel="1" x14ac:dyDescent="0.25">
      <c r="A169" s="44"/>
      <c r="B169" s="11" t="str">
        <f>CONCATENATE("          ", "5088", " - ", "PURCHASES @ COST-MUSIC")</f>
        <v xml:space="preserve">          5088 - PURCHASES @ COST-MUSIC</v>
      </c>
      <c r="C169" s="11"/>
      <c r="D169" s="2"/>
      <c r="E169" s="2"/>
      <c r="F169" s="19">
        <f t="shared" si="15"/>
        <v>0</v>
      </c>
      <c r="G169" s="2"/>
      <c r="H169" s="2"/>
      <c r="I169" s="2"/>
      <c r="J169" s="19">
        <f t="shared" si="16"/>
        <v>0</v>
      </c>
      <c r="K169" s="2"/>
      <c r="L169" s="2">
        <f t="shared" si="17"/>
        <v>0</v>
      </c>
      <c r="M169" s="2"/>
      <c r="N169" s="19">
        <f t="shared" si="18"/>
        <v>0</v>
      </c>
      <c r="O169" s="11"/>
      <c r="P169" s="2">
        <v>88.75</v>
      </c>
      <c r="Q169" s="2"/>
      <c r="R169" s="19">
        <f t="shared" si="19"/>
        <v>6.5948832658550331E-6</v>
      </c>
      <c r="S169" s="2"/>
      <c r="T169" s="2">
        <v>0</v>
      </c>
      <c r="U169" s="2"/>
      <c r="V169" s="19">
        <f t="shared" si="20"/>
        <v>0</v>
      </c>
      <c r="W169" s="2"/>
      <c r="X169" s="2">
        <f t="shared" si="21"/>
        <v>88.75</v>
      </c>
      <c r="Y169" s="2"/>
      <c r="Z169" s="19">
        <f t="shared" si="22"/>
        <v>0</v>
      </c>
    </row>
    <row r="170" spans="1:26" s="24" customFormat="1" hidden="1" outlineLevel="1" x14ac:dyDescent="0.25">
      <c r="A170" s="44"/>
      <c r="B170" s="11" t="str">
        <f>CONCATENATE("          ", "5092", " - ", "PURCHASES @ COST-GRAD MERCH")</f>
        <v xml:space="preserve">          5092 - PURCHASES @ COST-GRAD MERCH</v>
      </c>
      <c r="C170" s="11"/>
      <c r="D170" s="2">
        <v>1296.1400000000001</v>
      </c>
      <c r="E170" s="2"/>
      <c r="F170" s="19">
        <f t="shared" si="15"/>
        <v>3.4810392160308865E-4</v>
      </c>
      <c r="G170" s="2"/>
      <c r="H170" s="2">
        <v>572.4</v>
      </c>
      <c r="I170" s="2"/>
      <c r="J170" s="19">
        <f t="shared" si="16"/>
        <v>1.5480999188475424E-4</v>
      </c>
      <c r="K170" s="2"/>
      <c r="L170" s="2">
        <f t="shared" si="17"/>
        <v>723.74000000000012</v>
      </c>
      <c r="M170" s="2"/>
      <c r="N170" s="19">
        <f t="shared" si="18"/>
        <v>1.2643955276030749</v>
      </c>
      <c r="O170" s="11"/>
      <c r="P170" s="2">
        <v>1296.1400000000001</v>
      </c>
      <c r="Q170" s="2"/>
      <c r="R170" s="19">
        <f t="shared" si="19"/>
        <v>9.6314276013581335E-5</v>
      </c>
      <c r="S170" s="2"/>
      <c r="T170" s="2">
        <v>-2698.04</v>
      </c>
      <c r="U170" s="2"/>
      <c r="V170" s="19">
        <f t="shared" si="20"/>
        <v>-1.9645749914799652E-4</v>
      </c>
      <c r="W170" s="2"/>
      <c r="X170" s="2">
        <f t="shared" si="21"/>
        <v>3994.1800000000003</v>
      </c>
      <c r="Y170" s="2"/>
      <c r="Z170" s="19">
        <f t="shared" si="22"/>
        <v>-1.4804005870928527</v>
      </c>
    </row>
    <row r="171" spans="1:26" s="24" customFormat="1" hidden="1" outlineLevel="1" x14ac:dyDescent="0.25">
      <c r="A171" s="44"/>
      <c r="B171" s="11" t="str">
        <f>CONCATENATE("          ", "5095", " - ", "PURCHASES @ COST-CUSTOMER SERV")</f>
        <v xml:space="preserve">          5095 - PURCHASES @ COST-CUSTOMER SERV</v>
      </c>
      <c r="C171" s="11"/>
      <c r="D171" s="2"/>
      <c r="E171" s="2"/>
      <c r="F171" s="19">
        <f t="shared" si="15"/>
        <v>0</v>
      </c>
      <c r="G171" s="2"/>
      <c r="H171" s="2">
        <v>0</v>
      </c>
      <c r="I171" s="2"/>
      <c r="J171" s="19">
        <f t="shared" si="16"/>
        <v>0</v>
      </c>
      <c r="K171" s="2"/>
      <c r="L171" s="2">
        <f t="shared" si="17"/>
        <v>0</v>
      </c>
      <c r="M171" s="2"/>
      <c r="N171" s="19">
        <f t="shared" si="18"/>
        <v>0</v>
      </c>
      <c r="O171" s="11"/>
      <c r="P171" s="2">
        <v>0</v>
      </c>
      <c r="Q171" s="2"/>
      <c r="R171" s="19">
        <f t="shared" si="19"/>
        <v>0</v>
      </c>
      <c r="S171" s="2"/>
      <c r="T171" s="2">
        <v>0</v>
      </c>
      <c r="U171" s="2"/>
      <c r="V171" s="19">
        <f t="shared" si="20"/>
        <v>0</v>
      </c>
      <c r="W171" s="2"/>
      <c r="X171" s="2">
        <f t="shared" si="21"/>
        <v>0</v>
      </c>
      <c r="Y171" s="2"/>
      <c r="Z171" s="19">
        <f t="shared" si="22"/>
        <v>0</v>
      </c>
    </row>
    <row r="172" spans="1:26" s="24" customFormat="1" hidden="1" outlineLevel="1" x14ac:dyDescent="0.25">
      <c r="A172" s="44"/>
      <c r="B172" s="11" t="str">
        <f>CONCATENATE("          ", "5200", " - ", "PURCHASES OFFSET")</f>
        <v xml:space="preserve">          5200 - PURCHASES OFFSET</v>
      </c>
      <c r="C172" s="11"/>
      <c r="D172" s="2">
        <v>-237338.99999999997</v>
      </c>
      <c r="E172" s="2"/>
      <c r="F172" s="19">
        <f t="shared" si="15"/>
        <v>-6.3742062315301926E-2</v>
      </c>
      <c r="G172" s="2"/>
      <c r="H172" s="2">
        <v>-114031</v>
      </c>
      <c r="I172" s="2"/>
      <c r="J172" s="19">
        <f t="shared" si="16"/>
        <v>-3.084056286619569E-2</v>
      </c>
      <c r="K172" s="2"/>
      <c r="L172" s="2">
        <f t="shared" si="17"/>
        <v>-123307.99999999997</v>
      </c>
      <c r="M172" s="2"/>
      <c r="N172" s="19">
        <f t="shared" si="18"/>
        <v>1.081355070112513</v>
      </c>
      <c r="O172" s="11"/>
      <c r="P172" s="2">
        <v>-3872821</v>
      </c>
      <c r="Q172" s="2"/>
      <c r="R172" s="19">
        <f t="shared" si="19"/>
        <v>-0.28778368906537416</v>
      </c>
      <c r="S172" s="2"/>
      <c r="T172" s="2">
        <v>-3311705</v>
      </c>
      <c r="U172" s="2"/>
      <c r="V172" s="19">
        <f t="shared" si="20"/>
        <v>-0.24114145165227935</v>
      </c>
      <c r="W172" s="2"/>
      <c r="X172" s="2">
        <f t="shared" si="21"/>
        <v>-561116</v>
      </c>
      <c r="Y172" s="2"/>
      <c r="Z172" s="19">
        <f t="shared" si="22"/>
        <v>0.16943417363563482</v>
      </c>
    </row>
    <row r="173" spans="1:26" s="24" customFormat="1" hidden="1" outlineLevel="1" x14ac:dyDescent="0.25">
      <c r="A173" s="44"/>
      <c r="B173" s="11" t="str">
        <f>CONCATENATE("          ", "5300", " - ", "COG$ OFFSET")</f>
        <v xml:space="preserve">          5300 - COG$ OFFSET</v>
      </c>
      <c r="C173" s="11"/>
      <c r="D173" s="2">
        <v>328565</v>
      </c>
      <c r="E173" s="2"/>
      <c r="F173" s="19">
        <f t="shared" si="15"/>
        <v>8.8242601109076807E-2</v>
      </c>
      <c r="G173" s="2"/>
      <c r="H173" s="2">
        <v>354227</v>
      </c>
      <c r="I173" s="2"/>
      <c r="J173" s="19">
        <f t="shared" si="16"/>
        <v>9.5803422423761081E-2</v>
      </c>
      <c r="K173" s="2"/>
      <c r="L173" s="2">
        <f t="shared" si="17"/>
        <v>-25662</v>
      </c>
      <c r="M173" s="2"/>
      <c r="N173" s="19">
        <f t="shared" si="18"/>
        <v>-7.2445070533866701E-2</v>
      </c>
      <c r="O173" s="11"/>
      <c r="P173" s="2">
        <v>3332472</v>
      </c>
      <c r="Q173" s="2"/>
      <c r="R173" s="19">
        <f t="shared" si="19"/>
        <v>0.24763114170963893</v>
      </c>
      <c r="S173" s="2"/>
      <c r="T173" s="2">
        <v>3376577</v>
      </c>
      <c r="U173" s="2"/>
      <c r="V173" s="19">
        <f t="shared" si="20"/>
        <v>0.24586509951692512</v>
      </c>
      <c r="W173" s="2"/>
      <c r="X173" s="2">
        <f t="shared" si="21"/>
        <v>-44105</v>
      </c>
      <c r="Y173" s="2"/>
      <c r="Z173" s="19">
        <f t="shared" si="22"/>
        <v>-1.3062044786776668E-2</v>
      </c>
    </row>
    <row r="174" spans="1:26" s="24" customFormat="1" hidden="1" outlineLevel="1" x14ac:dyDescent="0.25">
      <c r="A174" s="44"/>
      <c r="B174" s="11" t="str">
        <f>CONCATENATE("          ", "5500", " - ", "FREIGHT-IN")</f>
        <v xml:space="preserve">          5500 - FREIGHT-IN</v>
      </c>
      <c r="C174" s="11"/>
      <c r="D174" s="2">
        <v>35.229999999999997</v>
      </c>
      <c r="E174" s="2"/>
      <c r="F174" s="19">
        <f t="shared" si="15"/>
        <v>9.4617102767269059E-6</v>
      </c>
      <c r="G174" s="2"/>
      <c r="H174" s="2">
        <v>-317.36</v>
      </c>
      <c r="I174" s="2"/>
      <c r="J174" s="19">
        <f t="shared" si="16"/>
        <v>-8.5832458114160743E-5</v>
      </c>
      <c r="K174" s="2"/>
      <c r="L174" s="2">
        <f t="shared" si="17"/>
        <v>352.59000000000003</v>
      </c>
      <c r="M174" s="2"/>
      <c r="N174" s="19">
        <f t="shared" si="18"/>
        <v>-1.1110095790269725</v>
      </c>
      <c r="O174" s="11"/>
      <c r="P174" s="2">
        <v>35.229999999999997</v>
      </c>
      <c r="Q174" s="2"/>
      <c r="R174" s="19">
        <f t="shared" si="19"/>
        <v>2.6178899995050457E-6</v>
      </c>
      <c r="S174" s="2"/>
      <c r="T174" s="2">
        <v>0</v>
      </c>
      <c r="U174" s="2"/>
      <c r="V174" s="19">
        <f t="shared" si="20"/>
        <v>0</v>
      </c>
      <c r="W174" s="2"/>
      <c r="X174" s="2">
        <f t="shared" si="21"/>
        <v>35.229999999999997</v>
      </c>
      <c r="Y174" s="2"/>
      <c r="Z174" s="19">
        <f t="shared" si="22"/>
        <v>0</v>
      </c>
    </row>
    <row r="175" spans="1:26" s="24" customFormat="1" hidden="1" outlineLevel="1" x14ac:dyDescent="0.25">
      <c r="A175" s="44"/>
      <c r="B175" s="11" t="str">
        <f>CONCATENATE("          ", "5501", " - ", "FREIGHT-IN-NEW TEXT")</f>
        <v xml:space="preserve">          5501 - FREIGHT-IN-NEW TEXT</v>
      </c>
      <c r="C175" s="11"/>
      <c r="D175" s="2">
        <v>7434.02</v>
      </c>
      <c r="E175" s="2"/>
      <c r="F175" s="19">
        <f t="shared" si="15"/>
        <v>1.9965524675388409E-3</v>
      </c>
      <c r="G175" s="2"/>
      <c r="H175" s="2">
        <v>9955.06</v>
      </c>
      <c r="I175" s="2"/>
      <c r="J175" s="19">
        <f t="shared" si="16"/>
        <v>2.6924227075685561E-3</v>
      </c>
      <c r="K175" s="2"/>
      <c r="L175" s="2">
        <f t="shared" si="17"/>
        <v>-2521.0399999999991</v>
      </c>
      <c r="M175" s="2"/>
      <c r="N175" s="19">
        <f t="shared" si="18"/>
        <v>-0.25324206986195957</v>
      </c>
      <c r="O175" s="11"/>
      <c r="P175" s="2">
        <v>34017.480000000003</v>
      </c>
      <c r="Q175" s="2"/>
      <c r="R175" s="19">
        <f t="shared" si="19"/>
        <v>2.5277894039274175E-3</v>
      </c>
      <c r="S175" s="2"/>
      <c r="T175" s="2">
        <v>36210.86</v>
      </c>
      <c r="U175" s="2"/>
      <c r="V175" s="19">
        <f t="shared" si="20"/>
        <v>2.636689966641792E-3</v>
      </c>
      <c r="W175" s="2"/>
      <c r="X175" s="2">
        <f t="shared" si="21"/>
        <v>-2193.3799999999974</v>
      </c>
      <c r="Y175" s="2"/>
      <c r="Z175" s="19">
        <f t="shared" si="22"/>
        <v>-6.0572436004005352E-2</v>
      </c>
    </row>
    <row r="176" spans="1:26" s="24" customFormat="1" hidden="1" outlineLevel="1" x14ac:dyDescent="0.25">
      <c r="A176" s="44"/>
      <c r="B176" s="11" t="str">
        <f>CONCATENATE("          ", "5502", " - ", "FREIGHT-IN-USED TEXT")</f>
        <v xml:space="preserve">          5502 - FREIGHT-IN-USED TEXT</v>
      </c>
      <c r="C176" s="11"/>
      <c r="D176" s="2">
        <v>591.29999999999995</v>
      </c>
      <c r="E176" s="2"/>
      <c r="F176" s="19">
        <f t="shared" si="15"/>
        <v>1.5880525934228271E-4</v>
      </c>
      <c r="G176" s="2"/>
      <c r="H176" s="2">
        <v>1475.4</v>
      </c>
      <c r="I176" s="2"/>
      <c r="J176" s="19">
        <f t="shared" si="16"/>
        <v>3.9903330193355425E-4</v>
      </c>
      <c r="K176" s="2"/>
      <c r="L176" s="2">
        <f t="shared" si="17"/>
        <v>-884.10000000000014</v>
      </c>
      <c r="M176" s="2"/>
      <c r="N176" s="19">
        <f t="shared" si="18"/>
        <v>-0.59922732818218793</v>
      </c>
      <c r="O176" s="11"/>
      <c r="P176" s="2">
        <v>6852.47</v>
      </c>
      <c r="Q176" s="2"/>
      <c r="R176" s="19">
        <f t="shared" si="19"/>
        <v>5.0919706741153401E-4</v>
      </c>
      <c r="S176" s="2"/>
      <c r="T176" s="2">
        <v>7732.55</v>
      </c>
      <c r="U176" s="2"/>
      <c r="V176" s="19">
        <f t="shared" si="20"/>
        <v>5.6304481587998712E-4</v>
      </c>
      <c r="W176" s="2"/>
      <c r="X176" s="2">
        <f t="shared" si="21"/>
        <v>-880.07999999999993</v>
      </c>
      <c r="Y176" s="2"/>
      <c r="Z176" s="19">
        <f t="shared" si="22"/>
        <v>-0.11381497694809602</v>
      </c>
    </row>
    <row r="177" spans="1:26" s="24" customFormat="1" hidden="1" outlineLevel="1" x14ac:dyDescent="0.25">
      <c r="A177" s="44"/>
      <c r="B177" s="11" t="str">
        <f>CONCATENATE("          ", "5504", " - ", "FREIGHT-IN-DIGITAL TEXT")</f>
        <v xml:space="preserve">          5504 - FREIGHT-IN-DIGITAL TEXT</v>
      </c>
      <c r="C177" s="11"/>
      <c r="D177" s="2">
        <v>93.94</v>
      </c>
      <c r="E177" s="2"/>
      <c r="F177" s="19">
        <f t="shared" si="15"/>
        <v>2.5229436939986534E-5</v>
      </c>
      <c r="G177" s="2"/>
      <c r="H177" s="2"/>
      <c r="I177" s="2"/>
      <c r="J177" s="19">
        <f t="shared" si="16"/>
        <v>0</v>
      </c>
      <c r="K177" s="2"/>
      <c r="L177" s="2">
        <f t="shared" si="17"/>
        <v>93.94</v>
      </c>
      <c r="M177" s="2"/>
      <c r="N177" s="19">
        <f t="shared" si="18"/>
        <v>0</v>
      </c>
      <c r="O177" s="11"/>
      <c r="P177" s="2">
        <v>100.97</v>
      </c>
      <c r="Q177" s="2"/>
      <c r="R177" s="19">
        <f t="shared" si="19"/>
        <v>7.502933671587411E-6</v>
      </c>
      <c r="S177" s="2"/>
      <c r="T177" s="2">
        <v>166.22</v>
      </c>
      <c r="U177" s="2"/>
      <c r="V177" s="19">
        <f t="shared" si="20"/>
        <v>1.2103291837178092E-5</v>
      </c>
      <c r="W177" s="2"/>
      <c r="X177" s="2">
        <f t="shared" si="21"/>
        <v>-65.25</v>
      </c>
      <c r="Y177" s="2"/>
      <c r="Z177" s="19">
        <f t="shared" si="22"/>
        <v>-0.39255203946576828</v>
      </c>
    </row>
    <row r="178" spans="1:26" s="24" customFormat="1" hidden="1" outlineLevel="1" x14ac:dyDescent="0.25">
      <c r="A178" s="44"/>
      <c r="B178" s="11" t="str">
        <f>CONCATENATE("          ", "5513", " - ", "FREIGHT-IN-TRADE BOOKS")</f>
        <v xml:space="preserve">          5513 - FREIGHT-IN-TRADE BOOKS</v>
      </c>
      <c r="C178" s="11"/>
      <c r="D178" s="2"/>
      <c r="E178" s="2"/>
      <c r="F178" s="19">
        <f t="shared" si="15"/>
        <v>0</v>
      </c>
      <c r="G178" s="2"/>
      <c r="H178" s="2"/>
      <c r="I178" s="2"/>
      <c r="J178" s="19">
        <f t="shared" si="16"/>
        <v>0</v>
      </c>
      <c r="K178" s="2"/>
      <c r="L178" s="2">
        <f t="shared" si="17"/>
        <v>0</v>
      </c>
      <c r="M178" s="2"/>
      <c r="N178" s="19">
        <f t="shared" si="18"/>
        <v>0</v>
      </c>
      <c r="O178" s="11"/>
      <c r="P178" s="2"/>
      <c r="Q178" s="2"/>
      <c r="R178" s="19">
        <f t="shared" si="19"/>
        <v>0</v>
      </c>
      <c r="S178" s="2"/>
      <c r="T178" s="2">
        <v>12.22</v>
      </c>
      <c r="U178" s="2"/>
      <c r="V178" s="19">
        <f t="shared" si="20"/>
        <v>8.8979801618527431E-7</v>
      </c>
      <c r="W178" s="2"/>
      <c r="X178" s="2">
        <f t="shared" si="21"/>
        <v>-12.22</v>
      </c>
      <c r="Y178" s="2"/>
      <c r="Z178" s="19">
        <f t="shared" si="22"/>
        <v>-1</v>
      </c>
    </row>
    <row r="179" spans="1:26" s="24" customFormat="1" hidden="1" outlineLevel="1" x14ac:dyDescent="0.25">
      <c r="A179" s="44"/>
      <c r="B179" s="11" t="str">
        <f>CONCATENATE("          ", "5525", " - ", "FREIGHT-IN-TEST FORMS")</f>
        <v xml:space="preserve">          5525 - FREIGHT-IN-TEST FORMS</v>
      </c>
      <c r="C179" s="11"/>
      <c r="D179" s="2">
        <v>39.22</v>
      </c>
      <c r="E179" s="2"/>
      <c r="F179" s="19">
        <f t="shared" si="15"/>
        <v>1.0533303350929017E-5</v>
      </c>
      <c r="G179" s="2"/>
      <c r="H179" s="2">
        <v>50.92</v>
      </c>
      <c r="I179" s="2"/>
      <c r="J179" s="19">
        <f t="shared" si="16"/>
        <v>1.3771706475841521E-5</v>
      </c>
      <c r="K179" s="2"/>
      <c r="L179" s="2">
        <f t="shared" si="17"/>
        <v>-11.700000000000003</v>
      </c>
      <c r="M179" s="2"/>
      <c r="N179" s="19">
        <f t="shared" si="18"/>
        <v>-0.22977219167321294</v>
      </c>
      <c r="O179" s="11"/>
      <c r="P179" s="2">
        <v>39.22</v>
      </c>
      <c r="Q179" s="2"/>
      <c r="R179" s="19">
        <f t="shared" si="19"/>
        <v>2.9143810894291199E-6</v>
      </c>
      <c r="S179" s="2"/>
      <c r="T179" s="2">
        <v>50.92</v>
      </c>
      <c r="U179" s="2"/>
      <c r="V179" s="19">
        <f t="shared" si="20"/>
        <v>3.7077344504217812E-6</v>
      </c>
      <c r="W179" s="2"/>
      <c r="X179" s="2">
        <f t="shared" si="21"/>
        <v>-11.700000000000003</v>
      </c>
      <c r="Y179" s="2"/>
      <c r="Z179" s="19">
        <f t="shared" si="22"/>
        <v>-0.22977219167321294</v>
      </c>
    </row>
    <row r="180" spans="1:26" s="24" customFormat="1" hidden="1" outlineLevel="1" x14ac:dyDescent="0.25">
      <c r="A180" s="44"/>
      <c r="B180" s="11" t="str">
        <f>CONCATENATE("          ", "5526", " - ", "FREIGHT-IN-WRITING INSTRUMENTS")</f>
        <v xml:space="preserve">          5526 - FREIGHT-IN-WRITING INSTRUMENTS</v>
      </c>
      <c r="C180" s="11"/>
      <c r="D180" s="2"/>
      <c r="E180" s="2"/>
      <c r="F180" s="19">
        <f t="shared" si="15"/>
        <v>0</v>
      </c>
      <c r="G180" s="2"/>
      <c r="H180" s="2">
        <v>23.74</v>
      </c>
      <c r="I180" s="2"/>
      <c r="J180" s="19">
        <f t="shared" si="16"/>
        <v>6.4206659806849507E-6</v>
      </c>
      <c r="K180" s="2"/>
      <c r="L180" s="2">
        <f t="shared" si="17"/>
        <v>-23.74</v>
      </c>
      <c r="M180" s="2"/>
      <c r="N180" s="19">
        <f t="shared" si="18"/>
        <v>-1</v>
      </c>
      <c r="O180" s="11"/>
      <c r="P180" s="2">
        <v>56.57</v>
      </c>
      <c r="Q180" s="2"/>
      <c r="R180" s="19">
        <f t="shared" si="19"/>
        <v>4.2036343250638788E-6</v>
      </c>
      <c r="S180" s="2"/>
      <c r="T180" s="2">
        <v>66.48</v>
      </c>
      <c r="U180" s="2"/>
      <c r="V180" s="19">
        <f t="shared" si="20"/>
        <v>4.8407342157117053E-6</v>
      </c>
      <c r="W180" s="2"/>
      <c r="X180" s="2">
        <f t="shared" si="21"/>
        <v>-9.9100000000000037</v>
      </c>
      <c r="Y180" s="2"/>
      <c r="Z180" s="19">
        <f t="shared" si="22"/>
        <v>-0.14906738868832736</v>
      </c>
    </row>
    <row r="181" spans="1:26" s="24" customFormat="1" hidden="1" outlineLevel="1" x14ac:dyDescent="0.25">
      <c r="A181" s="44"/>
      <c r="B181" s="11" t="str">
        <f>CONCATENATE("          ", "5527", " - ", "FREIGHT-IN-SCHOOL SUPPLIES")</f>
        <v xml:space="preserve">          5527 - FREIGHT-IN-SCHOOL SUPPLIES</v>
      </c>
      <c r="C181" s="11"/>
      <c r="D181" s="2">
        <v>344.59</v>
      </c>
      <c r="E181" s="2"/>
      <c r="F181" s="19">
        <f t="shared" si="15"/>
        <v>9.2546430435916108E-5</v>
      </c>
      <c r="G181" s="2"/>
      <c r="H181" s="2">
        <v>207.6</v>
      </c>
      <c r="I181" s="2"/>
      <c r="J181" s="19">
        <f t="shared" si="16"/>
        <v>5.6147020117531416E-5</v>
      </c>
      <c r="K181" s="2"/>
      <c r="L181" s="2">
        <f t="shared" si="17"/>
        <v>136.98999999999998</v>
      </c>
      <c r="M181" s="2"/>
      <c r="N181" s="19">
        <f t="shared" si="18"/>
        <v>0.65987475915221572</v>
      </c>
      <c r="O181" s="11"/>
      <c r="P181" s="2">
        <v>738.49</v>
      </c>
      <c r="Q181" s="2"/>
      <c r="R181" s="19">
        <f t="shared" si="19"/>
        <v>5.4876116540859531E-5</v>
      </c>
      <c r="S181" s="2"/>
      <c r="T181" s="2">
        <v>932.7</v>
      </c>
      <c r="U181" s="2"/>
      <c r="V181" s="19">
        <f t="shared" si="20"/>
        <v>6.7914452511948066E-5</v>
      </c>
      <c r="W181" s="2"/>
      <c r="X181" s="2">
        <f t="shared" si="21"/>
        <v>-194.21000000000004</v>
      </c>
      <c r="Y181" s="2"/>
      <c r="Z181" s="19">
        <f t="shared" si="22"/>
        <v>-0.20822343733247564</v>
      </c>
    </row>
    <row r="182" spans="1:26" s="24" customFormat="1" hidden="1" outlineLevel="1" x14ac:dyDescent="0.25">
      <c r="A182" s="44"/>
      <c r="B182" s="11" t="str">
        <f>CONCATENATE("          ", "5528", " - ", "FREIGHT-IN-ART/TECH")</f>
        <v xml:space="preserve">          5528 - FREIGHT-IN-ART/TECH</v>
      </c>
      <c r="C182" s="11"/>
      <c r="D182" s="2">
        <v>185.67</v>
      </c>
      <c r="E182" s="2"/>
      <c r="F182" s="19">
        <f t="shared" si="15"/>
        <v>4.9865334858923777E-5</v>
      </c>
      <c r="G182" s="2"/>
      <c r="H182" s="2">
        <v>546.16999999999996</v>
      </c>
      <c r="I182" s="2"/>
      <c r="J182" s="19">
        <f t="shared" si="16"/>
        <v>1.4771588621190814E-4</v>
      </c>
      <c r="K182" s="2"/>
      <c r="L182" s="2">
        <f t="shared" si="17"/>
        <v>-360.5</v>
      </c>
      <c r="M182" s="2"/>
      <c r="N182" s="19">
        <f t="shared" si="18"/>
        <v>-0.66005089990296062</v>
      </c>
      <c r="O182" s="11"/>
      <c r="P182" s="2">
        <v>818.44</v>
      </c>
      <c r="Q182" s="2"/>
      <c r="R182" s="19">
        <f t="shared" si="19"/>
        <v>6.0817084620917116E-5</v>
      </c>
      <c r="S182" s="2"/>
      <c r="T182" s="2">
        <v>1103.95</v>
      </c>
      <c r="U182" s="2"/>
      <c r="V182" s="19">
        <f t="shared" si="20"/>
        <v>8.0384003270681965E-5</v>
      </c>
      <c r="W182" s="2"/>
      <c r="X182" s="2">
        <f t="shared" si="21"/>
        <v>-285.51</v>
      </c>
      <c r="Y182" s="2"/>
      <c r="Z182" s="19">
        <f t="shared" si="22"/>
        <v>-0.2586258435617555</v>
      </c>
    </row>
    <row r="183" spans="1:26" s="24" customFormat="1" hidden="1" outlineLevel="1" x14ac:dyDescent="0.25">
      <c r="A183" s="44"/>
      <c r="B183" s="11" t="str">
        <f>CONCATENATE("          ", "5540", " - ", "FREIGHT-IN-LOGO CLOTHING")</f>
        <v xml:space="preserve">          5540 - FREIGHT-IN-LOGO CLOTHING</v>
      </c>
      <c r="C183" s="11"/>
      <c r="D183" s="2">
        <v>9102.58</v>
      </c>
      <c r="E183" s="2"/>
      <c r="F183" s="19">
        <f t="shared" si="15"/>
        <v>2.4446771141279819E-3</v>
      </c>
      <c r="G183" s="2"/>
      <c r="H183" s="2">
        <v>4650.07</v>
      </c>
      <c r="I183" s="2"/>
      <c r="J183" s="19">
        <f t="shared" si="16"/>
        <v>1.2576472728223955E-3</v>
      </c>
      <c r="K183" s="2"/>
      <c r="L183" s="2">
        <f t="shared" si="17"/>
        <v>4452.51</v>
      </c>
      <c r="M183" s="2"/>
      <c r="N183" s="19">
        <f t="shared" si="18"/>
        <v>0.95751461805951321</v>
      </c>
      <c r="O183" s="11"/>
      <c r="P183" s="2">
        <v>14107.44</v>
      </c>
      <c r="Q183" s="2"/>
      <c r="R183" s="19">
        <f t="shared" si="19"/>
        <v>1.0483033237189176E-3</v>
      </c>
      <c r="S183" s="2"/>
      <c r="T183" s="2">
        <v>10343.31</v>
      </c>
      <c r="U183" s="2"/>
      <c r="V183" s="19">
        <f t="shared" si="20"/>
        <v>7.5314703099748845E-4</v>
      </c>
      <c r="W183" s="2"/>
      <c r="X183" s="2">
        <f t="shared" si="21"/>
        <v>3764.130000000001</v>
      </c>
      <c r="Y183" s="2"/>
      <c r="Z183" s="19">
        <f t="shared" si="22"/>
        <v>0.36391928695939707</v>
      </c>
    </row>
    <row r="184" spans="1:26" s="24" customFormat="1" hidden="1" outlineLevel="1" x14ac:dyDescent="0.25">
      <c r="A184" s="44"/>
      <c r="B184" s="11" t="str">
        <f>CONCATENATE("          ", "5541", " - ", "FREIGHT-IN-LOGO GIFTS")</f>
        <v xml:space="preserve">          5541 - FREIGHT-IN-LOGO GIFTS</v>
      </c>
      <c r="C184" s="11"/>
      <c r="D184" s="2">
        <v>718.84</v>
      </c>
      <c r="E184" s="2"/>
      <c r="F184" s="19">
        <f t="shared" si="15"/>
        <v>1.9305863795976072E-4</v>
      </c>
      <c r="G184" s="2"/>
      <c r="H184" s="2">
        <v>953.44</v>
      </c>
      <c r="I184" s="2"/>
      <c r="J184" s="19">
        <f t="shared" si="16"/>
        <v>2.5786519682494775E-4</v>
      </c>
      <c r="K184" s="2"/>
      <c r="L184" s="2">
        <f t="shared" si="17"/>
        <v>-234.60000000000002</v>
      </c>
      <c r="M184" s="2"/>
      <c r="N184" s="19">
        <f t="shared" si="18"/>
        <v>-0.2460563852995469</v>
      </c>
      <c r="O184" s="11"/>
      <c r="P184" s="2">
        <v>1536.85</v>
      </c>
      <c r="Q184" s="2"/>
      <c r="R184" s="19">
        <f t="shared" si="19"/>
        <v>1.1420108560145698E-4</v>
      </c>
      <c r="S184" s="2"/>
      <c r="T184" s="2">
        <v>3124.56</v>
      </c>
      <c r="U184" s="2"/>
      <c r="V184" s="19">
        <f t="shared" si="20"/>
        <v>2.2751450813845013E-4</v>
      </c>
      <c r="W184" s="2"/>
      <c r="X184" s="2">
        <f t="shared" si="21"/>
        <v>-1587.71</v>
      </c>
      <c r="Y184" s="2"/>
      <c r="Z184" s="19">
        <f t="shared" si="22"/>
        <v>-0.50813874593542774</v>
      </c>
    </row>
    <row r="185" spans="1:26" s="24" customFormat="1" hidden="1" outlineLevel="1" x14ac:dyDescent="0.25">
      <c r="A185" s="44"/>
      <c r="B185" s="11" t="str">
        <f>CONCATENATE("          ", "5542", " - ", "FREIGHT-IN-EVERYDAY GIFTS")</f>
        <v xml:space="preserve">          5542 - FREIGHT-IN-EVERYDAY GIFTS</v>
      </c>
      <c r="C185" s="11"/>
      <c r="D185" s="2">
        <v>596.04999999999995</v>
      </c>
      <c r="E185" s="2"/>
      <c r="F185" s="19">
        <f t="shared" si="15"/>
        <v>1.600809653829995E-4</v>
      </c>
      <c r="G185" s="2"/>
      <c r="H185" s="2">
        <v>315.79000000000002</v>
      </c>
      <c r="I185" s="2"/>
      <c r="J185" s="19">
        <f t="shared" si="16"/>
        <v>8.5407839513079229E-5</v>
      </c>
      <c r="K185" s="2"/>
      <c r="L185" s="2">
        <f t="shared" si="17"/>
        <v>280.25999999999993</v>
      </c>
      <c r="M185" s="2"/>
      <c r="N185" s="19">
        <f t="shared" si="18"/>
        <v>0.88748852085246499</v>
      </c>
      <c r="O185" s="11"/>
      <c r="P185" s="2">
        <v>767.73</v>
      </c>
      <c r="Q185" s="2"/>
      <c r="R185" s="19">
        <f t="shared" si="19"/>
        <v>5.7048898362759264E-5</v>
      </c>
      <c r="S185" s="2"/>
      <c r="T185" s="2">
        <v>793.32</v>
      </c>
      <c r="U185" s="2"/>
      <c r="V185" s="19">
        <f t="shared" si="20"/>
        <v>5.7765512455000147E-5</v>
      </c>
      <c r="W185" s="2"/>
      <c r="X185" s="2">
        <f t="shared" si="21"/>
        <v>-25.590000000000032</v>
      </c>
      <c r="Y185" s="2"/>
      <c r="Z185" s="19">
        <f t="shared" si="22"/>
        <v>-3.2256844652851349E-2</v>
      </c>
    </row>
    <row r="186" spans="1:26" s="24" customFormat="1" hidden="1" outlineLevel="1" x14ac:dyDescent="0.25">
      <c r="A186" s="44"/>
      <c r="B186" s="11" t="str">
        <f>CONCATENATE("          ", "5543", " - ", "FREIGHT-IN-CARDS")</f>
        <v xml:space="preserve">          5543 - FREIGHT-IN-CARDS</v>
      </c>
      <c r="C186" s="11"/>
      <c r="D186" s="2"/>
      <c r="E186" s="2"/>
      <c r="F186" s="19">
        <f t="shared" si="15"/>
        <v>0</v>
      </c>
      <c r="G186" s="2"/>
      <c r="H186" s="2"/>
      <c r="I186" s="2"/>
      <c r="J186" s="19">
        <f t="shared" si="16"/>
        <v>0</v>
      </c>
      <c r="K186" s="2"/>
      <c r="L186" s="2">
        <f t="shared" si="17"/>
        <v>0</v>
      </c>
      <c r="M186" s="2"/>
      <c r="N186" s="19">
        <f t="shared" si="18"/>
        <v>0</v>
      </c>
      <c r="O186" s="11"/>
      <c r="P186" s="2">
        <v>4.58</v>
      </c>
      <c r="Q186" s="2"/>
      <c r="R186" s="19">
        <f t="shared" si="19"/>
        <v>3.4033313079004002E-7</v>
      </c>
      <c r="S186" s="2"/>
      <c r="T186" s="2"/>
      <c r="U186" s="2"/>
      <c r="V186" s="19">
        <f t="shared" si="20"/>
        <v>0</v>
      </c>
      <c r="W186" s="2"/>
      <c r="X186" s="2">
        <f t="shared" si="21"/>
        <v>4.58</v>
      </c>
      <c r="Y186" s="2"/>
      <c r="Z186" s="19">
        <f t="shared" si="22"/>
        <v>0</v>
      </c>
    </row>
    <row r="187" spans="1:26" s="24" customFormat="1" hidden="1" outlineLevel="1" x14ac:dyDescent="0.25">
      <c r="A187" s="44"/>
      <c r="B187" s="11" t="str">
        <f>CONCATENATE("          ", "5544", " - ", "FREIGHT-IN-ACCESSORIES")</f>
        <v xml:space="preserve">          5544 - FREIGHT-IN-ACCESSORIES</v>
      </c>
      <c r="C187" s="11"/>
      <c r="D187" s="2">
        <v>223.25</v>
      </c>
      <c r="E187" s="2"/>
      <c r="F187" s="19">
        <f t="shared" si="15"/>
        <v>5.9958183913689526E-5</v>
      </c>
      <c r="G187" s="2"/>
      <c r="H187" s="2">
        <v>107.33</v>
      </c>
      <c r="I187" s="2"/>
      <c r="J187" s="19">
        <f t="shared" si="16"/>
        <v>2.9028225766929898E-5</v>
      </c>
      <c r="K187" s="2"/>
      <c r="L187" s="2">
        <f t="shared" si="17"/>
        <v>115.92</v>
      </c>
      <c r="M187" s="2"/>
      <c r="N187" s="19">
        <f t="shared" si="18"/>
        <v>1.0800335414143296</v>
      </c>
      <c r="O187" s="11"/>
      <c r="P187" s="2">
        <v>359.09</v>
      </c>
      <c r="Q187" s="2"/>
      <c r="R187" s="19">
        <f t="shared" si="19"/>
        <v>2.6683455007728267E-5</v>
      </c>
      <c r="S187" s="2"/>
      <c r="T187" s="2">
        <v>577.97</v>
      </c>
      <c r="U187" s="2"/>
      <c r="V187" s="19">
        <f t="shared" si="20"/>
        <v>4.2084824829345578E-5</v>
      </c>
      <c r="W187" s="2"/>
      <c r="X187" s="2">
        <f t="shared" si="21"/>
        <v>-218.88000000000005</v>
      </c>
      <c r="Y187" s="2"/>
      <c r="Z187" s="19">
        <f t="shared" si="22"/>
        <v>-0.37870477706455358</v>
      </c>
    </row>
    <row r="188" spans="1:26" s="24" customFormat="1" hidden="1" outlineLevel="1" x14ac:dyDescent="0.25">
      <c r="A188" s="44"/>
      <c r="B188" s="11" t="str">
        <f>CONCATENATE("          ", "5545", " - ", "FREIGHT-IN-SPECIAL ORDERS")</f>
        <v xml:space="preserve">          5545 - FREIGHT-IN-SPECIAL ORDERS</v>
      </c>
      <c r="C188" s="11"/>
      <c r="D188" s="2">
        <v>84.47</v>
      </c>
      <c r="E188" s="2"/>
      <c r="F188" s="19">
        <f t="shared" si="15"/>
        <v>2.2686081949336412E-5</v>
      </c>
      <c r="G188" s="2"/>
      <c r="H188" s="2">
        <v>74.5</v>
      </c>
      <c r="I188" s="2"/>
      <c r="J188" s="19">
        <f t="shared" si="16"/>
        <v>2.0149099223295233E-5</v>
      </c>
      <c r="K188" s="2"/>
      <c r="L188" s="2">
        <f t="shared" si="17"/>
        <v>9.9699999999999989</v>
      </c>
      <c r="M188" s="2"/>
      <c r="N188" s="19">
        <f t="shared" si="18"/>
        <v>0.13382550335570467</v>
      </c>
      <c r="O188" s="11"/>
      <c r="P188" s="2">
        <v>346.98</v>
      </c>
      <c r="Q188" s="2"/>
      <c r="R188" s="19">
        <f t="shared" si="19"/>
        <v>2.5783578541818362E-5</v>
      </c>
      <c r="S188" s="2"/>
      <c r="T188" s="2">
        <v>1261.06</v>
      </c>
      <c r="U188" s="2"/>
      <c r="V188" s="19">
        <f t="shared" si="20"/>
        <v>9.1823951414942874E-5</v>
      </c>
      <c r="W188" s="2"/>
      <c r="X188" s="2">
        <f t="shared" si="21"/>
        <v>-914.07999999999993</v>
      </c>
      <c r="Y188" s="2"/>
      <c r="Z188" s="19">
        <f t="shared" si="22"/>
        <v>-0.72485052257624538</v>
      </c>
    </row>
    <row r="189" spans="1:26" s="24" customFormat="1" hidden="1" outlineLevel="1" x14ac:dyDescent="0.25">
      <c r="A189" s="44"/>
      <c r="B189" s="11" t="str">
        <f>CONCATENATE("          ", "5581", " - ", "FREIGHT-IN-ELECTRONICS")</f>
        <v xml:space="preserve">          5581 - FREIGHT-IN-ELECTRONICS</v>
      </c>
      <c r="C189" s="11"/>
      <c r="D189" s="2">
        <v>12.8</v>
      </c>
      <c r="E189" s="2"/>
      <c r="F189" s="19">
        <f t="shared" si="15"/>
        <v>3.4376920676157936E-6</v>
      </c>
      <c r="G189" s="2"/>
      <c r="H189" s="2"/>
      <c r="I189" s="2"/>
      <c r="J189" s="19">
        <f t="shared" si="16"/>
        <v>0</v>
      </c>
      <c r="K189" s="2"/>
      <c r="L189" s="2">
        <f t="shared" si="17"/>
        <v>12.8</v>
      </c>
      <c r="M189" s="2"/>
      <c r="N189" s="19">
        <f t="shared" si="18"/>
        <v>0</v>
      </c>
      <c r="O189" s="11"/>
      <c r="P189" s="2">
        <v>105.75</v>
      </c>
      <c r="Q189" s="2"/>
      <c r="R189" s="19">
        <f t="shared" si="19"/>
        <v>7.8581285111455744E-6</v>
      </c>
      <c r="S189" s="2"/>
      <c r="T189" s="2"/>
      <c r="U189" s="2"/>
      <c r="V189" s="19">
        <f t="shared" si="20"/>
        <v>0</v>
      </c>
      <c r="W189" s="2"/>
      <c r="X189" s="2">
        <f t="shared" si="21"/>
        <v>105.75</v>
      </c>
      <c r="Y189" s="2"/>
      <c r="Z189" s="19">
        <f t="shared" si="22"/>
        <v>0</v>
      </c>
    </row>
    <row r="190" spans="1:26" s="24" customFormat="1" hidden="1" outlineLevel="1" x14ac:dyDescent="0.25">
      <c r="A190" s="44"/>
      <c r="B190" s="11" t="str">
        <f>CONCATENATE("          ", "5582", " - ", "FREIGHT-IN-COMPUTER HARDWARE")</f>
        <v xml:space="preserve">          5582 - FREIGHT-IN-COMPUTER HARDWARE</v>
      </c>
      <c r="C190" s="11"/>
      <c r="D190" s="2"/>
      <c r="E190" s="2"/>
      <c r="F190" s="19">
        <f t="shared" si="15"/>
        <v>0</v>
      </c>
      <c r="G190" s="2"/>
      <c r="H190" s="2"/>
      <c r="I190" s="2"/>
      <c r="J190" s="19">
        <f t="shared" si="16"/>
        <v>0</v>
      </c>
      <c r="K190" s="2"/>
      <c r="L190" s="2">
        <f t="shared" si="17"/>
        <v>0</v>
      </c>
      <c r="M190" s="2"/>
      <c r="N190" s="19">
        <f t="shared" si="18"/>
        <v>0</v>
      </c>
      <c r="O190" s="11"/>
      <c r="P190" s="2">
        <v>4.84</v>
      </c>
      <c r="Q190" s="2"/>
      <c r="R190" s="19">
        <f t="shared" si="19"/>
        <v>3.5965335218860126E-7</v>
      </c>
      <c r="S190" s="2"/>
      <c r="T190" s="2"/>
      <c r="U190" s="2"/>
      <c r="V190" s="19">
        <f t="shared" si="20"/>
        <v>0</v>
      </c>
      <c r="W190" s="2"/>
      <c r="X190" s="2">
        <f t="shared" si="21"/>
        <v>4.84</v>
      </c>
      <c r="Y190" s="2"/>
      <c r="Z190" s="19">
        <f t="shared" si="22"/>
        <v>0</v>
      </c>
    </row>
    <row r="191" spans="1:26" s="24" customFormat="1" hidden="1" outlineLevel="1" x14ac:dyDescent="0.25">
      <c r="A191" s="44"/>
      <c r="B191" s="11" t="str">
        <f>CONCATENATE("          ", "5583", " - ", "FREIGHT-IN-COMPUTER EQUIPMENT")</f>
        <v xml:space="preserve">          5583 - FREIGHT-IN-COMPUTER EQUIPMENT</v>
      </c>
      <c r="C191" s="11"/>
      <c r="D191" s="2"/>
      <c r="E191" s="2"/>
      <c r="F191" s="19">
        <f t="shared" si="15"/>
        <v>0</v>
      </c>
      <c r="G191" s="2"/>
      <c r="H191" s="2">
        <v>14.63</v>
      </c>
      <c r="I191" s="2"/>
      <c r="J191" s="19">
        <f t="shared" si="16"/>
        <v>3.9567962635813328E-6</v>
      </c>
      <c r="K191" s="2"/>
      <c r="L191" s="2">
        <f t="shared" si="17"/>
        <v>-14.63</v>
      </c>
      <c r="M191" s="2"/>
      <c r="N191" s="19">
        <f t="shared" si="18"/>
        <v>-1</v>
      </c>
      <c r="O191" s="11"/>
      <c r="P191" s="2">
        <v>41</v>
      </c>
      <c r="Q191" s="2"/>
      <c r="R191" s="19">
        <f t="shared" si="19"/>
        <v>3.0466502974654239E-6</v>
      </c>
      <c r="S191" s="2"/>
      <c r="T191" s="2">
        <v>22.9</v>
      </c>
      <c r="U191" s="2"/>
      <c r="V191" s="19">
        <f t="shared" si="20"/>
        <v>1.6674610941606201E-6</v>
      </c>
      <c r="W191" s="2"/>
      <c r="X191" s="2">
        <f t="shared" si="21"/>
        <v>18.100000000000001</v>
      </c>
      <c r="Y191" s="2"/>
      <c r="Z191" s="19">
        <f t="shared" si="22"/>
        <v>0.79039301310043675</v>
      </c>
    </row>
    <row r="192" spans="1:26" s="24" customFormat="1" hidden="1" outlineLevel="1" x14ac:dyDescent="0.25">
      <c r="A192" s="44"/>
      <c r="B192" s="11" t="str">
        <f>CONCATENATE("          ", "5586", " - ", "FREIGHT-IN-COMPUTER SUPPLIES")</f>
        <v xml:space="preserve">          5586 - FREIGHT-IN-COMPUTER SUPPLIES</v>
      </c>
      <c r="C192" s="11"/>
      <c r="D192" s="2">
        <v>60.12</v>
      </c>
      <c r="E192" s="2"/>
      <c r="F192" s="19">
        <f t="shared" si="15"/>
        <v>1.6146409930082928E-5</v>
      </c>
      <c r="G192" s="2"/>
      <c r="H192" s="2">
        <v>27.23</v>
      </c>
      <c r="I192" s="2"/>
      <c r="J192" s="19">
        <f t="shared" si="16"/>
        <v>7.3645633805413323E-6</v>
      </c>
      <c r="K192" s="2"/>
      <c r="L192" s="2">
        <f t="shared" si="17"/>
        <v>32.89</v>
      </c>
      <c r="M192" s="2"/>
      <c r="N192" s="19">
        <f t="shared" si="18"/>
        <v>1.2078589790672052</v>
      </c>
      <c r="O192" s="11"/>
      <c r="P192" s="2">
        <v>162.51</v>
      </c>
      <c r="Q192" s="2"/>
      <c r="R192" s="19">
        <f t="shared" si="19"/>
        <v>1.2075881459539171E-5</v>
      </c>
      <c r="S192" s="2"/>
      <c r="T192" s="2">
        <v>131.52000000000001</v>
      </c>
      <c r="U192" s="2"/>
      <c r="V192" s="19">
        <f t="shared" si="20"/>
        <v>9.5766149827076328E-6</v>
      </c>
      <c r="W192" s="2"/>
      <c r="X192" s="2">
        <f t="shared" si="21"/>
        <v>30.989999999999981</v>
      </c>
      <c r="Y192" s="2"/>
      <c r="Z192" s="19">
        <f t="shared" si="22"/>
        <v>0.23562956204379545</v>
      </c>
    </row>
    <row r="193" spans="1:26" s="24" customFormat="1" hidden="1" outlineLevel="1" x14ac:dyDescent="0.25">
      <c r="A193" s="44"/>
      <c r="B193" s="11" t="str">
        <f>CONCATENATE("          ", "5592", " - ", "FREIGHT-IN-GRAD MERCH")</f>
        <v xml:space="preserve">          5592 - FREIGHT-IN-GRAD MERCH</v>
      </c>
      <c r="C193" s="11"/>
      <c r="D193" s="2"/>
      <c r="E193" s="2"/>
      <c r="F193" s="19">
        <f t="shared" si="15"/>
        <v>0</v>
      </c>
      <c r="G193" s="2"/>
      <c r="H193" s="2"/>
      <c r="I193" s="2"/>
      <c r="J193" s="19">
        <f t="shared" si="16"/>
        <v>0</v>
      </c>
      <c r="K193" s="2"/>
      <c r="L193" s="2">
        <f t="shared" si="17"/>
        <v>0</v>
      </c>
      <c r="M193" s="2"/>
      <c r="N193" s="19">
        <f t="shared" si="18"/>
        <v>0</v>
      </c>
      <c r="O193" s="11"/>
      <c r="P193" s="2">
        <v>70.78</v>
      </c>
      <c r="Q193" s="2"/>
      <c r="R193" s="19">
        <f t="shared" si="19"/>
        <v>5.2595587330390903E-6</v>
      </c>
      <c r="S193" s="2"/>
      <c r="T193" s="2">
        <v>114.3</v>
      </c>
      <c r="U193" s="2"/>
      <c r="V193" s="19">
        <f t="shared" si="20"/>
        <v>8.3227424918147991E-6</v>
      </c>
      <c r="W193" s="2"/>
      <c r="X193" s="2">
        <f t="shared" si="21"/>
        <v>-43.519999999999996</v>
      </c>
      <c r="Y193" s="2"/>
      <c r="Z193" s="19">
        <f t="shared" si="22"/>
        <v>-0.3807524059492563</v>
      </c>
    </row>
    <row r="194" spans="1:26" x14ac:dyDescent="0.25">
      <c r="A194" s="9"/>
      <c r="B194" s="10"/>
      <c r="C194" s="10"/>
      <c r="D194" s="3"/>
      <c r="E194" s="3"/>
      <c r="F194" s="8"/>
      <c r="G194" s="3"/>
      <c r="H194" s="3"/>
      <c r="I194" s="3"/>
      <c r="J194" s="8"/>
      <c r="K194" s="3"/>
      <c r="L194" s="3"/>
      <c r="M194" s="3"/>
      <c r="N194" s="8"/>
      <c r="O194" s="10"/>
      <c r="P194" s="3"/>
      <c r="Q194" s="3"/>
      <c r="R194" s="8"/>
      <c r="S194" s="3"/>
      <c r="T194" s="3"/>
      <c r="U194" s="3"/>
      <c r="V194" s="8"/>
      <c r="W194" s="3"/>
      <c r="X194" s="3"/>
      <c r="Y194" s="3"/>
      <c r="Z194" s="8"/>
    </row>
    <row r="195" spans="1:26" s="23" customFormat="1" x14ac:dyDescent="0.25">
      <c r="A195" s="10"/>
      <c r="B195" s="28" t="s">
        <v>6</v>
      </c>
      <c r="C195" s="28"/>
      <c r="D195" s="21">
        <f>D12-D135</f>
        <v>2482422.2699999996</v>
      </c>
      <c r="E195" s="14"/>
      <c r="F195" s="22">
        <f>IF(D$12=0,0,D195/D$12)</f>
        <v>0.66670338641029614</v>
      </c>
      <c r="G195" s="14"/>
      <c r="H195" s="21">
        <f>H12-H135</f>
        <v>2422848.3199999994</v>
      </c>
      <c r="I195" s="14"/>
      <c r="J195" s="22">
        <f>IF(H$12=0,0,H195/H$12)</f>
        <v>0.65527800272045844</v>
      </c>
      <c r="K195" s="16"/>
      <c r="L195" s="21">
        <f>+D195-H195</f>
        <v>59573.950000000186</v>
      </c>
      <c r="M195" s="16"/>
      <c r="N195" s="22">
        <f>IF(H195=0,0,L195/H195)</f>
        <v>2.4588394373775822E-2</v>
      </c>
      <c r="O195" s="29"/>
      <c r="P195" s="21">
        <f>P12-P135</f>
        <v>7213114.1499999976</v>
      </c>
      <c r="Q195" s="14"/>
      <c r="R195" s="22">
        <f>IF(P$12=0,0,P195/P$12)</f>
        <v>0.53599600904267197</v>
      </c>
      <c r="S195" s="14"/>
      <c r="T195" s="21">
        <f>T12-T135</f>
        <v>7366582.6000000043</v>
      </c>
      <c r="U195" s="14"/>
      <c r="V195" s="22">
        <f>IF(T$12=0,0,T195/T$12)</f>
        <v>0.5363969380969692</v>
      </c>
      <c r="W195" s="16"/>
      <c r="X195" s="21">
        <f>+P195-T195</f>
        <v>-153468.45000000671</v>
      </c>
      <c r="Y195" s="16"/>
      <c r="Z195" s="22">
        <f>IF(T195=0,0,X195/T195)</f>
        <v>-2.0833059008936738E-2</v>
      </c>
    </row>
    <row r="196" spans="1:26" x14ac:dyDescent="0.25">
      <c r="A196" s="9"/>
      <c r="B196" s="10"/>
      <c r="C196" s="9"/>
      <c r="D196" s="1"/>
      <c r="E196" s="1"/>
      <c r="F196" s="5"/>
      <c r="G196" s="1"/>
      <c r="H196" s="1"/>
      <c r="I196" s="1"/>
      <c r="J196" s="5"/>
      <c r="K196" s="1"/>
      <c r="L196" s="1"/>
      <c r="M196" s="1"/>
      <c r="N196" s="5"/>
      <c r="O196" s="37"/>
      <c r="P196" s="1"/>
      <c r="Q196" s="1"/>
      <c r="R196" s="5"/>
      <c r="S196" s="1"/>
      <c r="T196" s="1"/>
      <c r="U196" s="1"/>
      <c r="V196" s="5"/>
      <c r="W196" s="1"/>
      <c r="X196" s="1"/>
      <c r="Y196" s="1"/>
      <c r="Z196" s="5"/>
    </row>
    <row r="197" spans="1:26" s="23" customFormat="1" x14ac:dyDescent="0.25">
      <c r="A197" s="10"/>
      <c r="B197" s="29" t="s">
        <v>9</v>
      </c>
      <c r="C197" s="10"/>
      <c r="D197" s="20">
        <f>SUM(OSRRefD22x_0)</f>
        <v>1862720.9900000009</v>
      </c>
      <c r="E197" s="20"/>
      <c r="F197" s="35">
        <f t="shared" ref="F197:F207" si="23">IF(D$12=0,0,D197/D$12)</f>
        <v>0.50027040402378442</v>
      </c>
      <c r="G197" s="20"/>
      <c r="H197" s="20">
        <f>SUM(OSRRefH22x_0)</f>
        <v>1792728.8900000001</v>
      </c>
      <c r="I197" s="20"/>
      <c r="J197" s="35">
        <f t="shared" ref="J197:J207" si="24">IF(H$12=0,0,H197/H$12)</f>
        <v>0.48485734610842857</v>
      </c>
      <c r="K197" s="4"/>
      <c r="L197" s="20">
        <f t="shared" ref="L197:L207" si="25">+D197-H197</f>
        <v>69992.100000000792</v>
      </c>
      <c r="M197" s="4"/>
      <c r="N197" s="35">
        <f t="shared" ref="N197:N207" si="26">IF(H197=0,0,L197/H197)</f>
        <v>3.9042211229161808E-2</v>
      </c>
      <c r="O197" s="10"/>
      <c r="P197" s="20">
        <f>SUM(OSRRefP22x_0)</f>
        <v>6148200.4900000012</v>
      </c>
      <c r="Q197" s="20"/>
      <c r="R197" s="35">
        <f t="shared" ref="R197:R207" si="27">IF(P$12=0,0,P197/P$12)</f>
        <v>0.45686382565208705</v>
      </c>
      <c r="S197" s="20"/>
      <c r="T197" s="20">
        <f>SUM(OSRRefT22x_0)</f>
        <v>5931240.6399999997</v>
      </c>
      <c r="U197" s="20"/>
      <c r="V197" s="35">
        <f t="shared" ref="V197:V207" si="28">IF(T$12=0,0,T197/T$12)</f>
        <v>0.43188266407442522</v>
      </c>
      <c r="W197" s="4"/>
      <c r="X197" s="20">
        <f t="shared" ref="X197:X207" si="29">+P197-T197</f>
        <v>216959.85000000149</v>
      </c>
      <c r="Y197" s="4"/>
      <c r="Z197" s="35">
        <f t="shared" ref="Z197:Z207" si="30">IF(T197=0,0,X197/T197)</f>
        <v>3.6579168367716318E-2</v>
      </c>
    </row>
    <row r="198" spans="1:26" s="27" customFormat="1" outlineLevel="1" collapsed="1" x14ac:dyDescent="0.25">
      <c r="A198" s="25"/>
      <c r="B198" s="13" t="str">
        <f>CONCATENATE("     ","*Benefits                                         ")</f>
        <v xml:space="preserve">     *Benefits                                         </v>
      </c>
      <c r="C198" s="13"/>
      <c r="D198" s="1">
        <f>SUM(OSRRefD22_0x_0)</f>
        <v>257850.38999999998</v>
      </c>
      <c r="E198" s="1"/>
      <c r="F198" s="5">
        <f t="shared" si="23"/>
        <v>6.9250800026143644E-2</v>
      </c>
      <c r="G198" s="1"/>
      <c r="H198" s="1">
        <f>SUM(OSRRefH22_0x_0)</f>
        <v>299177.26000000007</v>
      </c>
      <c r="I198" s="1"/>
      <c r="J198" s="5">
        <f t="shared" si="24"/>
        <v>8.0914795934142247E-2</v>
      </c>
      <c r="K198" s="1"/>
      <c r="L198" s="1">
        <f t="shared" si="25"/>
        <v>-41326.870000000083</v>
      </c>
      <c r="M198" s="1"/>
      <c r="N198" s="5">
        <f t="shared" si="26"/>
        <v>-0.13813506414224153</v>
      </c>
      <c r="O198" s="13"/>
      <c r="P198" s="1">
        <f>SUM(OSRRefP22_0x_0)</f>
        <v>958745.79</v>
      </c>
      <c r="Q198" s="1"/>
      <c r="R198" s="5">
        <f t="shared" si="27"/>
        <v>7.1243003568224952E-2</v>
      </c>
      <c r="S198" s="1"/>
      <c r="T198" s="1">
        <f>SUM(OSRRefT22_0x_0)</f>
        <v>915266.71</v>
      </c>
      <c r="U198" s="1"/>
      <c r="V198" s="5">
        <f t="shared" si="28"/>
        <v>6.6645049332113154E-2</v>
      </c>
      <c r="W198" s="1"/>
      <c r="X198" s="1">
        <f t="shared" si="29"/>
        <v>43479.080000000075</v>
      </c>
      <c r="Y198" s="1"/>
      <c r="Z198" s="5">
        <f t="shared" si="30"/>
        <v>4.7504273371856906E-2</v>
      </c>
    </row>
    <row r="199" spans="1:26" s="24" customFormat="1" hidden="1" outlineLevel="2" x14ac:dyDescent="0.25">
      <c r="A199" s="26"/>
      <c r="B199" s="11" t="str">
        <f>CONCATENATE("          ", "6111", " - ", "F.I.C.A.")</f>
        <v xml:space="preserve">          6111 - F.I.C.A.</v>
      </c>
      <c r="C199" s="11"/>
      <c r="D199" s="6">
        <v>68701.600000000006</v>
      </c>
      <c r="E199" s="2"/>
      <c r="F199" s="7">
        <f t="shared" si="23"/>
        <v>1.8451167605665095E-2</v>
      </c>
      <c r="G199" s="2"/>
      <c r="H199" s="6">
        <v>63695.76</v>
      </c>
      <c r="I199" s="2"/>
      <c r="J199" s="7">
        <f t="shared" si="24"/>
        <v>1.7227009239506035E-2</v>
      </c>
      <c r="K199" s="2"/>
      <c r="L199" s="6">
        <f t="shared" si="25"/>
        <v>5005.8400000000038</v>
      </c>
      <c r="M199" s="2"/>
      <c r="N199" s="7">
        <f t="shared" si="26"/>
        <v>7.8589846482717274E-2</v>
      </c>
      <c r="O199" s="11"/>
      <c r="P199" s="6">
        <v>186599.85</v>
      </c>
      <c r="Q199" s="2"/>
      <c r="R199" s="7">
        <f t="shared" si="27"/>
        <v>1.3865963134378134E-2</v>
      </c>
      <c r="S199" s="2"/>
      <c r="T199" s="6">
        <v>173726.04</v>
      </c>
      <c r="U199" s="2"/>
      <c r="V199" s="7">
        <f t="shared" si="28"/>
        <v>1.2649843351204879E-2</v>
      </c>
      <c r="W199" s="2"/>
      <c r="X199" s="6">
        <f t="shared" si="29"/>
        <v>12873.809999999998</v>
      </c>
      <c r="Y199" s="2"/>
      <c r="Z199" s="7">
        <f t="shared" si="30"/>
        <v>7.4104089404213647E-2</v>
      </c>
    </row>
    <row r="200" spans="1:26" s="24" customFormat="1" hidden="1" outlineLevel="2" x14ac:dyDescent="0.25">
      <c r="A200" s="26"/>
      <c r="B200" s="11" t="str">
        <f>CONCATENATE("          ", "6112", " - ", "COMPENSATION INSURANCE")</f>
        <v xml:space="preserve">          6112 - COMPENSATION INSURANCE</v>
      </c>
      <c r="C200" s="11"/>
      <c r="D200" s="6">
        <v>-3346.01</v>
      </c>
      <c r="E200" s="2"/>
      <c r="F200" s="7">
        <f t="shared" si="23"/>
        <v>-8.9863687774711888E-4</v>
      </c>
      <c r="G200" s="2"/>
      <c r="H200" s="6">
        <v>43353.65</v>
      </c>
      <c r="I200" s="2"/>
      <c r="J200" s="7">
        <f t="shared" si="24"/>
        <v>1.1725328799221658E-2</v>
      </c>
      <c r="K200" s="2"/>
      <c r="L200" s="6">
        <f t="shared" si="25"/>
        <v>-46699.66</v>
      </c>
      <c r="M200" s="2"/>
      <c r="N200" s="7">
        <f t="shared" si="26"/>
        <v>-1.0771794301056543</v>
      </c>
      <c r="O200" s="11"/>
      <c r="P200" s="6">
        <v>53296.4</v>
      </c>
      <c r="Q200" s="2"/>
      <c r="R200" s="7">
        <f t="shared" si="27"/>
        <v>3.9603778759472246E-3</v>
      </c>
      <c r="S200" s="2"/>
      <c r="T200" s="6">
        <v>73571.090000000011</v>
      </c>
      <c r="U200" s="2"/>
      <c r="V200" s="7">
        <f t="shared" si="28"/>
        <v>5.3570711890825106E-3</v>
      </c>
      <c r="W200" s="2"/>
      <c r="X200" s="6">
        <f t="shared" si="29"/>
        <v>-20274.69000000001</v>
      </c>
      <c r="Y200" s="2"/>
      <c r="Z200" s="7">
        <f t="shared" si="30"/>
        <v>-0.27557957888078055</v>
      </c>
    </row>
    <row r="201" spans="1:26" s="24" customFormat="1" hidden="1" outlineLevel="2" x14ac:dyDescent="0.25">
      <c r="A201" s="26"/>
      <c r="B201" s="11" t="str">
        <f>CONCATENATE("          ", "6113", " - ", "GROUP INSURANCE")</f>
        <v xml:space="preserve">          6113 - GROUP INSURANCE</v>
      </c>
      <c r="C201" s="11"/>
      <c r="D201" s="6">
        <v>93374.51</v>
      </c>
      <c r="E201" s="2"/>
      <c r="F201" s="7">
        <f t="shared" si="23"/>
        <v>2.5077563464414965E-2</v>
      </c>
      <c r="G201" s="2"/>
      <c r="H201" s="6">
        <v>103790.86</v>
      </c>
      <c r="I201" s="2"/>
      <c r="J201" s="7">
        <f t="shared" si="24"/>
        <v>2.8071038075317373E-2</v>
      </c>
      <c r="K201" s="2"/>
      <c r="L201" s="6">
        <f t="shared" si="25"/>
        <v>-10416.350000000006</v>
      </c>
      <c r="M201" s="2"/>
      <c r="N201" s="7">
        <f t="shared" si="26"/>
        <v>-0.10035902968719987</v>
      </c>
      <c r="O201" s="11"/>
      <c r="P201" s="6">
        <v>373725.63</v>
      </c>
      <c r="Q201" s="2"/>
      <c r="R201" s="7">
        <f t="shared" si="27"/>
        <v>2.7771007361218365E-2</v>
      </c>
      <c r="S201" s="2"/>
      <c r="T201" s="6">
        <v>349528.57999999996</v>
      </c>
      <c r="U201" s="2"/>
      <c r="V201" s="7">
        <f t="shared" si="28"/>
        <v>2.5450886831755802E-2</v>
      </c>
      <c r="W201" s="2"/>
      <c r="X201" s="6">
        <f t="shared" si="29"/>
        <v>24197.050000000047</v>
      </c>
      <c r="Y201" s="2"/>
      <c r="Z201" s="7">
        <f t="shared" si="30"/>
        <v>6.9227672312232813E-2</v>
      </c>
    </row>
    <row r="202" spans="1:26" s="24" customFormat="1" hidden="1" outlineLevel="2" x14ac:dyDescent="0.25">
      <c r="A202" s="26"/>
      <c r="B202" s="11" t="str">
        <f>CONCATENATE("          ", "6114", " - ", "STATE UNEMPLOYMENT INSURANCE")</f>
        <v xml:space="preserve">          6114 - STATE UNEMPLOYMENT INSURANCE</v>
      </c>
      <c r="C202" s="11"/>
      <c r="D202" s="6">
        <v>2593.4</v>
      </c>
      <c r="E202" s="2"/>
      <c r="F202" s="7">
        <f t="shared" si="23"/>
        <v>6.9650864126209364E-4</v>
      </c>
      <c r="G202" s="2"/>
      <c r="H202" s="6">
        <v>2425.39</v>
      </c>
      <c r="I202" s="2"/>
      <c r="J202" s="7">
        <f t="shared" si="24"/>
        <v>6.5596541966695331E-4</v>
      </c>
      <c r="K202" s="2"/>
      <c r="L202" s="6">
        <f t="shared" si="25"/>
        <v>168.01000000000022</v>
      </c>
      <c r="M202" s="2"/>
      <c r="N202" s="7">
        <f t="shared" si="26"/>
        <v>6.9271333682418182E-2</v>
      </c>
      <c r="O202" s="11"/>
      <c r="P202" s="6">
        <v>7628.11</v>
      </c>
      <c r="Q202" s="2"/>
      <c r="R202" s="7">
        <f t="shared" si="27"/>
        <v>5.6683374635607253E-4</v>
      </c>
      <c r="S202" s="2"/>
      <c r="T202" s="6">
        <v>7710.5</v>
      </c>
      <c r="U202" s="2"/>
      <c r="V202" s="7">
        <f t="shared" si="28"/>
        <v>5.6143924744652676E-4</v>
      </c>
      <c r="W202" s="2"/>
      <c r="X202" s="6">
        <f t="shared" si="29"/>
        <v>-82.390000000000327</v>
      </c>
      <c r="Y202" s="2"/>
      <c r="Z202" s="7">
        <f t="shared" si="30"/>
        <v>-1.068542896050844E-2</v>
      </c>
    </row>
    <row r="203" spans="1:26" s="24" customFormat="1" hidden="1" outlineLevel="2" x14ac:dyDescent="0.25">
      <c r="A203" s="26"/>
      <c r="B203" s="11" t="str">
        <f>CONCATENATE("          ", "6115", " - ", "P.E.R.S.")</f>
        <v xml:space="preserve">          6115 - P.E.R.S.</v>
      </c>
      <c r="C203" s="11"/>
      <c r="D203" s="6">
        <v>31711.139999999996</v>
      </c>
      <c r="E203" s="2"/>
      <c r="F203" s="7">
        <f t="shared" si="23"/>
        <v>8.5166511275823337E-3</v>
      </c>
      <c r="G203" s="2"/>
      <c r="H203" s="6">
        <v>29188.62</v>
      </c>
      <c r="I203" s="2"/>
      <c r="J203" s="7">
        <f t="shared" si="24"/>
        <v>7.8942872559873787E-3</v>
      </c>
      <c r="K203" s="2"/>
      <c r="L203" s="6">
        <f t="shared" si="25"/>
        <v>2522.5199999999968</v>
      </c>
      <c r="M203" s="2"/>
      <c r="N203" s="7">
        <f t="shared" si="26"/>
        <v>8.6421351883028283E-2</v>
      </c>
      <c r="O203" s="11"/>
      <c r="P203" s="6">
        <v>87252.32</v>
      </c>
      <c r="Q203" s="2"/>
      <c r="R203" s="7">
        <f t="shared" si="27"/>
        <v>6.4835928459158138E-3</v>
      </c>
      <c r="S203" s="2"/>
      <c r="T203" s="6">
        <v>87775.549999999988</v>
      </c>
      <c r="U203" s="2"/>
      <c r="V203" s="7">
        <f t="shared" si="28"/>
        <v>6.3913674516834157E-3</v>
      </c>
      <c r="W203" s="2"/>
      <c r="X203" s="6">
        <f t="shared" si="29"/>
        <v>-523.22999999998137</v>
      </c>
      <c r="Y203" s="2"/>
      <c r="Z203" s="7">
        <f t="shared" si="30"/>
        <v>-5.9609993899210137E-3</v>
      </c>
    </row>
    <row r="204" spans="1:26" s="24" customFormat="1" hidden="1" outlineLevel="2" x14ac:dyDescent="0.25">
      <c r="A204" s="26"/>
      <c r="B204" s="11" t="str">
        <f>CONCATENATE("          ", "6117", " - ", "RETIREMENT STAFF HOURLY")</f>
        <v xml:space="preserve">          6117 - RETIREMENT STAFF HOURLY</v>
      </c>
      <c r="C204" s="11"/>
      <c r="D204" s="6">
        <v>1954.23</v>
      </c>
      <c r="E204" s="2"/>
      <c r="F204" s="7">
        <f t="shared" si="23"/>
        <v>5.2484695072631347E-4</v>
      </c>
      <c r="G204" s="2"/>
      <c r="H204" s="6">
        <v>1970.7</v>
      </c>
      <c r="I204" s="2"/>
      <c r="J204" s="7">
        <f t="shared" si="24"/>
        <v>5.3299100455500559E-4</v>
      </c>
      <c r="K204" s="2"/>
      <c r="L204" s="6">
        <f t="shared" si="25"/>
        <v>-16.470000000000027</v>
      </c>
      <c r="M204" s="2"/>
      <c r="N204" s="7">
        <f t="shared" si="26"/>
        <v>-8.3574364439031948E-3</v>
      </c>
      <c r="O204" s="11"/>
      <c r="P204" s="6">
        <v>7996.4</v>
      </c>
      <c r="Q204" s="2"/>
      <c r="R204" s="7">
        <f t="shared" si="27"/>
        <v>5.942008399671345E-4</v>
      </c>
      <c r="S204" s="2"/>
      <c r="T204" s="6">
        <v>8708.9</v>
      </c>
      <c r="U204" s="2"/>
      <c r="V204" s="7">
        <f t="shared" si="28"/>
        <v>6.3413763855613213E-4</v>
      </c>
      <c r="W204" s="2"/>
      <c r="X204" s="6">
        <f t="shared" si="29"/>
        <v>-712.5</v>
      </c>
      <c r="Y204" s="2"/>
      <c r="Z204" s="7">
        <f t="shared" si="30"/>
        <v>-8.1812858110668393E-2</v>
      </c>
    </row>
    <row r="205" spans="1:26" s="24" customFormat="1" hidden="1" outlineLevel="2" x14ac:dyDescent="0.25">
      <c r="A205" s="26"/>
      <c r="B205" s="11" t="str">
        <f>CONCATENATE("          ", "6118", " - ", "VACATION")</f>
        <v xml:space="preserve">          6118 - VACATION</v>
      </c>
      <c r="C205" s="11"/>
      <c r="D205" s="6">
        <v>30937.859999999997</v>
      </c>
      <c r="E205" s="2"/>
      <c r="F205" s="7">
        <f t="shared" si="23"/>
        <v>8.3089715555474952E-3</v>
      </c>
      <c r="G205" s="2"/>
      <c r="H205" s="6">
        <v>29449.88</v>
      </c>
      <c r="I205" s="2"/>
      <c r="J205" s="7">
        <f t="shared" si="24"/>
        <v>7.9649470366998376E-3</v>
      </c>
      <c r="K205" s="2"/>
      <c r="L205" s="6">
        <f t="shared" si="25"/>
        <v>1487.9799999999959</v>
      </c>
      <c r="M205" s="2"/>
      <c r="N205" s="7">
        <f t="shared" si="26"/>
        <v>5.0525842550122303E-2</v>
      </c>
      <c r="O205" s="11"/>
      <c r="P205" s="6">
        <v>104837.95999999999</v>
      </c>
      <c r="Q205" s="2"/>
      <c r="R205" s="7">
        <f t="shared" si="27"/>
        <v>7.790356146821175E-3</v>
      </c>
      <c r="S205" s="2"/>
      <c r="T205" s="6">
        <v>97837.88</v>
      </c>
      <c r="U205" s="2"/>
      <c r="V205" s="7">
        <f t="shared" si="28"/>
        <v>7.1240549535002392E-3</v>
      </c>
      <c r="W205" s="2"/>
      <c r="X205" s="6">
        <f t="shared" si="29"/>
        <v>7000.0799999999872</v>
      </c>
      <c r="Y205" s="2"/>
      <c r="Z205" s="7">
        <f t="shared" si="30"/>
        <v>7.1547748172793468E-2</v>
      </c>
    </row>
    <row r="206" spans="1:26" s="24" customFormat="1" hidden="1" outlineLevel="2" x14ac:dyDescent="0.25">
      <c r="A206" s="26"/>
      <c r="B206" s="11" t="str">
        <f>CONCATENATE("          ", "6119", " - ", "SICK LEAVE")</f>
        <v xml:space="preserve">          6119 - SICK LEAVE</v>
      </c>
      <c r="C206" s="11"/>
      <c r="D206" s="6">
        <v>21819.96</v>
      </c>
      <c r="E206" s="2"/>
      <c r="F206" s="7">
        <f t="shared" si="23"/>
        <v>5.8601799537260869E-3</v>
      </c>
      <c r="G206" s="2"/>
      <c r="H206" s="6">
        <v>15512.96</v>
      </c>
      <c r="I206" s="2"/>
      <c r="J206" s="7">
        <f t="shared" si="24"/>
        <v>4.1955996011679196E-3</v>
      </c>
      <c r="K206" s="2"/>
      <c r="L206" s="6">
        <f t="shared" si="25"/>
        <v>6307</v>
      </c>
      <c r="M206" s="2"/>
      <c r="N206" s="7">
        <f t="shared" si="26"/>
        <v>0.40656328643920958</v>
      </c>
      <c r="O206" s="11"/>
      <c r="P206" s="6">
        <v>101414.38</v>
      </c>
      <c r="Q206" s="2"/>
      <c r="R206" s="7">
        <f t="shared" si="27"/>
        <v>7.5359549022993057E-3</v>
      </c>
      <c r="S206" s="2"/>
      <c r="T206" s="6">
        <v>78823.679999999993</v>
      </c>
      <c r="U206" s="2"/>
      <c r="V206" s="7">
        <f t="shared" si="28"/>
        <v>5.7395379781033451E-3</v>
      </c>
      <c r="W206" s="2"/>
      <c r="X206" s="6">
        <f t="shared" si="29"/>
        <v>22590.700000000012</v>
      </c>
      <c r="Y206" s="2"/>
      <c r="Z206" s="7">
        <f t="shared" si="30"/>
        <v>0.28659788530553271</v>
      </c>
    </row>
    <row r="207" spans="1:26" s="24" customFormat="1" hidden="1" outlineLevel="2" x14ac:dyDescent="0.25">
      <c r="A207" s="26"/>
      <c r="B207" s="11" t="str">
        <f>CONCATENATE("          ", "6156", " - ", "EMPLOYEE MEALS")</f>
        <v xml:space="preserve">          6156 - EMPLOYEE MEALS</v>
      </c>
      <c r="C207" s="11"/>
      <c r="D207" s="6">
        <v>10103.700000000001</v>
      </c>
      <c r="E207" s="2"/>
      <c r="F207" s="7">
        <f t="shared" si="23"/>
        <v>2.7135476049663823E-3</v>
      </c>
      <c r="G207" s="2"/>
      <c r="H207" s="6">
        <v>9789.44</v>
      </c>
      <c r="I207" s="2"/>
      <c r="J207" s="7">
        <f t="shared" si="24"/>
        <v>2.6476295020200712E-3</v>
      </c>
      <c r="K207" s="2"/>
      <c r="L207" s="6">
        <f t="shared" si="25"/>
        <v>314.26000000000022</v>
      </c>
      <c r="M207" s="2"/>
      <c r="N207" s="7">
        <f t="shared" si="26"/>
        <v>3.2101938415271987E-2</v>
      </c>
      <c r="O207" s="11"/>
      <c r="P207" s="6">
        <v>35994.74</v>
      </c>
      <c r="Q207" s="2"/>
      <c r="R207" s="7">
        <f t="shared" si="27"/>
        <v>2.6747167153217217E-3</v>
      </c>
      <c r="S207" s="2"/>
      <c r="T207" s="6">
        <v>37584.49</v>
      </c>
      <c r="U207" s="2"/>
      <c r="V207" s="7">
        <f t="shared" si="28"/>
        <v>2.7367106907803009E-3</v>
      </c>
      <c r="W207" s="2"/>
      <c r="X207" s="6">
        <f t="shared" si="29"/>
        <v>-1589.75</v>
      </c>
      <c r="Y207" s="2"/>
      <c r="Z207" s="7">
        <f t="shared" si="30"/>
        <v>-4.2298033045014047E-2</v>
      </c>
    </row>
    <row r="208" spans="1:26" s="27" customFormat="1" outlineLevel="1" collapsed="1" x14ac:dyDescent="0.25">
      <c r="A208" s="25"/>
      <c r="B208" s="13" t="str">
        <f>CONCATENATE("     ","*Payroll                                          ")</f>
        <v xml:space="preserve">     *Payroll                                          </v>
      </c>
      <c r="C208" s="13"/>
      <c r="D208" s="1">
        <f>SUM(OSRRefD22_1x_0)</f>
        <v>957117.34</v>
      </c>
      <c r="E208" s="1"/>
      <c r="F208" s="5">
        <f t="shared" ref="F208:F215" si="31">IF(D$12=0,0,D208/D$12)</f>
        <v>0.25705270996058815</v>
      </c>
      <c r="G208" s="1"/>
      <c r="H208" s="1">
        <f>SUM(OSRRefH22_1x_0)</f>
        <v>894957.37000000011</v>
      </c>
      <c r="I208" s="1"/>
      <c r="J208" s="5">
        <f t="shared" ref="J208:J215" si="32">IF(H$12=0,0,H208/H$12)</f>
        <v>0.24204811877515903</v>
      </c>
      <c r="K208" s="1"/>
      <c r="L208" s="1">
        <f t="shared" ref="L208:L215" si="33">+D208-H208</f>
        <v>62159.969999999856</v>
      </c>
      <c r="M208" s="1"/>
      <c r="N208" s="5">
        <f t="shared" ref="N208:N215" si="34">IF(H208=0,0,L208/H208)</f>
        <v>6.9455788715388586E-2</v>
      </c>
      <c r="O208" s="13"/>
      <c r="P208" s="1">
        <f>SUM(OSRRefP22_1x_0)</f>
        <v>3021583.71</v>
      </c>
      <c r="Q208" s="1"/>
      <c r="R208" s="5">
        <f t="shared" ref="R208:R215" si="35">IF(P$12=0,0,P208/P$12)</f>
        <v>0.22452948558263849</v>
      </c>
      <c r="S208" s="1"/>
      <c r="T208" s="1">
        <f>SUM(OSRRefT22_1x_0)</f>
        <v>2792588.7600000002</v>
      </c>
      <c r="U208" s="1"/>
      <c r="V208" s="5">
        <f t="shared" ref="V208:V215" si="36">IF(T$12=0,0,T208/T$12)</f>
        <v>0.20334205717424675</v>
      </c>
      <c r="W208" s="1"/>
      <c r="X208" s="1">
        <f t="shared" ref="X208:X215" si="37">+P208-T208</f>
        <v>228994.94999999972</v>
      </c>
      <c r="Y208" s="1"/>
      <c r="Z208" s="5">
        <f t="shared" ref="Z208:Z215" si="38">IF(T208=0,0,X208/T208)</f>
        <v>8.2000956703700154E-2</v>
      </c>
    </row>
    <row r="209" spans="1:26" s="24" customFormat="1" hidden="1" outlineLevel="2" x14ac:dyDescent="0.25">
      <c r="A209" s="26"/>
      <c r="B209" s="11" t="str">
        <f>CONCATENATE("          ", "6001", " - ", "ADMINISTRATIVE SALARIES")</f>
        <v xml:space="preserve">          6001 - ADMINISTRATIVE SALARIES</v>
      </c>
      <c r="C209" s="11"/>
      <c r="D209" s="6">
        <v>39846.089999999997</v>
      </c>
      <c r="E209" s="2"/>
      <c r="F209" s="7">
        <f t="shared" si="31"/>
        <v>1.0701452149883202E-2</v>
      </c>
      <c r="G209" s="2"/>
      <c r="H209" s="6">
        <v>39475.100000000006</v>
      </c>
      <c r="I209" s="2"/>
      <c r="J209" s="7">
        <f t="shared" si="32"/>
        <v>1.0676345057040293E-2</v>
      </c>
      <c r="K209" s="2"/>
      <c r="L209" s="6">
        <f t="shared" si="33"/>
        <v>370.98999999999069</v>
      </c>
      <c r="M209" s="2"/>
      <c r="N209" s="7">
        <f t="shared" si="34"/>
        <v>9.3980762556647255E-3</v>
      </c>
      <c r="O209" s="11"/>
      <c r="P209" s="6">
        <v>146476.41</v>
      </c>
      <c r="Q209" s="2"/>
      <c r="R209" s="7">
        <f t="shared" si="35"/>
        <v>1.0884448734101644E-2</v>
      </c>
      <c r="S209" s="2"/>
      <c r="T209" s="6">
        <v>146129.46</v>
      </c>
      <c r="U209" s="2"/>
      <c r="V209" s="7">
        <f t="shared" si="36"/>
        <v>1.0640401277759851E-2</v>
      </c>
      <c r="W209" s="2"/>
      <c r="X209" s="6">
        <f t="shared" si="37"/>
        <v>346.95000000001164</v>
      </c>
      <c r="Y209" s="2"/>
      <c r="Z209" s="7">
        <f t="shared" si="38"/>
        <v>2.3742645733448387E-3</v>
      </c>
    </row>
    <row r="210" spans="1:26" s="24" customFormat="1" hidden="1" outlineLevel="2" x14ac:dyDescent="0.25">
      <c r="A210" s="26"/>
      <c r="B210" s="11" t="str">
        <f>CONCATENATE("          ", "6002", " - ", "STAFF SALARIES")</f>
        <v xml:space="preserve">          6002 - STAFF SALARIES</v>
      </c>
      <c r="C210" s="11"/>
      <c r="D210" s="6">
        <v>213778.99</v>
      </c>
      <c r="E210" s="2"/>
      <c r="F210" s="7">
        <f t="shared" si="31"/>
        <v>5.741455766764969E-2</v>
      </c>
      <c r="G210" s="2"/>
      <c r="H210" s="6">
        <v>199483.63</v>
      </c>
      <c r="I210" s="2"/>
      <c r="J210" s="7">
        <f t="shared" si="32"/>
        <v>5.3951885292525016E-2</v>
      </c>
      <c r="K210" s="2"/>
      <c r="L210" s="6">
        <f t="shared" si="33"/>
        <v>14295.359999999986</v>
      </c>
      <c r="M210" s="2"/>
      <c r="N210" s="7">
        <f t="shared" si="34"/>
        <v>7.1661820070148041E-2</v>
      </c>
      <c r="O210" s="11"/>
      <c r="P210" s="6">
        <v>755841.06</v>
      </c>
      <c r="Q210" s="2"/>
      <c r="R210" s="7">
        <f t="shared" si="35"/>
        <v>5.6165448543550767E-2</v>
      </c>
      <c r="S210" s="2"/>
      <c r="T210" s="6">
        <v>711162.67</v>
      </c>
      <c r="U210" s="2"/>
      <c r="V210" s="7">
        <f t="shared" si="36"/>
        <v>5.1783235102375029E-2</v>
      </c>
      <c r="W210" s="2"/>
      <c r="X210" s="6">
        <f t="shared" si="37"/>
        <v>44678.390000000014</v>
      </c>
      <c r="Y210" s="2"/>
      <c r="Z210" s="7">
        <f t="shared" si="38"/>
        <v>6.2824430871772294E-2</v>
      </c>
    </row>
    <row r="211" spans="1:26" s="24" customFormat="1" hidden="1" outlineLevel="2" x14ac:dyDescent="0.25">
      <c r="A211" s="26"/>
      <c r="B211" s="11" t="str">
        <f>CONCATENATE("          ", "6004", " - ", "STAFF HOURLY")</f>
        <v xml:space="preserve">          6004 - STAFF HOURLY</v>
      </c>
      <c r="C211" s="11"/>
      <c r="D211" s="6">
        <v>130620.26000000001</v>
      </c>
      <c r="E211" s="2"/>
      <c r="F211" s="7">
        <f t="shared" si="31"/>
        <v>3.5080643099368168E-2</v>
      </c>
      <c r="G211" s="2"/>
      <c r="H211" s="6">
        <v>117932.51999999999</v>
      </c>
      <c r="I211" s="2"/>
      <c r="J211" s="7">
        <f t="shared" si="32"/>
        <v>3.1895759021922813E-2</v>
      </c>
      <c r="K211" s="2"/>
      <c r="L211" s="6">
        <f t="shared" si="33"/>
        <v>12687.74000000002</v>
      </c>
      <c r="M211" s="2"/>
      <c r="N211" s="7">
        <f t="shared" si="34"/>
        <v>0.10758474422491796</v>
      </c>
      <c r="O211" s="11"/>
      <c r="P211" s="6">
        <v>336427.16000000003</v>
      </c>
      <c r="Q211" s="2"/>
      <c r="R211" s="7">
        <f t="shared" si="35"/>
        <v>2.4999412368035313E-2</v>
      </c>
      <c r="S211" s="2"/>
      <c r="T211" s="6">
        <v>339305.47</v>
      </c>
      <c r="U211" s="2"/>
      <c r="V211" s="7">
        <f t="shared" si="36"/>
        <v>2.4706492151130282E-2</v>
      </c>
      <c r="W211" s="2"/>
      <c r="X211" s="6">
        <f t="shared" si="37"/>
        <v>-2878.3099999999395</v>
      </c>
      <c r="Y211" s="2"/>
      <c r="Z211" s="7">
        <f t="shared" si="38"/>
        <v>-8.4829460603742697E-3</v>
      </c>
    </row>
    <row r="212" spans="1:26" s="24" customFormat="1" hidden="1" outlineLevel="2" x14ac:dyDescent="0.25">
      <c r="A212" s="26"/>
      <c r="B212" s="11" t="str">
        <f>CONCATENATE("          ", "6005", " - ", "TEMPORARY WAGES-HOURLY")</f>
        <v xml:space="preserve">          6005 - TEMPORARY WAGES-HOURLY</v>
      </c>
      <c r="C212" s="11"/>
      <c r="D212" s="6">
        <v>204868.69999999998</v>
      </c>
      <c r="E212" s="2"/>
      <c r="F212" s="7">
        <f t="shared" si="31"/>
        <v>5.502152381974685E-2</v>
      </c>
      <c r="G212" s="2"/>
      <c r="H212" s="6">
        <v>169356.55</v>
      </c>
      <c r="I212" s="2"/>
      <c r="J212" s="7">
        <f t="shared" si="32"/>
        <v>4.5803784296173961E-2</v>
      </c>
      <c r="K212" s="2"/>
      <c r="L212" s="6">
        <f t="shared" si="33"/>
        <v>35512.149999999994</v>
      </c>
      <c r="M212" s="2"/>
      <c r="N212" s="7">
        <f t="shared" si="34"/>
        <v>0.2096886716220896</v>
      </c>
      <c r="O212" s="11"/>
      <c r="P212" s="6">
        <v>535259.53999999992</v>
      </c>
      <c r="Q212" s="2"/>
      <c r="R212" s="7">
        <f t="shared" si="35"/>
        <v>3.9774356994200136E-2</v>
      </c>
      <c r="S212" s="2"/>
      <c r="T212" s="6">
        <v>438909.35</v>
      </c>
      <c r="U212" s="2"/>
      <c r="V212" s="7">
        <f t="shared" si="36"/>
        <v>3.1959138209097231E-2</v>
      </c>
      <c r="W212" s="2"/>
      <c r="X212" s="6">
        <f t="shared" si="37"/>
        <v>96350.189999999944</v>
      </c>
      <c r="Y212" s="2"/>
      <c r="Z212" s="7">
        <f t="shared" si="38"/>
        <v>0.21952184431705532</v>
      </c>
    </row>
    <row r="213" spans="1:26" s="24" customFormat="1" hidden="1" outlineLevel="2" x14ac:dyDescent="0.25">
      <c r="A213" s="26"/>
      <c r="B213" s="11" t="str">
        <f>CONCATENATE("          ", "6006", " - ", "TEMPORARY PART TIME")</f>
        <v xml:space="preserve">          6006 - TEMPORARY PART TIME</v>
      </c>
      <c r="C213" s="11"/>
      <c r="D213" s="6">
        <v>18317.53</v>
      </c>
      <c r="E213" s="2"/>
      <c r="F213" s="7">
        <f t="shared" si="31"/>
        <v>4.9195334046339316E-3</v>
      </c>
      <c r="G213" s="2"/>
      <c r="H213" s="6">
        <v>17498.11</v>
      </c>
      <c r="I213" s="2"/>
      <c r="J213" s="7">
        <f t="shared" si="32"/>
        <v>4.7324987195991215E-3</v>
      </c>
      <c r="K213" s="2"/>
      <c r="L213" s="6">
        <f t="shared" si="33"/>
        <v>819.41999999999825</v>
      </c>
      <c r="M213" s="2"/>
      <c r="N213" s="7">
        <f t="shared" si="34"/>
        <v>4.6829057538214029E-2</v>
      </c>
      <c r="O213" s="11"/>
      <c r="P213" s="6">
        <v>64764.42</v>
      </c>
      <c r="Q213" s="2"/>
      <c r="R213" s="7">
        <f t="shared" si="35"/>
        <v>4.8125497428823331E-3</v>
      </c>
      <c r="S213" s="2"/>
      <c r="T213" s="6">
        <v>65642.25</v>
      </c>
      <c r="U213" s="2"/>
      <c r="V213" s="7">
        <f t="shared" si="36"/>
        <v>4.7797335374744534E-3</v>
      </c>
      <c r="W213" s="2"/>
      <c r="X213" s="6">
        <f t="shared" si="37"/>
        <v>-877.83000000000175</v>
      </c>
      <c r="Y213" s="2"/>
      <c r="Z213" s="7">
        <f t="shared" si="38"/>
        <v>-1.3372941969539462E-2</v>
      </c>
    </row>
    <row r="214" spans="1:26" s="24" customFormat="1" hidden="1" outlineLevel="2" x14ac:dyDescent="0.25">
      <c r="A214" s="26"/>
      <c r="B214" s="11" t="str">
        <f>CONCATENATE("          ", "6007", " - ", "STUDENT HOURLY")</f>
        <v xml:space="preserve">          6007 - STUDENT HOURLY</v>
      </c>
      <c r="C214" s="11"/>
      <c r="D214" s="6">
        <v>302913.64</v>
      </c>
      <c r="E214" s="2"/>
      <c r="F214" s="7">
        <f t="shared" si="31"/>
        <v>8.1353423234423919E-2</v>
      </c>
      <c r="G214" s="2"/>
      <c r="H214" s="6">
        <v>295337.48000000004</v>
      </c>
      <c r="I214" s="2"/>
      <c r="J214" s="7">
        <f t="shared" si="32"/>
        <v>7.9876297837288224E-2</v>
      </c>
      <c r="K214" s="2"/>
      <c r="L214" s="6">
        <f t="shared" si="33"/>
        <v>7576.1599999999744</v>
      </c>
      <c r="M214" s="2"/>
      <c r="N214" s="7">
        <f t="shared" si="34"/>
        <v>2.5652551785841651E-2</v>
      </c>
      <c r="O214" s="11"/>
      <c r="P214" s="6">
        <v>1073775.6600000001</v>
      </c>
      <c r="Q214" s="2"/>
      <c r="R214" s="7">
        <f t="shared" si="35"/>
        <v>7.9790705706100792E-2</v>
      </c>
      <c r="S214" s="2"/>
      <c r="T214" s="6">
        <v>975860.04</v>
      </c>
      <c r="U214" s="2"/>
      <c r="V214" s="7">
        <f t="shared" si="36"/>
        <v>7.1057146290219517E-2</v>
      </c>
      <c r="W214" s="2"/>
      <c r="X214" s="6">
        <f t="shared" si="37"/>
        <v>97915.620000000112</v>
      </c>
      <c r="Y214" s="2"/>
      <c r="Z214" s="7">
        <f t="shared" si="38"/>
        <v>0.10033776974821114</v>
      </c>
    </row>
    <row r="215" spans="1:26" s="24" customFormat="1" hidden="1" outlineLevel="2" x14ac:dyDescent="0.25">
      <c r="A215" s="26"/>
      <c r="B215" s="11" t="str">
        <f>CONCATENATE("          ", "6008", " - ", "STUDENT HOURLY-FICA EXEMPT")</f>
        <v xml:space="preserve">          6008 - STUDENT HOURLY-FICA EXEMPT</v>
      </c>
      <c r="C215" s="11"/>
      <c r="D215" s="6">
        <v>46772.13</v>
      </c>
      <c r="E215" s="2"/>
      <c r="F215" s="7">
        <f t="shared" si="31"/>
        <v>1.2561576584882397E-2</v>
      </c>
      <c r="G215" s="2"/>
      <c r="H215" s="6">
        <v>55873.98</v>
      </c>
      <c r="I215" s="2"/>
      <c r="J215" s="7">
        <f t="shared" si="32"/>
        <v>1.5111548550609578E-2</v>
      </c>
      <c r="K215" s="2"/>
      <c r="L215" s="6">
        <f t="shared" si="33"/>
        <v>-9101.8500000000058</v>
      </c>
      <c r="M215" s="2"/>
      <c r="N215" s="7">
        <f t="shared" si="34"/>
        <v>-0.16289961803329572</v>
      </c>
      <c r="O215" s="11"/>
      <c r="P215" s="6">
        <v>109039.45999999999</v>
      </c>
      <c r="Q215" s="2"/>
      <c r="R215" s="7">
        <f t="shared" si="35"/>
        <v>8.1025634937675409E-3</v>
      </c>
      <c r="S215" s="2"/>
      <c r="T215" s="6">
        <v>115579.52</v>
      </c>
      <c r="U215" s="2"/>
      <c r="V215" s="7">
        <f t="shared" si="36"/>
        <v>8.4159106061903622E-3</v>
      </c>
      <c r="W215" s="2"/>
      <c r="X215" s="6">
        <f t="shared" si="37"/>
        <v>-6540.0600000000122</v>
      </c>
      <c r="Y215" s="2"/>
      <c r="Z215" s="7">
        <f t="shared" si="38"/>
        <v>-5.6584938231271524E-2</v>
      </c>
    </row>
    <row r="216" spans="1:26" s="27" customFormat="1" outlineLevel="1" collapsed="1" x14ac:dyDescent="0.25">
      <c r="A216" s="25"/>
      <c r="B216" s="13" t="str">
        <f>CONCATENATE("     ","Advertising/Promo                                 ")</f>
        <v xml:space="preserve">     Advertising/Promo                                 </v>
      </c>
      <c r="C216" s="13"/>
      <c r="D216" s="1">
        <f>SUM(OSRRefD22_2x_0)</f>
        <v>18492.79</v>
      </c>
      <c r="E216" s="1"/>
      <c r="F216" s="5">
        <f t="shared" ref="F216:F220" si="39">IF(D$12=0,0,D216/D$12)</f>
        <v>4.9666029289909906E-3</v>
      </c>
      <c r="G216" s="1"/>
      <c r="H216" s="1">
        <f>SUM(OSRRefH22_2x_0)</f>
        <v>11292.3</v>
      </c>
      <c r="I216" s="1"/>
      <c r="J216" s="5">
        <f t="shared" ref="J216:J220" si="40">IF(H$12=0,0,H216/H$12)</f>
        <v>3.0540895726069365E-3</v>
      </c>
      <c r="K216" s="1"/>
      <c r="L216" s="1">
        <f t="shared" ref="L216:L220" si="41">+D216-H216</f>
        <v>7200.4900000000016</v>
      </c>
      <c r="M216" s="1"/>
      <c r="N216" s="5">
        <f t="shared" ref="N216:N220" si="42">IF(H216=0,0,L216/H216)</f>
        <v>0.63764600657084936</v>
      </c>
      <c r="O216" s="13"/>
      <c r="P216" s="1">
        <f>SUM(OSRRefP22_2x_0)</f>
        <v>40476.879999999997</v>
      </c>
      <c r="Q216" s="1"/>
      <c r="R216" s="5">
        <f t="shared" ref="R216:R220" si="43">IF(P$12=0,0,P216/P$12)</f>
        <v>3.0077780120115185E-3</v>
      </c>
      <c r="S216" s="1"/>
      <c r="T216" s="1">
        <f>SUM(OSRRefT22_2x_0)</f>
        <v>42454.97</v>
      </c>
      <c r="U216" s="1"/>
      <c r="V216" s="5">
        <f t="shared" ref="V216:V220" si="44">IF(T$12=0,0,T216/T$12)</f>
        <v>3.0913541802950356E-3</v>
      </c>
      <c r="W216" s="1"/>
      <c r="X216" s="1">
        <f t="shared" ref="X216:X220" si="45">+P216-T216</f>
        <v>-1978.0900000000038</v>
      </c>
      <c r="Y216" s="1"/>
      <c r="Z216" s="5">
        <f t="shared" ref="Z216:Z220" si="46">IF(T216=0,0,X216/T216)</f>
        <v>-4.6592660411725738E-2</v>
      </c>
    </row>
    <row r="217" spans="1:26" s="24" customFormat="1" hidden="1" outlineLevel="2" x14ac:dyDescent="0.25">
      <c r="A217" s="26"/>
      <c r="B217" s="11" t="str">
        <f>CONCATENATE("          ", "6362", " - ", "ADVERTISING EXPENSE")</f>
        <v xml:space="preserve">          6362 - ADVERTISING EXPENSE</v>
      </c>
      <c r="C217" s="11"/>
      <c r="D217" s="6">
        <v>18492.79</v>
      </c>
      <c r="E217" s="2"/>
      <c r="F217" s="7">
        <f t="shared" si="39"/>
        <v>4.9666029289909906E-3</v>
      </c>
      <c r="G217" s="2"/>
      <c r="H217" s="6">
        <v>11292.3</v>
      </c>
      <c r="I217" s="2"/>
      <c r="J217" s="7">
        <f t="shared" si="40"/>
        <v>3.0540895726069365E-3</v>
      </c>
      <c r="K217" s="2"/>
      <c r="L217" s="6">
        <f t="shared" si="41"/>
        <v>7200.4900000000016</v>
      </c>
      <c r="M217" s="2"/>
      <c r="N217" s="7">
        <f t="shared" si="42"/>
        <v>0.63764600657084936</v>
      </c>
      <c r="O217" s="11"/>
      <c r="P217" s="6">
        <v>40476.879999999997</v>
      </c>
      <c r="Q217" s="2"/>
      <c r="R217" s="7">
        <f t="shared" si="43"/>
        <v>3.0077780120115185E-3</v>
      </c>
      <c r="S217" s="2"/>
      <c r="T217" s="6">
        <v>42454.97</v>
      </c>
      <c r="U217" s="2"/>
      <c r="V217" s="7">
        <f t="shared" si="44"/>
        <v>3.0913541802950356E-3</v>
      </c>
      <c r="W217" s="2"/>
      <c r="X217" s="6">
        <f t="shared" si="45"/>
        <v>-1978.0900000000038</v>
      </c>
      <c r="Y217" s="2"/>
      <c r="Z217" s="7">
        <f t="shared" si="46"/>
        <v>-4.6592660411725738E-2</v>
      </c>
    </row>
    <row r="218" spans="1:26" s="27" customFormat="1" outlineLevel="1" collapsed="1" x14ac:dyDescent="0.25">
      <c r="A218" s="25"/>
      <c r="B218" s="13" t="str">
        <f>CONCATENATE("     ","Bad Debts/Over/Short                              ")</f>
        <v xml:space="preserve">     Bad Debts/Over/Short                              </v>
      </c>
      <c r="C218" s="13"/>
      <c r="D218" s="1">
        <f>SUM(OSRRefD22_3x_0)</f>
        <v>67.44</v>
      </c>
      <c r="E218" s="1"/>
      <c r="F218" s="5">
        <f t="shared" si="39"/>
        <v>1.8112340081250713E-5</v>
      </c>
      <c r="G218" s="1"/>
      <c r="H218" s="1">
        <f>SUM(OSRRefH22_3x_0)</f>
        <v>-45.48</v>
      </c>
      <c r="I218" s="1"/>
      <c r="J218" s="5">
        <f t="shared" si="40"/>
        <v>-1.2300416545979425E-5</v>
      </c>
      <c r="K218" s="1"/>
      <c r="L218" s="1">
        <f t="shared" si="41"/>
        <v>112.91999999999999</v>
      </c>
      <c r="M218" s="1"/>
      <c r="N218" s="5">
        <f t="shared" si="42"/>
        <v>-2.4828496042216357</v>
      </c>
      <c r="O218" s="13"/>
      <c r="P218" s="1">
        <f>SUM(OSRRefP22_3x_0)</f>
        <v>-268.83999999999997</v>
      </c>
      <c r="Q218" s="1"/>
      <c r="R218" s="5">
        <f t="shared" si="43"/>
        <v>-1.9977108926112303E-5</v>
      </c>
      <c r="S218" s="1"/>
      <c r="T218" s="1">
        <f>SUM(OSRRefT22_3x_0)</f>
        <v>240.89</v>
      </c>
      <c r="U218" s="1"/>
      <c r="V218" s="5">
        <f t="shared" si="44"/>
        <v>1.7540380042460777E-5</v>
      </c>
      <c r="W218" s="1"/>
      <c r="X218" s="1">
        <f t="shared" si="45"/>
        <v>-509.72999999999996</v>
      </c>
      <c r="Y218" s="1"/>
      <c r="Z218" s="5">
        <f t="shared" si="46"/>
        <v>-2.1160280626011874</v>
      </c>
    </row>
    <row r="219" spans="1:26" s="24" customFormat="1" hidden="1" outlineLevel="2" x14ac:dyDescent="0.25">
      <c r="A219" s="26"/>
      <c r="B219" s="11" t="str">
        <f>CONCATENATE("          ", "6272", " - ", "CASH (OVER/SHORT)")</f>
        <v xml:space="preserve">          6272 - CASH (OVER/SHORT)</v>
      </c>
      <c r="C219" s="11"/>
      <c r="D219" s="6">
        <v>22.64</v>
      </c>
      <c r="E219" s="2"/>
      <c r="F219" s="7">
        <f t="shared" si="39"/>
        <v>6.0804178445954347E-6</v>
      </c>
      <c r="G219" s="2"/>
      <c r="H219" s="6">
        <v>-45.48</v>
      </c>
      <c r="I219" s="2"/>
      <c r="J219" s="7">
        <f t="shared" si="40"/>
        <v>-1.2300416545979425E-5</v>
      </c>
      <c r="K219" s="2"/>
      <c r="L219" s="6">
        <f t="shared" si="41"/>
        <v>68.12</v>
      </c>
      <c r="M219" s="2"/>
      <c r="N219" s="7">
        <f t="shared" si="42"/>
        <v>-1.4978012313104663</v>
      </c>
      <c r="O219" s="11"/>
      <c r="P219" s="6">
        <v>-313.64</v>
      </c>
      <c r="Q219" s="2"/>
      <c r="R219" s="7">
        <f t="shared" si="43"/>
        <v>-2.3306131690172087E-5</v>
      </c>
      <c r="S219" s="2"/>
      <c r="T219" s="6">
        <v>240.89</v>
      </c>
      <c r="U219" s="2"/>
      <c r="V219" s="7">
        <f t="shared" si="44"/>
        <v>1.7540380042460777E-5</v>
      </c>
      <c r="W219" s="2"/>
      <c r="X219" s="6">
        <f t="shared" si="45"/>
        <v>-554.53</v>
      </c>
      <c r="Y219" s="2"/>
      <c r="Z219" s="7">
        <f t="shared" si="46"/>
        <v>-2.3020050645522852</v>
      </c>
    </row>
    <row r="220" spans="1:26" s="24" customFormat="1" hidden="1" outlineLevel="2" x14ac:dyDescent="0.25">
      <c r="A220" s="26"/>
      <c r="B220" s="11" t="str">
        <f>CONCATENATE("          ", "6342", " - ", "BAD DEBT")</f>
        <v xml:space="preserve">          6342 - BAD DEBT</v>
      </c>
      <c r="C220" s="11"/>
      <c r="D220" s="6">
        <v>44.8</v>
      </c>
      <c r="E220" s="2"/>
      <c r="F220" s="7">
        <f t="shared" si="39"/>
        <v>1.2031922236655277E-5</v>
      </c>
      <c r="G220" s="2"/>
      <c r="H220" s="6"/>
      <c r="I220" s="2"/>
      <c r="J220" s="7">
        <f t="shared" si="40"/>
        <v>0</v>
      </c>
      <c r="K220" s="2"/>
      <c r="L220" s="6">
        <f t="shared" si="41"/>
        <v>44.8</v>
      </c>
      <c r="M220" s="2"/>
      <c r="N220" s="7">
        <f t="shared" si="42"/>
        <v>0</v>
      </c>
      <c r="O220" s="11"/>
      <c r="P220" s="6">
        <v>44.8</v>
      </c>
      <c r="Q220" s="2"/>
      <c r="R220" s="7">
        <f t="shared" si="43"/>
        <v>3.32902276405978E-6</v>
      </c>
      <c r="S220" s="2"/>
      <c r="T220" s="6"/>
      <c r="U220" s="2"/>
      <c r="V220" s="7">
        <f t="shared" si="44"/>
        <v>0</v>
      </c>
      <c r="W220" s="2"/>
      <c r="X220" s="6">
        <f t="shared" si="45"/>
        <v>44.8</v>
      </c>
      <c r="Y220" s="2"/>
      <c r="Z220" s="7">
        <f t="shared" si="46"/>
        <v>0</v>
      </c>
    </row>
    <row r="221" spans="1:26" s="27" customFormat="1" outlineLevel="1" collapsed="1" x14ac:dyDescent="0.25">
      <c r="A221" s="25"/>
      <c r="B221" s="13" t="str">
        <f>CONCATENATE("     ","Bank/card Fees                                    ")</f>
        <v xml:space="preserve">     Bank/card Fees                                    </v>
      </c>
      <c r="C221" s="13"/>
      <c r="D221" s="1">
        <f>SUM(OSRRefD22_4x_0)</f>
        <v>61421.33</v>
      </c>
      <c r="E221" s="1"/>
      <c r="F221" s="5">
        <f t="shared" ref="F221:F226" si="47">IF(D$12=0,0,D221/D$12)</f>
        <v>1.6495907728391559E-2</v>
      </c>
      <c r="G221" s="1"/>
      <c r="H221" s="1">
        <f>SUM(OSRRefH22_4x_0)</f>
        <v>57420.380000000005</v>
      </c>
      <c r="I221" s="1"/>
      <c r="J221" s="5">
        <f t="shared" ref="J221:J226" si="48">IF(H$12=0,0,H221/H$12)</f>
        <v>1.5529784349789494E-2</v>
      </c>
      <c r="K221" s="1"/>
      <c r="L221" s="1">
        <f t="shared" ref="L221:L226" si="49">+D221-H221</f>
        <v>4000.9499999999971</v>
      </c>
      <c r="M221" s="1"/>
      <c r="N221" s="5">
        <f t="shared" ref="N221:N226" si="50">IF(H221=0,0,L221/H221)</f>
        <v>6.9678222261851927E-2</v>
      </c>
      <c r="O221" s="13"/>
      <c r="P221" s="1">
        <f>SUM(OSRRefP22_4x_0)</f>
        <v>182275.66</v>
      </c>
      <c r="Q221" s="1"/>
      <c r="R221" s="5">
        <f t="shared" ref="R221:R226" si="51">IF(P$12=0,0,P221/P$12)</f>
        <v>1.3544638872187962E-2</v>
      </c>
      <c r="S221" s="1"/>
      <c r="T221" s="1">
        <f>SUM(OSRRefT22_4x_0)</f>
        <v>176478.21</v>
      </c>
      <c r="U221" s="1"/>
      <c r="V221" s="5">
        <f t="shared" ref="V221:V226" si="52">IF(T$12=0,0,T221/T$12)</f>
        <v>1.2850242320616058E-2</v>
      </c>
      <c r="W221" s="1"/>
      <c r="X221" s="1">
        <f t="shared" ref="X221:X226" si="53">+P221-T221</f>
        <v>5797.4500000000116</v>
      </c>
      <c r="Y221" s="1"/>
      <c r="Z221" s="5">
        <f t="shared" ref="Z221:Z226" si="54">IF(T221=0,0,X221/T221)</f>
        <v>3.2850797840707997E-2</v>
      </c>
    </row>
    <row r="222" spans="1:26" s="24" customFormat="1" hidden="1" outlineLevel="2" x14ac:dyDescent="0.25">
      <c r="A222" s="26"/>
      <c r="B222" s="11" t="str">
        <f>CONCATENATE("          ", "6381", " - ", "BANK/CREDIT CARD FEES")</f>
        <v xml:space="preserve">          6381 - BANK/CREDIT CARD FEES</v>
      </c>
      <c r="C222" s="11"/>
      <c r="D222" s="6">
        <v>61421.33</v>
      </c>
      <c r="E222" s="2"/>
      <c r="F222" s="7">
        <f t="shared" si="47"/>
        <v>1.6495907728391559E-2</v>
      </c>
      <c r="G222" s="2"/>
      <c r="H222" s="6">
        <v>57420.380000000005</v>
      </c>
      <c r="I222" s="2"/>
      <c r="J222" s="7">
        <f t="shared" si="48"/>
        <v>1.5529784349789494E-2</v>
      </c>
      <c r="K222" s="2"/>
      <c r="L222" s="6">
        <f t="shared" si="49"/>
        <v>4000.9499999999971</v>
      </c>
      <c r="M222" s="2"/>
      <c r="N222" s="7">
        <f t="shared" si="50"/>
        <v>6.9678222261851927E-2</v>
      </c>
      <c r="O222" s="11"/>
      <c r="P222" s="6">
        <v>182275.66</v>
      </c>
      <c r="Q222" s="2"/>
      <c r="R222" s="7">
        <f t="shared" si="51"/>
        <v>1.3544638872187962E-2</v>
      </c>
      <c r="S222" s="2"/>
      <c r="T222" s="6">
        <v>176478.21</v>
      </c>
      <c r="U222" s="2"/>
      <c r="V222" s="7">
        <f t="shared" si="52"/>
        <v>1.2850242320616058E-2</v>
      </c>
      <c r="W222" s="2"/>
      <c r="X222" s="6">
        <f t="shared" si="53"/>
        <v>5797.4500000000116</v>
      </c>
      <c r="Y222" s="2"/>
      <c r="Z222" s="7">
        <f t="shared" si="54"/>
        <v>3.2850797840707997E-2</v>
      </c>
    </row>
    <row r="223" spans="1:26" s="27" customFormat="1" outlineLevel="1" collapsed="1" x14ac:dyDescent="0.25">
      <c r="A223" s="25"/>
      <c r="B223" s="13" t="str">
        <f>CONCATENATE("     ","Depreciation                                      ")</f>
        <v xml:space="preserve">     Depreciation                                      </v>
      </c>
      <c r="C223" s="13"/>
      <c r="D223" s="1">
        <f>SUM(OSRRefD22_5x_0)</f>
        <v>77862.400000000009</v>
      </c>
      <c r="E223" s="1"/>
      <c r="F223" s="5">
        <f t="shared" si="47"/>
        <v>2.0911480847306874E-2</v>
      </c>
      <c r="G223" s="1"/>
      <c r="H223" s="1">
        <f>SUM(OSRRefH22_5x_0)</f>
        <v>73419.179999999993</v>
      </c>
      <c r="I223" s="1"/>
      <c r="J223" s="5">
        <f t="shared" si="48"/>
        <v>1.9856783123664064E-2</v>
      </c>
      <c r="K223" s="1"/>
      <c r="L223" s="1">
        <f t="shared" si="49"/>
        <v>4443.2200000000157</v>
      </c>
      <c r="M223" s="1"/>
      <c r="N223" s="5">
        <f t="shared" si="50"/>
        <v>6.051851845798354E-2</v>
      </c>
      <c r="O223" s="13"/>
      <c r="P223" s="1">
        <f>SUM(OSRRefP22_5x_0)</f>
        <v>311449.60000000003</v>
      </c>
      <c r="Q223" s="1"/>
      <c r="R223" s="5">
        <f t="shared" si="51"/>
        <v>2.3143366255743595E-2</v>
      </c>
      <c r="S223" s="1"/>
      <c r="T223" s="1">
        <f>SUM(OSRRefT22_5x_0)</f>
        <v>312650.58</v>
      </c>
      <c r="U223" s="1"/>
      <c r="V223" s="5">
        <f t="shared" si="52"/>
        <v>2.2765619136102734E-2</v>
      </c>
      <c r="W223" s="1"/>
      <c r="X223" s="1">
        <f t="shared" si="53"/>
        <v>-1200.9799999999814</v>
      </c>
      <c r="Y223" s="1"/>
      <c r="Z223" s="5">
        <f t="shared" si="54"/>
        <v>-3.841285053749081E-3</v>
      </c>
    </row>
    <row r="224" spans="1:26" s="24" customFormat="1" hidden="1" outlineLevel="2" x14ac:dyDescent="0.25">
      <c r="A224" s="26"/>
      <c r="B224" s="11" t="str">
        <f>CONCATENATE("          ", "6321", " - ", "BUILDING DEPRECIATION")</f>
        <v xml:space="preserve">          6321 - BUILDING DEPRECIATION</v>
      </c>
      <c r="C224" s="11"/>
      <c r="D224" s="6">
        <v>45519.990000000005</v>
      </c>
      <c r="E224" s="2"/>
      <c r="F224" s="7">
        <f t="shared" si="47"/>
        <v>1.2225289729761739E-2</v>
      </c>
      <c r="G224" s="2"/>
      <c r="H224" s="6">
        <v>43050.400000000001</v>
      </c>
      <c r="I224" s="2"/>
      <c r="J224" s="7">
        <f t="shared" si="48"/>
        <v>1.1643312499363076E-2</v>
      </c>
      <c r="K224" s="2"/>
      <c r="L224" s="6">
        <f t="shared" si="49"/>
        <v>2469.5900000000038</v>
      </c>
      <c r="M224" s="2"/>
      <c r="N224" s="7">
        <f t="shared" si="50"/>
        <v>5.7365088361548411E-2</v>
      </c>
      <c r="O224" s="11"/>
      <c r="P224" s="6">
        <v>182079.96000000002</v>
      </c>
      <c r="Q224" s="2"/>
      <c r="R224" s="7">
        <f t="shared" si="51"/>
        <v>1.3530096690158354E-2</v>
      </c>
      <c r="S224" s="2"/>
      <c r="T224" s="6">
        <v>191175.46000000002</v>
      </c>
      <c r="U224" s="2"/>
      <c r="V224" s="7">
        <f t="shared" si="52"/>
        <v>1.3920421035295194E-2</v>
      </c>
      <c r="W224" s="2"/>
      <c r="X224" s="6">
        <f t="shared" si="53"/>
        <v>-9095.5</v>
      </c>
      <c r="Y224" s="2"/>
      <c r="Z224" s="7">
        <f t="shared" si="54"/>
        <v>-4.757671303628614E-2</v>
      </c>
    </row>
    <row r="225" spans="1:26" s="24" customFormat="1" hidden="1" outlineLevel="2" x14ac:dyDescent="0.25">
      <c r="A225" s="26"/>
      <c r="B225" s="11" t="str">
        <f>CONCATENATE("          ", "6322", " - ", "EQUIPMENT DEPRECIATION EXPENSE")</f>
        <v xml:space="preserve">          6322 - EQUIPMENT DEPRECIATION EXPENSE</v>
      </c>
      <c r="C225" s="11"/>
      <c r="D225" s="6">
        <v>31918.16</v>
      </c>
      <c r="E225" s="2"/>
      <c r="F225" s="7">
        <f t="shared" si="47"/>
        <v>8.5722504253821653E-3</v>
      </c>
      <c r="G225" s="2"/>
      <c r="H225" s="6">
        <v>29944.53</v>
      </c>
      <c r="I225" s="2"/>
      <c r="J225" s="7">
        <f t="shared" si="48"/>
        <v>8.0987289418112864E-3</v>
      </c>
      <c r="K225" s="2"/>
      <c r="L225" s="6">
        <f t="shared" si="49"/>
        <v>1973.630000000001</v>
      </c>
      <c r="M225" s="2"/>
      <c r="N225" s="7">
        <f t="shared" si="50"/>
        <v>6.5909533393912048E-2</v>
      </c>
      <c r="O225" s="11"/>
      <c r="P225" s="6">
        <v>127672.64</v>
      </c>
      <c r="Q225" s="2"/>
      <c r="R225" s="7">
        <f t="shared" si="51"/>
        <v>9.4871679666877068E-3</v>
      </c>
      <c r="S225" s="2"/>
      <c r="T225" s="6">
        <v>119778.12</v>
      </c>
      <c r="U225" s="2"/>
      <c r="V225" s="7">
        <f t="shared" si="52"/>
        <v>8.7216312240917943E-3</v>
      </c>
      <c r="W225" s="2"/>
      <c r="X225" s="6">
        <f t="shared" si="53"/>
        <v>7894.5200000000041</v>
      </c>
      <c r="Y225" s="2"/>
      <c r="Z225" s="7">
        <f t="shared" si="54"/>
        <v>6.5909533393912048E-2</v>
      </c>
    </row>
    <row r="226" spans="1:26" s="24" customFormat="1" hidden="1" outlineLevel="2" x14ac:dyDescent="0.25">
      <c r="A226" s="26"/>
      <c r="B226" s="11" t="str">
        <f>CONCATENATE("          ", "6326", " - ", "VEHICLES DEPRECIATION EXPENSE")</f>
        <v xml:space="preserve">          6326 - VEHICLES DEPRECIATION EXPENSE</v>
      </c>
      <c r="C226" s="11"/>
      <c r="D226" s="6">
        <v>424.25</v>
      </c>
      <c r="E226" s="2"/>
      <c r="F226" s="7">
        <f t="shared" si="47"/>
        <v>1.1394069216296878E-4</v>
      </c>
      <c r="G226" s="2"/>
      <c r="H226" s="6">
        <v>424.25</v>
      </c>
      <c r="I226" s="2"/>
      <c r="J226" s="7">
        <f t="shared" si="48"/>
        <v>1.1474168248970474E-4</v>
      </c>
      <c r="K226" s="2"/>
      <c r="L226" s="6">
        <f t="shared" si="49"/>
        <v>0</v>
      </c>
      <c r="M226" s="2"/>
      <c r="N226" s="7">
        <f t="shared" si="50"/>
        <v>0</v>
      </c>
      <c r="O226" s="11"/>
      <c r="P226" s="6">
        <v>1697</v>
      </c>
      <c r="Q226" s="2"/>
      <c r="R226" s="7">
        <f t="shared" si="51"/>
        <v>1.2610159889753231E-4</v>
      </c>
      <c r="S226" s="2"/>
      <c r="T226" s="6">
        <v>1697</v>
      </c>
      <c r="U226" s="2"/>
      <c r="V226" s="7">
        <f t="shared" si="52"/>
        <v>1.2356687671574552E-4</v>
      </c>
      <c r="W226" s="2"/>
      <c r="X226" s="6">
        <f t="shared" si="53"/>
        <v>0</v>
      </c>
      <c r="Y226" s="2"/>
      <c r="Z226" s="7">
        <f t="shared" si="54"/>
        <v>0</v>
      </c>
    </row>
    <row r="227" spans="1:26" s="27" customFormat="1" outlineLevel="1" collapsed="1" x14ac:dyDescent="0.25">
      <c r="A227" s="25"/>
      <c r="B227" s="13" t="str">
        <f>CONCATENATE("     ","Discounts and Markdowns                           ")</f>
        <v xml:space="preserve">     Discounts and Markdowns                           </v>
      </c>
      <c r="C227" s="13"/>
      <c r="D227" s="1">
        <f>SUM(OSRRefD22_6x_0)</f>
        <v>35167.93</v>
      </c>
      <c r="E227" s="1"/>
      <c r="F227" s="5">
        <f t="shared" ref="F227:F229" si="55">IF(D$12=0,0,D227/D$12)</f>
        <v>9.4450401558958987E-3</v>
      </c>
      <c r="G227" s="1"/>
      <c r="H227" s="1">
        <f>SUM(OSRRefH22_6x_0)</f>
        <v>24036.659999999996</v>
      </c>
      <c r="I227" s="1"/>
      <c r="J227" s="5">
        <f t="shared" ref="J227:J229" si="56">IF(H$12=0,0,H227/H$12)</f>
        <v>6.500899964249819E-3</v>
      </c>
      <c r="K227" s="1"/>
      <c r="L227" s="1">
        <f t="shared" ref="L227:L229" si="57">+D227-H227</f>
        <v>11131.270000000004</v>
      </c>
      <c r="M227" s="1"/>
      <c r="N227" s="5">
        <f t="shared" ref="N227:N229" si="58">IF(H227=0,0,L227/H227)</f>
        <v>0.46309553823201749</v>
      </c>
      <c r="O227" s="13"/>
      <c r="P227" s="1">
        <f>SUM(OSRRefP22_6x_0)</f>
        <v>166228.07999999999</v>
      </c>
      <c r="Q227" s="1"/>
      <c r="R227" s="5">
        <f t="shared" ref="R227:R229" si="59">IF(P$12=0,0,P227/P$12)</f>
        <v>1.2352166570222103E-2</v>
      </c>
      <c r="S227" s="1"/>
      <c r="T227" s="1">
        <f>SUM(OSRRefT22_6x_0)</f>
        <v>164518.08000000002</v>
      </c>
      <c r="U227" s="1"/>
      <c r="V227" s="5">
        <f t="shared" ref="V227:V229" si="60">IF(T$12=0,0,T227/T$12)</f>
        <v>1.1979366711179235E-2</v>
      </c>
      <c r="W227" s="1"/>
      <c r="X227" s="1">
        <f t="shared" ref="X227:X229" si="61">+P227-T227</f>
        <v>1709.9999999999709</v>
      </c>
      <c r="Y227" s="1"/>
      <c r="Z227" s="5">
        <f t="shared" ref="Z227:Z229" si="62">IF(T227=0,0,X227/T227)</f>
        <v>1.039399438651345E-2</v>
      </c>
    </row>
    <row r="228" spans="1:26" s="24" customFormat="1" hidden="1" outlineLevel="2" x14ac:dyDescent="0.25">
      <c r="A228" s="26"/>
      <c r="B228" s="11" t="str">
        <f>CONCATENATE("          ", "6382", " - ", "DISCOUNTS/MARK DOWNS")</f>
        <v xml:space="preserve">          6382 - DISCOUNTS/MARK DOWNS</v>
      </c>
      <c r="C228" s="11"/>
      <c r="D228" s="6">
        <v>35637.82</v>
      </c>
      <c r="E228" s="2"/>
      <c r="F228" s="7">
        <f t="shared" si="55"/>
        <v>9.5712383688374598E-3</v>
      </c>
      <c r="G228" s="2"/>
      <c r="H228" s="6">
        <v>24084.809999999998</v>
      </c>
      <c r="I228" s="2"/>
      <c r="J228" s="7">
        <f t="shared" si="56"/>
        <v>6.5139225028753456E-3</v>
      </c>
      <c r="K228" s="2"/>
      <c r="L228" s="6">
        <f t="shared" si="57"/>
        <v>11553.010000000002</v>
      </c>
      <c r="M228" s="2"/>
      <c r="N228" s="7">
        <f t="shared" si="58"/>
        <v>0.47968034624313016</v>
      </c>
      <c r="O228" s="11"/>
      <c r="P228" s="6">
        <v>168345.83</v>
      </c>
      <c r="Q228" s="2"/>
      <c r="R228" s="7">
        <f t="shared" si="59"/>
        <v>1.2509533488940577E-2</v>
      </c>
      <c r="S228" s="2"/>
      <c r="T228" s="6">
        <v>167045.1</v>
      </c>
      <c r="U228" s="2"/>
      <c r="V228" s="7">
        <f t="shared" si="60"/>
        <v>1.2163371406994333E-2</v>
      </c>
      <c r="W228" s="2"/>
      <c r="X228" s="6">
        <f t="shared" si="61"/>
        <v>1300.7299999999814</v>
      </c>
      <c r="Y228" s="2"/>
      <c r="Z228" s="7">
        <f t="shared" si="62"/>
        <v>7.7866995200696178E-3</v>
      </c>
    </row>
    <row r="229" spans="1:26" s="24" customFormat="1" hidden="1" outlineLevel="2" x14ac:dyDescent="0.25">
      <c r="A229" s="26"/>
      <c r="B229" s="11" t="str">
        <f>CONCATENATE("          ", "9175", " - ", "EARNED DISCOUNTS")</f>
        <v xml:space="preserve">          9175 - EARNED DISCOUNTS</v>
      </c>
      <c r="C229" s="11"/>
      <c r="D229" s="6">
        <v>-469.89</v>
      </c>
      <c r="E229" s="2"/>
      <c r="F229" s="7">
        <f t="shared" si="55"/>
        <v>-1.2619821294156133E-4</v>
      </c>
      <c r="G229" s="2"/>
      <c r="H229" s="6">
        <v>-48.15</v>
      </c>
      <c r="I229" s="2"/>
      <c r="J229" s="7">
        <f t="shared" si="56"/>
        <v>-1.3022538625525712E-5</v>
      </c>
      <c r="K229" s="2"/>
      <c r="L229" s="6">
        <f t="shared" si="57"/>
        <v>-421.74</v>
      </c>
      <c r="M229" s="2"/>
      <c r="N229" s="7">
        <f t="shared" si="58"/>
        <v>8.7588785046728983</v>
      </c>
      <c r="O229" s="11"/>
      <c r="P229" s="6">
        <v>-2117.75</v>
      </c>
      <c r="Q229" s="2"/>
      <c r="R229" s="7">
        <f t="shared" si="59"/>
        <v>-1.5736691871847322E-4</v>
      </c>
      <c r="S229" s="2"/>
      <c r="T229" s="6">
        <v>-2527.02</v>
      </c>
      <c r="U229" s="2"/>
      <c r="V229" s="7">
        <f t="shared" si="60"/>
        <v>-1.8400469581509915E-4</v>
      </c>
      <c r="W229" s="2"/>
      <c r="X229" s="6">
        <f t="shared" si="61"/>
        <v>409.27</v>
      </c>
      <c r="Y229" s="2"/>
      <c r="Z229" s="7">
        <f t="shared" si="62"/>
        <v>-0.16195756266274108</v>
      </c>
    </row>
    <row r="230" spans="1:26" s="27" customFormat="1" outlineLevel="1" collapsed="1" x14ac:dyDescent="0.25">
      <c r="A230" s="25"/>
      <c r="B230" s="13" t="str">
        <f>CONCATENATE("     ","Donations                                         ")</f>
        <v xml:space="preserve">     Donations                                         </v>
      </c>
      <c r="C230" s="13"/>
      <c r="D230" s="1">
        <f>SUM(OSRRefD22_7x_0)</f>
        <v>24688.82</v>
      </c>
      <c r="E230" s="1"/>
      <c r="F230" s="5">
        <f t="shared" ref="F230:F238" si="63">IF(D$12=0,0,D230/D$12)</f>
        <v>6.630668802562043E-3</v>
      </c>
      <c r="G230" s="1"/>
      <c r="H230" s="1">
        <f>SUM(OSRRefH22_7x_0)</f>
        <v>23313.230000000003</v>
      </c>
      <c r="I230" s="1"/>
      <c r="J230" s="5">
        <f t="shared" ref="J230:J238" si="64">IF(H$12=0,0,H230/H$12)</f>
        <v>6.3052427447718553E-3</v>
      </c>
      <c r="K230" s="1"/>
      <c r="L230" s="1">
        <f t="shared" ref="L230:L238" si="65">+D230-H230</f>
        <v>1375.5899999999965</v>
      </c>
      <c r="M230" s="1"/>
      <c r="N230" s="5">
        <f t="shared" ref="N230:N238" si="66">IF(H230=0,0,L230/H230)</f>
        <v>5.9004693901273927E-2</v>
      </c>
      <c r="O230" s="13"/>
      <c r="P230" s="1">
        <f>SUM(OSRRefP22_7x_0)</f>
        <v>56510.91</v>
      </c>
      <c r="Q230" s="1"/>
      <c r="R230" s="5">
        <f t="shared" ref="R230:R238" si="67">IF(P$12=0,0,P230/P$12)</f>
        <v>4.1992434332083365E-3</v>
      </c>
      <c r="S230" s="1"/>
      <c r="T230" s="1">
        <f>SUM(OSRRefT22_7x_0)</f>
        <v>49882.25</v>
      </c>
      <c r="U230" s="1"/>
      <c r="V230" s="5">
        <f t="shared" ref="V230:V238" si="68">IF(T$12=0,0,T230/T$12)</f>
        <v>3.6321707931962271E-3</v>
      </c>
      <c r="W230" s="1"/>
      <c r="X230" s="1">
        <f t="shared" ref="X230:X238" si="69">+P230-T230</f>
        <v>6628.6600000000035</v>
      </c>
      <c r="Y230" s="1"/>
      <c r="Z230" s="5">
        <f t="shared" ref="Z230:Z238" si="70">IF(T230=0,0,X230/T230)</f>
        <v>0.13288614687589279</v>
      </c>
    </row>
    <row r="231" spans="1:26" s="24" customFormat="1" hidden="1" outlineLevel="2" x14ac:dyDescent="0.25">
      <c r="A231" s="26"/>
      <c r="B231" s="11" t="str">
        <f>CONCATENATE("          ", "6399", " - ", "DONATION-ON CAMPUS")</f>
        <v xml:space="preserve">          6399 - DONATION-ON CAMPUS</v>
      </c>
      <c r="C231" s="11"/>
      <c r="D231" s="6">
        <v>24688.82</v>
      </c>
      <c r="E231" s="2"/>
      <c r="F231" s="7">
        <f t="shared" si="63"/>
        <v>6.630668802562043E-3</v>
      </c>
      <c r="G231" s="2"/>
      <c r="H231" s="6">
        <v>23313.230000000003</v>
      </c>
      <c r="I231" s="2"/>
      <c r="J231" s="7">
        <f t="shared" si="64"/>
        <v>6.3052427447718553E-3</v>
      </c>
      <c r="K231" s="2"/>
      <c r="L231" s="6">
        <f t="shared" si="65"/>
        <v>1375.5899999999965</v>
      </c>
      <c r="M231" s="2"/>
      <c r="N231" s="7">
        <f t="shared" si="66"/>
        <v>5.9004693901273927E-2</v>
      </c>
      <c r="O231" s="11"/>
      <c r="P231" s="6">
        <v>56510.91</v>
      </c>
      <c r="Q231" s="2"/>
      <c r="R231" s="7">
        <f t="shared" si="67"/>
        <v>4.1992434332083365E-3</v>
      </c>
      <c r="S231" s="2"/>
      <c r="T231" s="6">
        <v>49882.25</v>
      </c>
      <c r="U231" s="2"/>
      <c r="V231" s="7">
        <f t="shared" si="68"/>
        <v>3.6321707931962271E-3</v>
      </c>
      <c r="W231" s="2"/>
      <c r="X231" s="6">
        <f t="shared" si="69"/>
        <v>6628.6600000000035</v>
      </c>
      <c r="Y231" s="2"/>
      <c r="Z231" s="7">
        <f t="shared" si="70"/>
        <v>0.13288614687589279</v>
      </c>
    </row>
    <row r="232" spans="1:26" s="27" customFormat="1" outlineLevel="1" collapsed="1" x14ac:dyDescent="0.25">
      <c r="A232" s="25"/>
      <c r="B232" s="13" t="str">
        <f>CONCATENATE("     ","Employees' Appreciation                           ")</f>
        <v xml:space="preserve">     Employees' Appreciation                           </v>
      </c>
      <c r="C232" s="13"/>
      <c r="D232" s="1">
        <f>SUM(OSRRefD22_8x_0)</f>
        <v>160.91999999999999</v>
      </c>
      <c r="E232" s="1"/>
      <c r="F232" s="5">
        <f t="shared" si="63"/>
        <v>4.3218234962557303E-5</v>
      </c>
      <c r="G232" s="1"/>
      <c r="H232" s="1">
        <f>SUM(OSRRefH22_8x_0)</f>
        <v>1185.1500000000001</v>
      </c>
      <c r="I232" s="1"/>
      <c r="J232" s="5">
        <f t="shared" si="64"/>
        <v>3.205329522750114E-4</v>
      </c>
      <c r="K232" s="1"/>
      <c r="L232" s="1">
        <f t="shared" si="65"/>
        <v>-1024.23</v>
      </c>
      <c r="M232" s="1"/>
      <c r="N232" s="5">
        <f t="shared" si="66"/>
        <v>-0.86421971902290839</v>
      </c>
      <c r="O232" s="13"/>
      <c r="P232" s="1">
        <f>SUM(OSRRefP22_8x_0)</f>
        <v>2078.15</v>
      </c>
      <c r="Q232" s="1"/>
      <c r="R232" s="5">
        <f t="shared" si="67"/>
        <v>1.5442430038238467E-4</v>
      </c>
      <c r="S232" s="1"/>
      <c r="T232" s="1">
        <f>SUM(OSRRefT22_8x_0)</f>
        <v>3576.9</v>
      </c>
      <c r="U232" s="1"/>
      <c r="V232" s="5">
        <f t="shared" si="68"/>
        <v>2.6045159771629359E-4</v>
      </c>
      <c r="W232" s="1"/>
      <c r="X232" s="1">
        <f t="shared" si="69"/>
        <v>-1498.75</v>
      </c>
      <c r="Y232" s="1"/>
      <c r="Z232" s="5">
        <f t="shared" si="70"/>
        <v>-0.41900807962201908</v>
      </c>
    </row>
    <row r="233" spans="1:26" s="24" customFormat="1" hidden="1" outlineLevel="2" x14ac:dyDescent="0.25">
      <c r="A233" s="26"/>
      <c r="B233" s="11" t="str">
        <f>CONCATENATE("          ", "6277", " - ", "EMPLOYEE APPRECIATION")</f>
        <v xml:space="preserve">          6277 - EMPLOYEE APPRECIATION</v>
      </c>
      <c r="C233" s="11"/>
      <c r="D233" s="6">
        <v>160.91999999999999</v>
      </c>
      <c r="E233" s="2"/>
      <c r="F233" s="7">
        <f t="shared" si="63"/>
        <v>4.3218234962557303E-5</v>
      </c>
      <c r="G233" s="2"/>
      <c r="H233" s="6">
        <v>1185.1500000000001</v>
      </c>
      <c r="I233" s="2"/>
      <c r="J233" s="7">
        <f t="shared" si="64"/>
        <v>3.205329522750114E-4</v>
      </c>
      <c r="K233" s="2"/>
      <c r="L233" s="6">
        <f t="shared" si="65"/>
        <v>-1024.23</v>
      </c>
      <c r="M233" s="2"/>
      <c r="N233" s="7">
        <f t="shared" si="66"/>
        <v>-0.86421971902290839</v>
      </c>
      <c r="O233" s="11"/>
      <c r="P233" s="6">
        <v>2078.15</v>
      </c>
      <c r="Q233" s="2"/>
      <c r="R233" s="7">
        <f t="shared" si="67"/>
        <v>1.5442430038238467E-4</v>
      </c>
      <c r="S233" s="2"/>
      <c r="T233" s="6">
        <v>3576.9</v>
      </c>
      <c r="U233" s="2"/>
      <c r="V233" s="7">
        <f t="shared" si="68"/>
        <v>2.6045159771629359E-4</v>
      </c>
      <c r="W233" s="2"/>
      <c r="X233" s="6">
        <f t="shared" si="69"/>
        <v>-1498.75</v>
      </c>
      <c r="Y233" s="2"/>
      <c r="Z233" s="7">
        <f t="shared" si="70"/>
        <v>-0.41900807962201908</v>
      </c>
    </row>
    <row r="234" spans="1:26" s="27" customFormat="1" outlineLevel="1" collapsed="1" x14ac:dyDescent="0.25">
      <c r="A234" s="25"/>
      <c r="B234" s="13" t="str">
        <f>CONCATENATE("     ","Equipment Rental                                  ")</f>
        <v xml:space="preserve">     Equipment Rental                                  </v>
      </c>
      <c r="C234" s="13"/>
      <c r="D234" s="1">
        <f>SUM(OSRRefD22_9x_0)</f>
        <v>10339.049999999999</v>
      </c>
      <c r="E234" s="1"/>
      <c r="F234" s="5">
        <f t="shared" si="63"/>
        <v>2.7767554821627395E-3</v>
      </c>
      <c r="G234" s="1"/>
      <c r="H234" s="1">
        <f>SUM(OSRRefH22_9x_0)</f>
        <v>5518.4</v>
      </c>
      <c r="I234" s="1"/>
      <c r="J234" s="5">
        <f t="shared" si="64"/>
        <v>1.4924938141454016E-3</v>
      </c>
      <c r="K234" s="1"/>
      <c r="L234" s="1">
        <f t="shared" si="65"/>
        <v>4820.6499999999996</v>
      </c>
      <c r="M234" s="1"/>
      <c r="N234" s="5">
        <f t="shared" si="66"/>
        <v>0.87355936503334297</v>
      </c>
      <c r="O234" s="13"/>
      <c r="P234" s="1">
        <f>SUM(OSRRefP22_9x_0)</f>
        <v>22192.99</v>
      </c>
      <c r="Q234" s="1"/>
      <c r="R234" s="5">
        <f t="shared" si="67"/>
        <v>1.6491287703694435E-3</v>
      </c>
      <c r="S234" s="1"/>
      <c r="T234" s="1">
        <f>SUM(OSRRefT22_9x_0)</f>
        <v>21881.89</v>
      </c>
      <c r="U234" s="1"/>
      <c r="V234" s="5">
        <f t="shared" si="68"/>
        <v>1.5933275214717177E-3</v>
      </c>
      <c r="W234" s="1"/>
      <c r="X234" s="1">
        <f t="shared" si="69"/>
        <v>311.10000000000218</v>
      </c>
      <c r="Y234" s="1"/>
      <c r="Z234" s="5">
        <f t="shared" si="70"/>
        <v>1.4217236262498449E-2</v>
      </c>
    </row>
    <row r="235" spans="1:26" s="24" customFormat="1" hidden="1" outlineLevel="2" x14ac:dyDescent="0.25">
      <c r="A235" s="26"/>
      <c r="B235" s="11" t="str">
        <f>CONCATENATE("          ", "6351", " - ", "EQUIPMENT RENTAL")</f>
        <v xml:space="preserve">          6351 - EQUIPMENT RENTAL</v>
      </c>
      <c r="C235" s="11"/>
      <c r="D235" s="6">
        <v>10339.049999999999</v>
      </c>
      <c r="E235" s="2"/>
      <c r="F235" s="7">
        <f t="shared" si="63"/>
        <v>2.7767554821627395E-3</v>
      </c>
      <c r="G235" s="2"/>
      <c r="H235" s="6">
        <v>5518.4</v>
      </c>
      <c r="I235" s="2"/>
      <c r="J235" s="7">
        <f t="shared" si="64"/>
        <v>1.4924938141454016E-3</v>
      </c>
      <c r="K235" s="2"/>
      <c r="L235" s="6">
        <f t="shared" si="65"/>
        <v>4820.6499999999996</v>
      </c>
      <c r="M235" s="2"/>
      <c r="N235" s="7">
        <f t="shared" si="66"/>
        <v>0.87355936503334297</v>
      </c>
      <c r="O235" s="11"/>
      <c r="P235" s="6">
        <v>22192.99</v>
      </c>
      <c r="Q235" s="2"/>
      <c r="R235" s="7">
        <f t="shared" si="67"/>
        <v>1.6491287703694435E-3</v>
      </c>
      <c r="S235" s="2"/>
      <c r="T235" s="6">
        <v>21881.89</v>
      </c>
      <c r="U235" s="2"/>
      <c r="V235" s="7">
        <f t="shared" si="68"/>
        <v>1.5933275214717177E-3</v>
      </c>
      <c r="W235" s="2"/>
      <c r="X235" s="6">
        <f t="shared" si="69"/>
        <v>311.10000000000218</v>
      </c>
      <c r="Y235" s="2"/>
      <c r="Z235" s="7">
        <f t="shared" si="70"/>
        <v>1.4217236262498449E-2</v>
      </c>
    </row>
    <row r="236" spans="1:26" s="27" customFormat="1" outlineLevel="1" collapsed="1" x14ac:dyDescent="0.25">
      <c r="A236" s="25"/>
      <c r="B236" s="13" t="str">
        <f>CONCATENATE("     ","Freight out/Postage                               ")</f>
        <v xml:space="preserve">     Freight out/Postage                               </v>
      </c>
      <c r="C236" s="13"/>
      <c r="D236" s="1">
        <f>SUM(OSRRefD22_10x_0)</f>
        <v>1663.4299999999998</v>
      </c>
      <c r="E236" s="1"/>
      <c r="F236" s="5">
        <f t="shared" si="63"/>
        <v>4.4674688406516708E-4</v>
      </c>
      <c r="G236" s="1"/>
      <c r="H236" s="1">
        <f>SUM(OSRRefH22_10x_0)</f>
        <v>6841.59</v>
      </c>
      <c r="I236" s="1"/>
      <c r="J236" s="5">
        <f t="shared" si="64"/>
        <v>1.8503607483906636E-3</v>
      </c>
      <c r="K236" s="1"/>
      <c r="L236" s="1">
        <f t="shared" si="65"/>
        <v>-5178.16</v>
      </c>
      <c r="M236" s="1"/>
      <c r="N236" s="5">
        <f t="shared" si="66"/>
        <v>-0.75686499775636951</v>
      </c>
      <c r="O236" s="13"/>
      <c r="P236" s="1">
        <f>SUM(OSRRefP22_10x_0)</f>
        <v>-3896.3700000000026</v>
      </c>
      <c r="Q236" s="1"/>
      <c r="R236" s="5">
        <f t="shared" si="67"/>
        <v>-2.8953358096427709E-4</v>
      </c>
      <c r="S236" s="1"/>
      <c r="T236" s="1">
        <f>SUM(OSRRefT22_10x_0)</f>
        <v>7836.0999999999949</v>
      </c>
      <c r="U236" s="1"/>
      <c r="V236" s="5">
        <f t="shared" si="68"/>
        <v>5.7058479825118028E-4</v>
      </c>
      <c r="W236" s="1"/>
      <c r="X236" s="1">
        <f t="shared" si="69"/>
        <v>-11732.469999999998</v>
      </c>
      <c r="Y236" s="1"/>
      <c r="Z236" s="5">
        <f t="shared" si="70"/>
        <v>-1.4972333175942121</v>
      </c>
    </row>
    <row r="237" spans="1:26" s="24" customFormat="1" hidden="1" outlineLevel="2" x14ac:dyDescent="0.25">
      <c r="A237" s="26"/>
      <c r="B237" s="11" t="str">
        <f>CONCATENATE("          ", "6305", " - ", "FREIGHT OUT")</f>
        <v xml:space="preserve">          6305 - FREIGHT OUT</v>
      </c>
      <c r="C237" s="11"/>
      <c r="D237" s="6">
        <v>4609.62</v>
      </c>
      <c r="E237" s="2"/>
      <c r="F237" s="7">
        <f t="shared" si="63"/>
        <v>1.2380042272439932E-3</v>
      </c>
      <c r="G237" s="2"/>
      <c r="H237" s="6">
        <v>8549.02</v>
      </c>
      <c r="I237" s="2"/>
      <c r="J237" s="7">
        <f t="shared" si="64"/>
        <v>2.3121483522407439E-3</v>
      </c>
      <c r="K237" s="2"/>
      <c r="L237" s="6">
        <f t="shared" si="65"/>
        <v>-3939.4000000000005</v>
      </c>
      <c r="M237" s="2"/>
      <c r="N237" s="7">
        <f t="shared" si="66"/>
        <v>-0.46080135500911218</v>
      </c>
      <c r="O237" s="11"/>
      <c r="P237" s="6">
        <v>19691.86</v>
      </c>
      <c r="Q237" s="2"/>
      <c r="R237" s="7">
        <f t="shared" si="67"/>
        <v>1.4632734421133533E-3</v>
      </c>
      <c r="S237" s="2"/>
      <c r="T237" s="6">
        <v>27967.809999999998</v>
      </c>
      <c r="U237" s="2"/>
      <c r="V237" s="7">
        <f t="shared" si="68"/>
        <v>2.0364731468941631E-3</v>
      </c>
      <c r="W237" s="2"/>
      <c r="X237" s="6">
        <f t="shared" si="69"/>
        <v>-8275.9499999999971</v>
      </c>
      <c r="Y237" s="2"/>
      <c r="Z237" s="7">
        <f t="shared" si="70"/>
        <v>-0.29590983348356548</v>
      </c>
    </row>
    <row r="238" spans="1:26" s="24" customFormat="1" hidden="1" outlineLevel="2" x14ac:dyDescent="0.25">
      <c r="A238" s="26"/>
      <c r="B238" s="11" t="str">
        <f>CONCATENATE("          ", "6307", " - ", "POSTAGE")</f>
        <v xml:space="preserve">          6307 - POSTAGE</v>
      </c>
      <c r="C238" s="11"/>
      <c r="D238" s="6">
        <v>-2946.19</v>
      </c>
      <c r="E238" s="2"/>
      <c r="F238" s="7">
        <f t="shared" si="63"/>
        <v>-7.9125734317882614E-4</v>
      </c>
      <c r="G238" s="2"/>
      <c r="H238" s="6">
        <v>-1707.43</v>
      </c>
      <c r="I238" s="2"/>
      <c r="J238" s="7">
        <f t="shared" si="64"/>
        <v>-4.6178760385008031E-4</v>
      </c>
      <c r="K238" s="2"/>
      <c r="L238" s="6">
        <f t="shared" si="65"/>
        <v>-1238.76</v>
      </c>
      <c r="M238" s="2"/>
      <c r="N238" s="7">
        <f t="shared" si="66"/>
        <v>0.72551144117181965</v>
      </c>
      <c r="O238" s="11"/>
      <c r="P238" s="6">
        <v>-23588.230000000003</v>
      </c>
      <c r="Q238" s="2"/>
      <c r="R238" s="7">
        <f t="shared" si="67"/>
        <v>-1.7528070230776304E-3</v>
      </c>
      <c r="S238" s="2"/>
      <c r="T238" s="6">
        <v>-20131.710000000003</v>
      </c>
      <c r="U238" s="2"/>
      <c r="V238" s="7">
        <f t="shared" si="68"/>
        <v>-1.4658883486429828E-3</v>
      </c>
      <c r="W238" s="2"/>
      <c r="X238" s="6">
        <f t="shared" si="69"/>
        <v>-3456.5200000000004</v>
      </c>
      <c r="Y238" s="2"/>
      <c r="Z238" s="7">
        <f t="shared" si="70"/>
        <v>0.17169530059791244</v>
      </c>
    </row>
    <row r="239" spans="1:26" s="27" customFormat="1" outlineLevel="1" collapsed="1" x14ac:dyDescent="0.25">
      <c r="A239" s="25"/>
      <c r="B239" s="13" t="str">
        <f>CONCATENATE("     ","General                                           ")</f>
        <v xml:space="preserve">     General                                           </v>
      </c>
      <c r="C239" s="13"/>
      <c r="D239" s="1">
        <f>SUM(OSRRefD22_11x_0)</f>
        <v>11074.17</v>
      </c>
      <c r="E239" s="1"/>
      <c r="F239" s="5">
        <f t="shared" ref="F239:F241" si="71">IF(D$12=0,0,D239/D$12)</f>
        <v>2.9741864347209994E-3</v>
      </c>
      <c r="G239" s="1"/>
      <c r="H239" s="1">
        <f>SUM(OSRRefH22_11x_0)</f>
        <v>5203.12</v>
      </c>
      <c r="I239" s="1"/>
      <c r="J239" s="5">
        <f t="shared" ref="J239:J241" si="72">IF(H$12=0,0,H239/H$12)</f>
        <v>1.407223908063247E-3</v>
      </c>
      <c r="K239" s="1"/>
      <c r="L239" s="1">
        <f t="shared" ref="L239:L241" si="73">+D239-H239</f>
        <v>5871.05</v>
      </c>
      <c r="M239" s="1"/>
      <c r="N239" s="5">
        <f t="shared" ref="N239:N241" si="74">IF(H239=0,0,L239/H239)</f>
        <v>1.1283710542905028</v>
      </c>
      <c r="O239" s="13"/>
      <c r="P239" s="1">
        <f>SUM(OSRRefP22_11x_0)</f>
        <v>35849.939999999995</v>
      </c>
      <c r="Q239" s="1"/>
      <c r="R239" s="5">
        <f t="shared" ref="R239:R241" si="75">IF(P$12=0,0,P239/P$12)</f>
        <v>2.6639568381735994E-3</v>
      </c>
      <c r="S239" s="1"/>
      <c r="T239" s="1">
        <f>SUM(OSRRefT22_11x_0)</f>
        <v>40681.49</v>
      </c>
      <c r="U239" s="1"/>
      <c r="V239" s="5">
        <f t="shared" ref="V239:V241" si="76">IF(T$12=0,0,T239/T$12)</f>
        <v>2.9622184204141631E-3</v>
      </c>
      <c r="W239" s="1"/>
      <c r="X239" s="1">
        <f t="shared" ref="X239:X241" si="77">+P239-T239</f>
        <v>-4831.5500000000029</v>
      </c>
      <c r="Y239" s="1"/>
      <c r="Z239" s="5">
        <f t="shared" ref="Z239:Z241" si="78">IF(T239=0,0,X239/T239)</f>
        <v>-0.11876531562634512</v>
      </c>
    </row>
    <row r="240" spans="1:26" s="24" customFormat="1" hidden="1" outlineLevel="2" x14ac:dyDescent="0.25">
      <c r="A240" s="26"/>
      <c r="B240" s="11" t="str">
        <f>CONCATENATE("          ", "6269", " - ", "ENTERTAINMENT")</f>
        <v xml:space="preserve">          6269 - ENTERTAINMENT</v>
      </c>
      <c r="C240" s="11"/>
      <c r="D240" s="6">
        <v>1850</v>
      </c>
      <c r="E240" s="2"/>
      <c r="F240" s="7">
        <f t="shared" si="71"/>
        <v>4.9685393164759512E-4</v>
      </c>
      <c r="G240" s="2"/>
      <c r="H240" s="6">
        <v>960</v>
      </c>
      <c r="I240" s="2"/>
      <c r="J240" s="7">
        <f t="shared" si="72"/>
        <v>2.596393993874285E-4</v>
      </c>
      <c r="K240" s="2"/>
      <c r="L240" s="6">
        <f t="shared" si="73"/>
        <v>890</v>
      </c>
      <c r="M240" s="2"/>
      <c r="N240" s="7">
        <f t="shared" si="74"/>
        <v>0.92708333333333337</v>
      </c>
      <c r="O240" s="11"/>
      <c r="P240" s="6">
        <v>5500</v>
      </c>
      <c r="Q240" s="2"/>
      <c r="R240" s="7">
        <f t="shared" si="75"/>
        <v>4.0869699112341051E-4</v>
      </c>
      <c r="S240" s="2"/>
      <c r="T240" s="6">
        <v>4060</v>
      </c>
      <c r="U240" s="2"/>
      <c r="V240" s="7">
        <f t="shared" si="76"/>
        <v>2.9562847346253793E-4</v>
      </c>
      <c r="W240" s="2"/>
      <c r="X240" s="6">
        <f t="shared" si="77"/>
        <v>1440</v>
      </c>
      <c r="Y240" s="2"/>
      <c r="Z240" s="7">
        <f t="shared" si="78"/>
        <v>0.35467980295566504</v>
      </c>
    </row>
    <row r="241" spans="1:26" s="24" customFormat="1" hidden="1" outlineLevel="2" x14ac:dyDescent="0.25">
      <c r="A241" s="26"/>
      <c r="B241" s="11" t="str">
        <f>CONCATENATE("          ", "6279", " - ", "GENERAL EXPENSE")</f>
        <v xml:space="preserve">          6279 - GENERAL EXPENSE</v>
      </c>
      <c r="C241" s="11"/>
      <c r="D241" s="6">
        <v>9224.17</v>
      </c>
      <c r="E241" s="2"/>
      <c r="F241" s="7">
        <f t="shared" si="71"/>
        <v>2.4773325030734042E-3</v>
      </c>
      <c r="G241" s="2"/>
      <c r="H241" s="6">
        <v>4243.12</v>
      </c>
      <c r="I241" s="2"/>
      <c r="J241" s="7">
        <f t="shared" si="72"/>
        <v>1.1475845086758184E-3</v>
      </c>
      <c r="K241" s="2"/>
      <c r="L241" s="6">
        <f t="shared" si="73"/>
        <v>4981.05</v>
      </c>
      <c r="M241" s="2"/>
      <c r="N241" s="7">
        <f t="shared" si="74"/>
        <v>1.1739121212692547</v>
      </c>
      <c r="O241" s="11"/>
      <c r="P241" s="6">
        <v>30349.939999999995</v>
      </c>
      <c r="Q241" s="2"/>
      <c r="R241" s="7">
        <f t="shared" si="75"/>
        <v>2.255259847050189E-3</v>
      </c>
      <c r="S241" s="2"/>
      <c r="T241" s="6">
        <v>36621.49</v>
      </c>
      <c r="U241" s="2"/>
      <c r="V241" s="7">
        <f t="shared" si="76"/>
        <v>2.6665899469516252E-3</v>
      </c>
      <c r="W241" s="2"/>
      <c r="X241" s="6">
        <f t="shared" si="77"/>
        <v>-6271.5500000000029</v>
      </c>
      <c r="Y241" s="2"/>
      <c r="Z241" s="7">
        <f t="shared" si="78"/>
        <v>-0.17125327232725931</v>
      </c>
    </row>
    <row r="242" spans="1:26" s="27" customFormat="1" outlineLevel="1" collapsed="1" x14ac:dyDescent="0.25">
      <c r="A242" s="25"/>
      <c r="B242" s="13" t="str">
        <f>CONCATENATE("     ","Insurance                                         ")</f>
        <v xml:space="preserve">     Insurance                                         </v>
      </c>
      <c r="C242" s="13"/>
      <c r="D242" s="1">
        <f>SUM(OSRRefD22_12x_0)</f>
        <v>8563.32</v>
      </c>
      <c r="E242" s="1"/>
      <c r="F242" s="5">
        <f t="shared" ref="F242:F257" si="79">IF(D$12=0,0,D242/D$12)</f>
        <v>2.2998482215980998E-3</v>
      </c>
      <c r="G242" s="1"/>
      <c r="H242" s="1">
        <f>SUM(OSRRefH22_12x_0)</f>
        <v>8064.85</v>
      </c>
      <c r="I242" s="1"/>
      <c r="J242" s="5">
        <f t="shared" ref="J242:J257" si="80">IF(H$12=0,0,H242/H$12)</f>
        <v>2.1812008439059407E-3</v>
      </c>
      <c r="K242" s="1"/>
      <c r="L242" s="1">
        <f t="shared" ref="L242:L257" si="81">+D242-H242</f>
        <v>498.46999999999935</v>
      </c>
      <c r="M242" s="1"/>
      <c r="N242" s="5">
        <f t="shared" ref="N242:N257" si="82">IF(H242=0,0,L242/H242)</f>
        <v>6.180772116034388E-2</v>
      </c>
      <c r="O242" s="13"/>
      <c r="P242" s="1">
        <f>SUM(OSRRefP22_12x_0)</f>
        <v>34253.279999999999</v>
      </c>
      <c r="Q242" s="1"/>
      <c r="R242" s="5">
        <f t="shared" ref="R242:R257" si="83">IF(P$12=0,0,P242/P$12)</f>
        <v>2.5453113585650355E-3</v>
      </c>
      <c r="S242" s="1"/>
      <c r="T242" s="1">
        <f>SUM(OSRRefT22_12x_0)</f>
        <v>36847.4</v>
      </c>
      <c r="U242" s="1"/>
      <c r="V242" s="5">
        <f t="shared" ref="V242:V257" si="84">IF(T$12=0,0,T242/T$12)</f>
        <v>2.6830395598678621E-3</v>
      </c>
      <c r="W242" s="1"/>
      <c r="X242" s="1">
        <f t="shared" ref="X242:X257" si="85">+P242-T242</f>
        <v>-2594.1200000000026</v>
      </c>
      <c r="Y242" s="1"/>
      <c r="Z242" s="5">
        <f t="shared" ref="Z242:Z257" si="86">IF(T242=0,0,X242/T242)</f>
        <v>-7.040171083984223E-2</v>
      </c>
    </row>
    <row r="243" spans="1:26" s="24" customFormat="1" hidden="1" outlineLevel="2" x14ac:dyDescent="0.25">
      <c r="A243" s="26"/>
      <c r="B243" s="11" t="str">
        <f>CONCATENATE("          ", "6314", " - ", "LIABILITY INSURANCE")</f>
        <v xml:space="preserve">          6314 - LIABILITY INSURANCE</v>
      </c>
      <c r="C243" s="11"/>
      <c r="D243" s="6">
        <v>8563.32</v>
      </c>
      <c r="E243" s="2"/>
      <c r="F243" s="7">
        <f t="shared" si="79"/>
        <v>2.2998482215980998E-3</v>
      </c>
      <c r="G243" s="2"/>
      <c r="H243" s="6">
        <v>8064.85</v>
      </c>
      <c r="I243" s="2"/>
      <c r="J243" s="7">
        <f t="shared" si="80"/>
        <v>2.1812008439059407E-3</v>
      </c>
      <c r="K243" s="2"/>
      <c r="L243" s="6">
        <f t="shared" si="81"/>
        <v>498.46999999999935</v>
      </c>
      <c r="M243" s="2"/>
      <c r="N243" s="7">
        <f t="shared" si="82"/>
        <v>6.180772116034388E-2</v>
      </c>
      <c r="O243" s="11"/>
      <c r="P243" s="6">
        <v>34253.279999999999</v>
      </c>
      <c r="Q243" s="2"/>
      <c r="R243" s="7">
        <f t="shared" si="83"/>
        <v>2.5453113585650355E-3</v>
      </c>
      <c r="S243" s="2"/>
      <c r="T243" s="6">
        <v>36847.4</v>
      </c>
      <c r="U243" s="2"/>
      <c r="V243" s="7">
        <f t="shared" si="84"/>
        <v>2.6830395598678621E-3</v>
      </c>
      <c r="W243" s="2"/>
      <c r="X243" s="6">
        <f t="shared" si="85"/>
        <v>-2594.1200000000026</v>
      </c>
      <c r="Y243" s="2"/>
      <c r="Z243" s="7">
        <f t="shared" si="86"/>
        <v>-7.040171083984223E-2</v>
      </c>
    </row>
    <row r="244" spans="1:26" s="27" customFormat="1" outlineLevel="1" collapsed="1" x14ac:dyDescent="0.25">
      <c r="A244" s="25"/>
      <c r="B244" s="13" t="str">
        <f>CONCATENATE("     ","Interest                                          ")</f>
        <v xml:space="preserve">     Interest                                          </v>
      </c>
      <c r="C244" s="13"/>
      <c r="D244" s="1">
        <f>SUM(OSRRefD22_13x_0)</f>
        <v>11897</v>
      </c>
      <c r="E244" s="1"/>
      <c r="F244" s="5">
        <f t="shared" si="79"/>
        <v>3.1951736350332104E-3</v>
      </c>
      <c r="G244" s="1"/>
      <c r="H244" s="1">
        <f>SUM(OSRRefH22_13x_0)</f>
        <v>11614</v>
      </c>
      <c r="I244" s="1"/>
      <c r="J244" s="5">
        <f t="shared" si="80"/>
        <v>3.1410958171724946E-3</v>
      </c>
      <c r="K244" s="1"/>
      <c r="L244" s="1">
        <f t="shared" si="81"/>
        <v>283</v>
      </c>
      <c r="M244" s="1"/>
      <c r="N244" s="5">
        <f t="shared" si="82"/>
        <v>2.436714310315137E-2</v>
      </c>
      <c r="O244" s="13"/>
      <c r="P244" s="1">
        <f>SUM(OSRRefP22_13x_0)</f>
        <v>47117</v>
      </c>
      <c r="Q244" s="1"/>
      <c r="R244" s="5">
        <f t="shared" si="83"/>
        <v>3.5011956601384967E-3</v>
      </c>
      <c r="S244" s="1"/>
      <c r="T244" s="1">
        <f>SUM(OSRRefT22_13x_0)</f>
        <v>48301</v>
      </c>
      <c r="U244" s="1"/>
      <c r="V244" s="5">
        <f t="shared" si="84"/>
        <v>3.5170322405699618E-3</v>
      </c>
      <c r="W244" s="1"/>
      <c r="X244" s="1">
        <f t="shared" si="85"/>
        <v>-1184</v>
      </c>
      <c r="Y244" s="1"/>
      <c r="Z244" s="5">
        <f t="shared" si="86"/>
        <v>-2.4512950042442184E-2</v>
      </c>
    </row>
    <row r="245" spans="1:26" s="24" customFormat="1" hidden="1" outlineLevel="2" x14ac:dyDescent="0.25">
      <c r="A245" s="26"/>
      <c r="B245" s="11" t="str">
        <f>CONCATENATE("          ", "6401", " - ", "INTEREST EXPENSE")</f>
        <v xml:space="preserve">          6401 - INTEREST EXPENSE</v>
      </c>
      <c r="C245" s="11"/>
      <c r="D245" s="6">
        <v>11897</v>
      </c>
      <c r="E245" s="2"/>
      <c r="F245" s="7">
        <f t="shared" si="79"/>
        <v>3.1951736350332104E-3</v>
      </c>
      <c r="G245" s="2"/>
      <c r="H245" s="6">
        <v>11614</v>
      </c>
      <c r="I245" s="2"/>
      <c r="J245" s="7">
        <f t="shared" si="80"/>
        <v>3.1410958171724946E-3</v>
      </c>
      <c r="K245" s="2"/>
      <c r="L245" s="6">
        <f t="shared" si="81"/>
        <v>283</v>
      </c>
      <c r="M245" s="2"/>
      <c r="N245" s="7">
        <f t="shared" si="82"/>
        <v>2.436714310315137E-2</v>
      </c>
      <c r="O245" s="11"/>
      <c r="P245" s="6">
        <v>47117</v>
      </c>
      <c r="Q245" s="2"/>
      <c r="R245" s="7">
        <f t="shared" si="83"/>
        <v>3.5011956601384967E-3</v>
      </c>
      <c r="S245" s="2"/>
      <c r="T245" s="6">
        <v>48301</v>
      </c>
      <c r="U245" s="2"/>
      <c r="V245" s="7">
        <f t="shared" si="84"/>
        <v>3.5170322405699618E-3</v>
      </c>
      <c r="W245" s="2"/>
      <c r="X245" s="6">
        <f t="shared" si="85"/>
        <v>-1184</v>
      </c>
      <c r="Y245" s="2"/>
      <c r="Z245" s="7">
        <f t="shared" si="86"/>
        <v>-2.4512950042442184E-2</v>
      </c>
    </row>
    <row r="246" spans="1:26" s="27" customFormat="1" outlineLevel="1" collapsed="1" x14ac:dyDescent="0.25">
      <c r="A246" s="25"/>
      <c r="B246" s="13" t="str">
        <f>CONCATENATE("     ","Inventory Adjustment                              ")</f>
        <v xml:space="preserve">     Inventory Adjustment                              </v>
      </c>
      <c r="C246" s="13"/>
      <c r="D246" s="1">
        <f>SUM(OSRRefD22_14x_0)</f>
        <v>4250</v>
      </c>
      <c r="E246" s="1"/>
      <c r="F246" s="5">
        <f t="shared" si="79"/>
        <v>1.1414211943255564E-3</v>
      </c>
      <c r="G246" s="1"/>
      <c r="H246" s="1">
        <f>SUM(OSRRefH22_14x_0)</f>
        <v>10000</v>
      </c>
      <c r="I246" s="1"/>
      <c r="J246" s="5">
        <f t="shared" si="80"/>
        <v>2.7045770769523803E-3</v>
      </c>
      <c r="K246" s="1"/>
      <c r="L246" s="1">
        <f t="shared" si="81"/>
        <v>-5750</v>
      </c>
      <c r="M246" s="1"/>
      <c r="N246" s="5">
        <f t="shared" si="82"/>
        <v>-0.57499999999999996</v>
      </c>
      <c r="O246" s="13"/>
      <c r="P246" s="1">
        <f>SUM(OSRRefP22_14x_0)</f>
        <v>16900</v>
      </c>
      <c r="Q246" s="1"/>
      <c r="R246" s="5">
        <f t="shared" si="83"/>
        <v>1.2558143909064796E-3</v>
      </c>
      <c r="S246" s="1"/>
      <c r="T246" s="1">
        <f>SUM(OSRRefT22_14x_0)</f>
        <v>40000</v>
      </c>
      <c r="U246" s="1"/>
      <c r="V246" s="5">
        <f t="shared" si="84"/>
        <v>2.912595797660472E-3</v>
      </c>
      <c r="W246" s="1"/>
      <c r="X246" s="1">
        <f t="shared" si="85"/>
        <v>-23100</v>
      </c>
      <c r="Y246" s="1"/>
      <c r="Z246" s="5">
        <f t="shared" si="86"/>
        <v>-0.57750000000000001</v>
      </c>
    </row>
    <row r="247" spans="1:26" s="24" customFormat="1" hidden="1" outlineLevel="2" x14ac:dyDescent="0.25">
      <c r="A247" s="26"/>
      <c r="B247" s="11" t="str">
        <f>CONCATENATE("          ", "6408", " - ", "INVENTORY ADJUSTMENT")</f>
        <v xml:space="preserve">          6408 - INVENTORY ADJUSTMENT</v>
      </c>
      <c r="C247" s="11"/>
      <c r="D247" s="6">
        <v>4250</v>
      </c>
      <c r="E247" s="2"/>
      <c r="F247" s="7">
        <f t="shared" si="79"/>
        <v>1.1414211943255564E-3</v>
      </c>
      <c r="G247" s="2"/>
      <c r="H247" s="6">
        <v>10000</v>
      </c>
      <c r="I247" s="2"/>
      <c r="J247" s="7">
        <f t="shared" si="80"/>
        <v>2.7045770769523803E-3</v>
      </c>
      <c r="K247" s="2"/>
      <c r="L247" s="6">
        <f t="shared" si="81"/>
        <v>-5750</v>
      </c>
      <c r="M247" s="2"/>
      <c r="N247" s="7">
        <f t="shared" si="82"/>
        <v>-0.57499999999999996</v>
      </c>
      <c r="O247" s="11"/>
      <c r="P247" s="6">
        <v>16900</v>
      </c>
      <c r="Q247" s="2"/>
      <c r="R247" s="7">
        <f t="shared" si="83"/>
        <v>1.2558143909064796E-3</v>
      </c>
      <c r="S247" s="2"/>
      <c r="T247" s="6">
        <v>40000</v>
      </c>
      <c r="U247" s="2"/>
      <c r="V247" s="7">
        <f t="shared" si="84"/>
        <v>2.912595797660472E-3</v>
      </c>
      <c r="W247" s="2"/>
      <c r="X247" s="6">
        <f t="shared" si="85"/>
        <v>-23100</v>
      </c>
      <c r="Y247" s="2"/>
      <c r="Z247" s="7">
        <f t="shared" si="86"/>
        <v>-0.57750000000000001</v>
      </c>
    </row>
    <row r="248" spans="1:26" s="27" customFormat="1" outlineLevel="1" collapsed="1" x14ac:dyDescent="0.25">
      <c r="A248" s="25"/>
      <c r="B248" s="13" t="str">
        <f>CONCATENATE("     ","Professional Services                             ")</f>
        <v xml:space="preserve">     Professional Services                             </v>
      </c>
      <c r="C248" s="13"/>
      <c r="D248" s="1">
        <f>SUM(OSRRefD22_15x_0)</f>
        <v>0</v>
      </c>
      <c r="E248" s="1"/>
      <c r="F248" s="5">
        <f t="shared" si="79"/>
        <v>0</v>
      </c>
      <c r="G248" s="1"/>
      <c r="H248" s="1">
        <f>SUM(OSRRefH22_15x_0)</f>
        <v>0</v>
      </c>
      <c r="I248" s="1"/>
      <c r="J248" s="5">
        <f t="shared" si="80"/>
        <v>0</v>
      </c>
      <c r="K248" s="1"/>
      <c r="L248" s="1">
        <f t="shared" si="81"/>
        <v>0</v>
      </c>
      <c r="M248" s="1"/>
      <c r="N248" s="5">
        <f t="shared" si="82"/>
        <v>0</v>
      </c>
      <c r="O248" s="13"/>
      <c r="P248" s="1">
        <f>SUM(OSRRefP22_15x_0)</f>
        <v>6283.41</v>
      </c>
      <c r="Q248" s="1"/>
      <c r="R248" s="5">
        <f t="shared" si="83"/>
        <v>4.6691104745359067E-4</v>
      </c>
      <c r="S248" s="1"/>
      <c r="T248" s="1">
        <f>SUM(OSRRefT22_15x_0)</f>
        <v>9956.43</v>
      </c>
      <c r="U248" s="1"/>
      <c r="V248" s="5">
        <f t="shared" si="84"/>
        <v>7.2497640444251638E-4</v>
      </c>
      <c r="W248" s="1"/>
      <c r="X248" s="1">
        <f t="shared" si="85"/>
        <v>-3673.0200000000004</v>
      </c>
      <c r="Y248" s="1"/>
      <c r="Z248" s="5">
        <f t="shared" si="86"/>
        <v>-0.36890933798560333</v>
      </c>
    </row>
    <row r="249" spans="1:26" s="24" customFormat="1" hidden="1" outlineLevel="2" x14ac:dyDescent="0.25">
      <c r="A249" s="26"/>
      <c r="B249" s="11" t="str">
        <f>CONCATENATE("          ", "6336", " - ", "PROFESSIONAL SERVICES")</f>
        <v xml:space="preserve">          6336 - PROFESSIONAL SERVICES</v>
      </c>
      <c r="C249" s="11"/>
      <c r="D249" s="6"/>
      <c r="E249" s="2"/>
      <c r="F249" s="7">
        <f t="shared" si="79"/>
        <v>0</v>
      </c>
      <c r="G249" s="2"/>
      <c r="H249" s="6"/>
      <c r="I249" s="2"/>
      <c r="J249" s="7">
        <f t="shared" si="80"/>
        <v>0</v>
      </c>
      <c r="K249" s="2"/>
      <c r="L249" s="6">
        <f t="shared" si="81"/>
        <v>0</v>
      </c>
      <c r="M249" s="2"/>
      <c r="N249" s="7">
        <f t="shared" si="82"/>
        <v>0</v>
      </c>
      <c r="O249" s="11"/>
      <c r="P249" s="6">
        <v>6283.41</v>
      </c>
      <c r="Q249" s="2"/>
      <c r="R249" s="7">
        <f t="shared" si="83"/>
        <v>4.6691104745359067E-4</v>
      </c>
      <c r="S249" s="2"/>
      <c r="T249" s="6">
        <v>9956.43</v>
      </c>
      <c r="U249" s="2"/>
      <c r="V249" s="7">
        <f t="shared" si="84"/>
        <v>7.2497640444251638E-4</v>
      </c>
      <c r="W249" s="2"/>
      <c r="X249" s="6">
        <f t="shared" si="85"/>
        <v>-3673.0200000000004</v>
      </c>
      <c r="Y249" s="2"/>
      <c r="Z249" s="7">
        <f t="shared" si="86"/>
        <v>-0.36890933798560333</v>
      </c>
    </row>
    <row r="250" spans="1:26" s="27" customFormat="1" outlineLevel="1" collapsed="1" x14ac:dyDescent="0.25">
      <c r="A250" s="25"/>
      <c r="B250" s="13" t="str">
        <f>CONCATENATE("     ","R/H Commissions                                   ")</f>
        <v xml:space="preserve">     R/H Commissions                                   </v>
      </c>
      <c r="C250" s="13"/>
      <c r="D250" s="1">
        <f>SUM(OSRRefD22_16x_0)</f>
        <v>130766.15000000001</v>
      </c>
      <c r="E250" s="1"/>
      <c r="F250" s="5">
        <f t="shared" si="79"/>
        <v>3.5119824731848208E-2</v>
      </c>
      <c r="G250" s="1"/>
      <c r="H250" s="1">
        <f>SUM(OSRRefH22_16x_0)</f>
        <v>130376.94999999998</v>
      </c>
      <c r="I250" s="1"/>
      <c r="J250" s="5">
        <f t="shared" si="80"/>
        <v>3.5261451033296663E-2</v>
      </c>
      <c r="K250" s="1"/>
      <c r="L250" s="1">
        <f t="shared" si="81"/>
        <v>389.20000000002619</v>
      </c>
      <c r="M250" s="1"/>
      <c r="N250" s="5">
        <f t="shared" si="82"/>
        <v>2.985190250270667E-3</v>
      </c>
      <c r="O250" s="13"/>
      <c r="P250" s="1">
        <f>SUM(OSRRefP22_16x_0)</f>
        <v>318687.43</v>
      </c>
      <c r="Q250" s="1"/>
      <c r="R250" s="5">
        <f t="shared" si="83"/>
        <v>2.3681198863609546E-2</v>
      </c>
      <c r="S250" s="1"/>
      <c r="T250" s="1">
        <f>SUM(OSRRefT22_16x_0)</f>
        <v>313281.75</v>
      </c>
      <c r="U250" s="1"/>
      <c r="V250" s="5">
        <f t="shared" si="84"/>
        <v>2.2811577713342968E-2</v>
      </c>
      <c r="W250" s="1"/>
      <c r="X250" s="1">
        <f t="shared" si="85"/>
        <v>5405.679999999993</v>
      </c>
      <c r="Y250" s="1"/>
      <c r="Z250" s="5">
        <f t="shared" si="86"/>
        <v>1.7255010864820543E-2</v>
      </c>
    </row>
    <row r="251" spans="1:26" s="24" customFormat="1" hidden="1" outlineLevel="2" x14ac:dyDescent="0.25">
      <c r="A251" s="26"/>
      <c r="B251" s="11" t="str">
        <f>CONCATENATE("          ", "6387", " - ", "COMMISSION DUE HOUSING")</f>
        <v xml:space="preserve">          6387 - COMMISSION DUE HOUSING</v>
      </c>
      <c r="C251" s="11"/>
      <c r="D251" s="6">
        <v>130766.15000000001</v>
      </c>
      <c r="E251" s="2"/>
      <c r="F251" s="7">
        <f t="shared" si="79"/>
        <v>3.5119824731848208E-2</v>
      </c>
      <c r="G251" s="2"/>
      <c r="H251" s="6">
        <v>130376.94999999998</v>
      </c>
      <c r="I251" s="2"/>
      <c r="J251" s="7">
        <f t="shared" si="80"/>
        <v>3.5261451033296663E-2</v>
      </c>
      <c r="K251" s="2"/>
      <c r="L251" s="6">
        <f t="shared" si="81"/>
        <v>389.20000000002619</v>
      </c>
      <c r="M251" s="2"/>
      <c r="N251" s="7">
        <f t="shared" si="82"/>
        <v>2.985190250270667E-3</v>
      </c>
      <c r="O251" s="11"/>
      <c r="P251" s="6">
        <v>318687.43</v>
      </c>
      <c r="Q251" s="2"/>
      <c r="R251" s="7">
        <f t="shared" si="83"/>
        <v>2.3681198863609546E-2</v>
      </c>
      <c r="S251" s="2"/>
      <c r="T251" s="6">
        <v>313281.75</v>
      </c>
      <c r="U251" s="2"/>
      <c r="V251" s="7">
        <f t="shared" si="84"/>
        <v>2.2811577713342968E-2</v>
      </c>
      <c r="W251" s="2"/>
      <c r="X251" s="6">
        <f t="shared" si="85"/>
        <v>5405.679999999993</v>
      </c>
      <c r="Y251" s="2"/>
      <c r="Z251" s="7">
        <f t="shared" si="86"/>
        <v>1.7255010864820543E-2</v>
      </c>
    </row>
    <row r="252" spans="1:26" s="27" customFormat="1" outlineLevel="1" collapsed="1" x14ac:dyDescent="0.25">
      <c r="A252" s="25"/>
      <c r="B252" s="13" t="str">
        <f>CONCATENATE("     ","Rent                                              ")</f>
        <v xml:space="preserve">     Rent                                              </v>
      </c>
      <c r="C252" s="13"/>
      <c r="D252" s="1">
        <f>SUM(OSRRefD22_17x_0)</f>
        <v>9900</v>
      </c>
      <c r="E252" s="1"/>
      <c r="F252" s="5">
        <f t="shared" si="79"/>
        <v>2.6588399585465903E-3</v>
      </c>
      <c r="G252" s="1"/>
      <c r="H252" s="1">
        <f>SUM(OSRRefH22_17x_0)</f>
        <v>9900</v>
      </c>
      <c r="I252" s="1"/>
      <c r="J252" s="5">
        <f t="shared" si="80"/>
        <v>2.6775313061828568E-3</v>
      </c>
      <c r="K252" s="1"/>
      <c r="L252" s="1">
        <f t="shared" si="81"/>
        <v>0</v>
      </c>
      <c r="M252" s="1"/>
      <c r="N252" s="5">
        <f t="shared" si="82"/>
        <v>0</v>
      </c>
      <c r="O252" s="13"/>
      <c r="P252" s="1">
        <f>SUM(OSRRefP22_17x_0)</f>
        <v>39600</v>
      </c>
      <c r="Q252" s="1"/>
      <c r="R252" s="5">
        <f t="shared" si="83"/>
        <v>2.9426183360885556E-3</v>
      </c>
      <c r="S252" s="1"/>
      <c r="T252" s="1">
        <f>SUM(OSRRefT22_17x_0)</f>
        <v>39701.08</v>
      </c>
      <c r="U252" s="1"/>
      <c r="V252" s="5">
        <f t="shared" si="84"/>
        <v>2.8908299692645555E-3</v>
      </c>
      <c r="W252" s="1"/>
      <c r="X252" s="1">
        <f t="shared" si="85"/>
        <v>-101.08000000000175</v>
      </c>
      <c r="Y252" s="1"/>
      <c r="Z252" s="5">
        <f t="shared" si="86"/>
        <v>-2.546026455703516E-3</v>
      </c>
    </row>
    <row r="253" spans="1:26" s="24" customFormat="1" hidden="1" outlineLevel="2" x14ac:dyDescent="0.25">
      <c r="A253" s="26"/>
      <c r="B253" s="11" t="str">
        <f>CONCATENATE("          ", "6273", " - ", "RENT")</f>
        <v xml:space="preserve">          6273 - RENT</v>
      </c>
      <c r="C253" s="11"/>
      <c r="D253" s="6">
        <v>9900</v>
      </c>
      <c r="E253" s="2"/>
      <c r="F253" s="7">
        <f t="shared" si="79"/>
        <v>2.6588399585465903E-3</v>
      </c>
      <c r="G253" s="2"/>
      <c r="H253" s="6">
        <v>9900</v>
      </c>
      <c r="I253" s="2"/>
      <c r="J253" s="7">
        <f t="shared" si="80"/>
        <v>2.6775313061828568E-3</v>
      </c>
      <c r="K253" s="2"/>
      <c r="L253" s="6">
        <f t="shared" si="81"/>
        <v>0</v>
      </c>
      <c r="M253" s="2"/>
      <c r="N253" s="7">
        <f t="shared" si="82"/>
        <v>0</v>
      </c>
      <c r="O253" s="11"/>
      <c r="P253" s="6">
        <v>39600</v>
      </c>
      <c r="Q253" s="2"/>
      <c r="R253" s="7">
        <f t="shared" si="83"/>
        <v>2.9426183360885556E-3</v>
      </c>
      <c r="S253" s="2"/>
      <c r="T253" s="6">
        <v>39701.08</v>
      </c>
      <c r="U253" s="2"/>
      <c r="V253" s="7">
        <f t="shared" si="84"/>
        <v>2.8908299692645555E-3</v>
      </c>
      <c r="W253" s="2"/>
      <c r="X253" s="6">
        <f t="shared" si="85"/>
        <v>-101.08000000000175</v>
      </c>
      <c r="Y253" s="2"/>
      <c r="Z253" s="7">
        <f t="shared" si="86"/>
        <v>-2.546026455703516E-3</v>
      </c>
    </row>
    <row r="254" spans="1:26" s="27" customFormat="1" outlineLevel="1" collapsed="1" x14ac:dyDescent="0.25">
      <c r="A254" s="25"/>
      <c r="B254" s="13" t="str">
        <f>CONCATENATE("     ","Repair and Maintenance                            ")</f>
        <v xml:space="preserve">     Repair and Maintenance                            </v>
      </c>
      <c r="C254" s="13"/>
      <c r="D254" s="1">
        <f>SUM(OSRRefD22_18x_0)</f>
        <v>44293.880000000005</v>
      </c>
      <c r="E254" s="1"/>
      <c r="F254" s="5">
        <f t="shared" si="79"/>
        <v>1.1895993743744207E-2</v>
      </c>
      <c r="G254" s="1"/>
      <c r="H254" s="1">
        <f>SUM(OSRRefH22_18x_0)</f>
        <v>50215.119999999995</v>
      </c>
      <c r="I254" s="1"/>
      <c r="J254" s="5">
        <f t="shared" si="80"/>
        <v>1.35810662468413E-2</v>
      </c>
      <c r="K254" s="1"/>
      <c r="L254" s="1">
        <f t="shared" si="81"/>
        <v>-5921.2399999999907</v>
      </c>
      <c r="M254" s="1"/>
      <c r="N254" s="5">
        <f t="shared" si="82"/>
        <v>-0.11791747186903051</v>
      </c>
      <c r="O254" s="13"/>
      <c r="P254" s="1">
        <f>SUM(OSRRefP22_18x_0)</f>
        <v>188132.94</v>
      </c>
      <c r="Q254" s="1"/>
      <c r="R254" s="5">
        <f t="shared" si="83"/>
        <v>1.397988481985475E-2</v>
      </c>
      <c r="S254" s="1"/>
      <c r="T254" s="1">
        <f>SUM(OSRRefT22_18x_0)</f>
        <v>195382.84</v>
      </c>
      <c r="U254" s="1"/>
      <c r="V254" s="5">
        <f t="shared" si="84"/>
        <v>1.4226780967974211E-2</v>
      </c>
      <c r="W254" s="1"/>
      <c r="X254" s="1">
        <f t="shared" si="85"/>
        <v>-7249.8999999999942</v>
      </c>
      <c r="Y254" s="1"/>
      <c r="Z254" s="5">
        <f t="shared" si="86"/>
        <v>-3.7106124570612208E-2</v>
      </c>
    </row>
    <row r="255" spans="1:26" s="24" customFormat="1" hidden="1" outlineLevel="2" x14ac:dyDescent="0.25">
      <c r="A255" s="26"/>
      <c r="B255" s="11" t="str">
        <f>CONCATENATE("          ", "6371", " - ", "COMPUTER SOFTWARE MAINTENANCE")</f>
        <v xml:space="preserve">          6371 - COMPUTER SOFTWARE MAINTENANCE</v>
      </c>
      <c r="C255" s="11"/>
      <c r="D255" s="6">
        <v>601</v>
      </c>
      <c r="E255" s="2"/>
      <c r="F255" s="7">
        <f t="shared" si="79"/>
        <v>1.6141038536227281E-4</v>
      </c>
      <c r="G255" s="2"/>
      <c r="H255" s="6">
        <v>18186.689999999999</v>
      </c>
      <c r="I255" s="2"/>
      <c r="J255" s="7">
        <f t="shared" si="80"/>
        <v>4.9187304879639085E-3</v>
      </c>
      <c r="K255" s="2"/>
      <c r="L255" s="6">
        <f t="shared" si="81"/>
        <v>-17585.689999999999</v>
      </c>
      <c r="M255" s="2"/>
      <c r="N255" s="7">
        <f t="shared" si="82"/>
        <v>-0.96695385471462925</v>
      </c>
      <c r="O255" s="11"/>
      <c r="P255" s="6">
        <v>31773.759999999998</v>
      </c>
      <c r="Q255" s="2"/>
      <c r="R255" s="7">
        <f t="shared" si="83"/>
        <v>2.3610618379413411E-3</v>
      </c>
      <c r="S255" s="2"/>
      <c r="T255" s="6">
        <v>55310.32</v>
      </c>
      <c r="U255" s="2"/>
      <c r="V255" s="7">
        <f t="shared" si="84"/>
        <v>4.0274151399813992E-3</v>
      </c>
      <c r="W255" s="2"/>
      <c r="X255" s="6">
        <f t="shared" si="85"/>
        <v>-23536.560000000001</v>
      </c>
      <c r="Y255" s="2"/>
      <c r="Z255" s="7">
        <f t="shared" si="86"/>
        <v>-0.42553650024082307</v>
      </c>
    </row>
    <row r="256" spans="1:26" s="24" customFormat="1" hidden="1" outlineLevel="2" x14ac:dyDescent="0.25">
      <c r="A256" s="26"/>
      <c r="B256" s="11" t="str">
        <f>CONCATENATE("          ", "6373", " - ", "MAINTENANCE CONTRACTS")</f>
        <v xml:space="preserve">          6373 - MAINTENANCE CONTRACTS</v>
      </c>
      <c r="C256" s="11"/>
      <c r="D256" s="6">
        <v>19462.84</v>
      </c>
      <c r="E256" s="2"/>
      <c r="F256" s="7">
        <f t="shared" si="79"/>
        <v>5.2271289594746388E-3</v>
      </c>
      <c r="G256" s="2"/>
      <c r="H256" s="6">
        <v>14246.45</v>
      </c>
      <c r="I256" s="2"/>
      <c r="J256" s="7">
        <f t="shared" si="80"/>
        <v>3.8530622097948243E-3</v>
      </c>
      <c r="K256" s="2"/>
      <c r="L256" s="6">
        <f t="shared" si="81"/>
        <v>5216.3899999999994</v>
      </c>
      <c r="M256" s="2"/>
      <c r="N256" s="7">
        <f t="shared" si="82"/>
        <v>0.36615367337126087</v>
      </c>
      <c r="O256" s="11"/>
      <c r="P256" s="6">
        <v>63357.549999999996</v>
      </c>
      <c r="Q256" s="2"/>
      <c r="R256" s="7">
        <f t="shared" si="83"/>
        <v>4.7080072818092792E-3</v>
      </c>
      <c r="S256" s="2"/>
      <c r="T256" s="6">
        <v>70455.759999999995</v>
      </c>
      <c r="U256" s="2"/>
      <c r="V256" s="7">
        <f t="shared" si="84"/>
        <v>5.130228762424369E-3</v>
      </c>
      <c r="W256" s="2"/>
      <c r="X256" s="6">
        <f t="shared" si="85"/>
        <v>-7098.2099999999991</v>
      </c>
      <c r="Y256" s="2"/>
      <c r="Z256" s="7">
        <f t="shared" si="86"/>
        <v>-0.10074705034762239</v>
      </c>
    </row>
    <row r="257" spans="1:26" s="24" customFormat="1" hidden="1" outlineLevel="2" x14ac:dyDescent="0.25">
      <c r="A257" s="26"/>
      <c r="B257" s="11" t="str">
        <f>CONCATENATE("          ", "6375", " - ", "OUTSIDE REPAIRS &amp; MAINTENANCE")</f>
        <v xml:space="preserve">          6375 - OUTSIDE REPAIRS &amp; MAINTENANCE</v>
      </c>
      <c r="C257" s="11"/>
      <c r="D257" s="6">
        <v>24230.04</v>
      </c>
      <c r="E257" s="2"/>
      <c r="F257" s="7">
        <f t="shared" si="79"/>
        <v>6.5074543989072954E-3</v>
      </c>
      <c r="G257" s="2"/>
      <c r="H257" s="6">
        <v>17781.98</v>
      </c>
      <c r="I257" s="2"/>
      <c r="J257" s="7">
        <f t="shared" si="80"/>
        <v>4.8092735490825687E-3</v>
      </c>
      <c r="K257" s="2"/>
      <c r="L257" s="6">
        <f t="shared" si="81"/>
        <v>6448.0600000000013</v>
      </c>
      <c r="M257" s="2"/>
      <c r="N257" s="7">
        <f t="shared" si="82"/>
        <v>0.36261766125032202</v>
      </c>
      <c r="O257" s="11"/>
      <c r="P257" s="6">
        <v>93001.62999999999</v>
      </c>
      <c r="Q257" s="2"/>
      <c r="R257" s="7">
        <f t="shared" si="83"/>
        <v>6.9108157001041282E-3</v>
      </c>
      <c r="S257" s="2"/>
      <c r="T257" s="6">
        <v>69616.760000000009</v>
      </c>
      <c r="U257" s="2"/>
      <c r="V257" s="7">
        <f t="shared" si="84"/>
        <v>5.0691370655684418E-3</v>
      </c>
      <c r="W257" s="2"/>
      <c r="X257" s="6">
        <f t="shared" si="85"/>
        <v>23384.869999999981</v>
      </c>
      <c r="Y257" s="2"/>
      <c r="Z257" s="7">
        <f t="shared" si="86"/>
        <v>0.33590862315338976</v>
      </c>
    </row>
    <row r="258" spans="1:26" s="27" customFormat="1" outlineLevel="1" collapsed="1" x14ac:dyDescent="0.25">
      <c r="A258" s="25"/>
      <c r="B258" s="13" t="str">
        <f>CONCATENATE("     ","Royalty &amp; Commissions                             ")</f>
        <v xml:space="preserve">     Royalty &amp; Commissions                             </v>
      </c>
      <c r="C258" s="13"/>
      <c r="D258" s="1">
        <f>SUM(OSRRefD22_19x_0)</f>
        <v>44711.759999999995</v>
      </c>
      <c r="E258" s="1"/>
      <c r="F258" s="5">
        <f t="shared" ref="F258:F261" si="87">IF(D$12=0,0,D258/D$12)</f>
        <v>1.2008223646964149E-2</v>
      </c>
      <c r="G258" s="1"/>
      <c r="H258" s="1">
        <f>SUM(OSRRefH22_19x_0)</f>
        <v>59659.64</v>
      </c>
      <c r="I258" s="1"/>
      <c r="J258" s="5">
        <f t="shared" ref="J258:J261" si="88">IF(H$12=0,0,H258/H$12)</f>
        <v>1.613540947632313E-2</v>
      </c>
      <c r="K258" s="1"/>
      <c r="L258" s="1">
        <f t="shared" ref="L258:L261" si="89">+D258-H258</f>
        <v>-14947.880000000005</v>
      </c>
      <c r="M258" s="1"/>
      <c r="N258" s="5">
        <f t="shared" ref="N258:N261" si="90">IF(H258=0,0,L258/H258)</f>
        <v>-0.25055263491365359</v>
      </c>
      <c r="O258" s="13"/>
      <c r="P258" s="1">
        <f>SUM(OSRRefP22_19x_0)</f>
        <v>130101.41999999998</v>
      </c>
      <c r="Q258" s="1"/>
      <c r="R258" s="5">
        <f t="shared" ref="R258:R261" si="91">IF(P$12=0,0,P258/P$12)</f>
        <v>9.6676470717969257E-3</v>
      </c>
      <c r="S258" s="1"/>
      <c r="T258" s="1">
        <f>SUM(OSRRefT22_19x_0)</f>
        <v>152556.03000000003</v>
      </c>
      <c r="U258" s="1"/>
      <c r="V258" s="5">
        <f t="shared" ref="V258:V261" si="92">IF(T$12=0,0,T258/T$12)</f>
        <v>1.1108351297144126E-2</v>
      </c>
      <c r="W258" s="1"/>
      <c r="X258" s="1">
        <f t="shared" ref="X258:X261" si="93">+P258-T258</f>
        <v>-22454.610000000044</v>
      </c>
      <c r="Y258" s="1"/>
      <c r="Z258" s="5">
        <f t="shared" ref="Z258:Z261" si="94">IF(T258=0,0,X258/T258)</f>
        <v>-0.14718926547839531</v>
      </c>
    </row>
    <row r="259" spans="1:26" s="24" customFormat="1" hidden="1" outlineLevel="2" x14ac:dyDescent="0.25">
      <c r="A259" s="26"/>
      <c r="B259" s="11" t="str">
        <f>CONCATENATE("          ", "6253", " - ", "ROYALTY DUE ATHLETICS-LRG")</f>
        <v xml:space="preserve">          6253 - ROYALTY DUE ATHLETICS-LRG</v>
      </c>
      <c r="C259" s="11"/>
      <c r="D259" s="6"/>
      <c r="E259" s="2"/>
      <c r="F259" s="7">
        <f t="shared" si="87"/>
        <v>0</v>
      </c>
      <c r="G259" s="2"/>
      <c r="H259" s="6">
        <v>16349.030000000002</v>
      </c>
      <c r="I259" s="2"/>
      <c r="J259" s="7">
        <f t="shared" si="88"/>
        <v>4.4217211768406784E-3</v>
      </c>
      <c r="K259" s="2"/>
      <c r="L259" s="6">
        <f t="shared" si="89"/>
        <v>-16349.030000000002</v>
      </c>
      <c r="M259" s="2"/>
      <c r="N259" s="7">
        <f t="shared" si="90"/>
        <v>-1</v>
      </c>
      <c r="O259" s="11"/>
      <c r="P259" s="6">
        <v>4366.95</v>
      </c>
      <c r="Q259" s="2"/>
      <c r="R259" s="7">
        <f t="shared" si="91"/>
        <v>3.2450169552479589E-4</v>
      </c>
      <c r="S259" s="2"/>
      <c r="T259" s="6">
        <v>22994.42</v>
      </c>
      <c r="U259" s="2"/>
      <c r="V259" s="7">
        <f t="shared" si="92"/>
        <v>1.6743362765409978E-3</v>
      </c>
      <c r="W259" s="2"/>
      <c r="X259" s="6">
        <f t="shared" si="93"/>
        <v>-18627.469999999998</v>
      </c>
      <c r="Y259" s="2"/>
      <c r="Z259" s="7">
        <f t="shared" si="94"/>
        <v>-0.81008653403738817</v>
      </c>
    </row>
    <row r="260" spans="1:26" s="24" customFormat="1" hidden="1" outlineLevel="2" x14ac:dyDescent="0.25">
      <c r="A260" s="26"/>
      <c r="B260" s="11" t="str">
        <f>CONCATENATE("          ", "6254", " - ", "ROYALTY &amp; COMMISSIONS")</f>
        <v xml:space="preserve">          6254 - ROYALTY &amp; COMMISSIONS</v>
      </c>
      <c r="C260" s="11"/>
      <c r="D260" s="6">
        <v>11203.92</v>
      </c>
      <c r="E260" s="2"/>
      <c r="F260" s="7">
        <f t="shared" si="87"/>
        <v>3.0090333523595269E-3</v>
      </c>
      <c r="G260" s="2"/>
      <c r="H260" s="6">
        <v>9523.26</v>
      </c>
      <c r="I260" s="2"/>
      <c r="J260" s="7">
        <f t="shared" si="88"/>
        <v>2.5756390693857526E-3</v>
      </c>
      <c r="K260" s="2"/>
      <c r="L260" s="6">
        <f t="shared" si="89"/>
        <v>1680.6599999999999</v>
      </c>
      <c r="M260" s="2"/>
      <c r="N260" s="7">
        <f t="shared" si="90"/>
        <v>0.17647948286616136</v>
      </c>
      <c r="O260" s="11"/>
      <c r="P260" s="6">
        <v>52150.85</v>
      </c>
      <c r="Q260" s="2"/>
      <c r="R260" s="7">
        <f t="shared" si="91"/>
        <v>3.8752537235506022E-3</v>
      </c>
      <c r="S260" s="2"/>
      <c r="T260" s="6">
        <v>55580.590000000004</v>
      </c>
      <c r="U260" s="2"/>
      <c r="V260" s="7">
        <f t="shared" si="92"/>
        <v>4.047094821637242E-3</v>
      </c>
      <c r="W260" s="2"/>
      <c r="X260" s="6">
        <f t="shared" si="93"/>
        <v>-3429.7400000000052</v>
      </c>
      <c r="Y260" s="2"/>
      <c r="Z260" s="7">
        <f t="shared" si="94"/>
        <v>-6.1707513360329661E-2</v>
      </c>
    </row>
    <row r="261" spans="1:26" s="24" customFormat="1" hidden="1" outlineLevel="2" x14ac:dyDescent="0.25">
      <c r="A261" s="26"/>
      <c r="B261" s="11" t="str">
        <f>CONCATENATE("          ", "6259", " - ", "ROYALTY &amp; COMMISSIONS")</f>
        <v xml:space="preserve">          6259 - ROYALTY &amp; COMMISSIONS</v>
      </c>
      <c r="C261" s="11"/>
      <c r="D261" s="6">
        <v>33507.839999999997</v>
      </c>
      <c r="E261" s="2"/>
      <c r="F261" s="7">
        <f t="shared" si="87"/>
        <v>8.9991902946046226E-3</v>
      </c>
      <c r="G261" s="2"/>
      <c r="H261" s="6">
        <v>33787.35</v>
      </c>
      <c r="I261" s="2"/>
      <c r="J261" s="7">
        <f t="shared" si="88"/>
        <v>9.1380492300967009E-3</v>
      </c>
      <c r="K261" s="2"/>
      <c r="L261" s="6">
        <f t="shared" si="89"/>
        <v>-279.51000000000204</v>
      </c>
      <c r="M261" s="2"/>
      <c r="N261" s="7">
        <f t="shared" si="90"/>
        <v>-8.2726227419434219E-3</v>
      </c>
      <c r="O261" s="11"/>
      <c r="P261" s="6">
        <v>73583.62</v>
      </c>
      <c r="Q261" s="2"/>
      <c r="R261" s="7">
        <f t="shared" si="91"/>
        <v>5.4678916527215295E-3</v>
      </c>
      <c r="S261" s="2"/>
      <c r="T261" s="6">
        <v>73981.02</v>
      </c>
      <c r="U261" s="2"/>
      <c r="V261" s="7">
        <f t="shared" si="92"/>
        <v>5.3869201989658836E-3</v>
      </c>
      <c r="W261" s="2"/>
      <c r="X261" s="6">
        <f t="shared" si="93"/>
        <v>-397.40000000000873</v>
      </c>
      <c r="Y261" s="2"/>
      <c r="Z261" s="7">
        <f t="shared" si="94"/>
        <v>-5.3716480253990645E-3</v>
      </c>
    </row>
    <row r="262" spans="1:26" s="27" customFormat="1" outlineLevel="1" collapsed="1" x14ac:dyDescent="0.25">
      <c r="A262" s="25"/>
      <c r="B262" s="13" t="str">
        <f>CONCATENATE("     ","Services                                          ")</f>
        <v xml:space="preserve">     Services                                          </v>
      </c>
      <c r="C262" s="13"/>
      <c r="D262" s="1">
        <f>SUM(OSRRefD22_20x_0)</f>
        <v>49257.54</v>
      </c>
      <c r="E262" s="1"/>
      <c r="F262" s="5">
        <f t="shared" ref="F262:F267" si="95">IF(D$12=0,0,D262/D$12)</f>
        <v>1.3229082385020911E-2</v>
      </c>
      <c r="G262" s="1"/>
      <c r="H262" s="1">
        <f>SUM(OSRRefH22_20x_0)</f>
        <v>60168.499999999993</v>
      </c>
      <c r="I262" s="1"/>
      <c r="J262" s="5">
        <f t="shared" ref="J262:J267" si="96">IF(H$12=0,0,H262/H$12)</f>
        <v>1.6273034585460928E-2</v>
      </c>
      <c r="K262" s="1"/>
      <c r="L262" s="1">
        <f t="shared" ref="L262:L267" si="97">+D262-H262</f>
        <v>-10910.959999999992</v>
      </c>
      <c r="M262" s="1"/>
      <c r="N262" s="5">
        <f t="shared" ref="N262:N267" si="98">IF(H262=0,0,L262/H262)</f>
        <v>-0.18134006997016699</v>
      </c>
      <c r="O262" s="13"/>
      <c r="P262" s="1">
        <f>SUM(OSRRefP22_20x_0)</f>
        <v>185180.11000000004</v>
      </c>
      <c r="Q262" s="1"/>
      <c r="R262" s="5">
        <f t="shared" ref="R262:R267" si="99">IF(P$12=0,0,P262/P$12)</f>
        <v>1.3760464322345855E-2</v>
      </c>
      <c r="S262" s="1"/>
      <c r="T262" s="1">
        <f>SUM(OSRRefT22_20x_0)</f>
        <v>180135.33</v>
      </c>
      <c r="U262" s="1"/>
      <c r="V262" s="5">
        <f t="shared" ref="V262:V267" si="100">IF(T$12=0,0,T262/T$12)</f>
        <v>1.3116535129204559E-2</v>
      </c>
      <c r="W262" s="1"/>
      <c r="X262" s="1">
        <f t="shared" ref="X262:X267" si="101">+P262-T262</f>
        <v>5044.780000000057</v>
      </c>
      <c r="Y262" s="1"/>
      <c r="Z262" s="5">
        <f t="shared" ref="Z262:Z267" si="102">IF(T262=0,0,X262/T262)</f>
        <v>2.8005500087073743E-2</v>
      </c>
    </row>
    <row r="263" spans="1:26" s="24" customFormat="1" hidden="1" outlineLevel="2" x14ac:dyDescent="0.25">
      <c r="A263" s="26"/>
      <c r="B263" s="11" t="str">
        <f>CONCATENATE("          ", "6282", " - ", "JANITORIAL/EXTERMINATOR EXPENS")</f>
        <v xml:space="preserve">          6282 - JANITORIAL/EXTERMINATOR EXPENS</v>
      </c>
      <c r="C263" s="11"/>
      <c r="D263" s="6">
        <v>3497.11</v>
      </c>
      <c r="E263" s="2"/>
      <c r="F263" s="7">
        <f t="shared" si="95"/>
        <v>9.3921775832655216E-4</v>
      </c>
      <c r="G263" s="2"/>
      <c r="H263" s="6">
        <v>3619.96</v>
      </c>
      <c r="I263" s="2"/>
      <c r="J263" s="7">
        <f t="shared" si="96"/>
        <v>9.7904608354845387E-4</v>
      </c>
      <c r="K263" s="2"/>
      <c r="L263" s="6">
        <f t="shared" si="97"/>
        <v>-122.84999999999991</v>
      </c>
      <c r="M263" s="2"/>
      <c r="N263" s="7">
        <f t="shared" si="98"/>
        <v>-3.3936839081094794E-2</v>
      </c>
      <c r="O263" s="11"/>
      <c r="P263" s="6">
        <v>15058.88</v>
      </c>
      <c r="Q263" s="2"/>
      <c r="R263" s="7">
        <f t="shared" si="99"/>
        <v>1.119003444670637E-3</v>
      </c>
      <c r="S263" s="2"/>
      <c r="T263" s="6">
        <v>14294.92</v>
      </c>
      <c r="U263" s="2"/>
      <c r="V263" s="7">
        <f t="shared" si="100"/>
        <v>1.040883097997316E-3</v>
      </c>
      <c r="W263" s="2"/>
      <c r="X263" s="6">
        <f t="shared" si="101"/>
        <v>763.95999999999913</v>
      </c>
      <c r="Y263" s="2"/>
      <c r="Z263" s="7">
        <f t="shared" si="102"/>
        <v>5.3442761484499328E-2</v>
      </c>
    </row>
    <row r="264" spans="1:26" s="24" customFormat="1" hidden="1" outlineLevel="2" x14ac:dyDescent="0.25">
      <c r="A264" s="26"/>
      <c r="B264" s="11" t="str">
        <f>CONCATENATE("          ", "6283", " - ", "PLANT SERVICE")</f>
        <v xml:space="preserve">          6283 - PLANT SERVICE</v>
      </c>
      <c r="C264" s="11"/>
      <c r="D264" s="6"/>
      <c r="E264" s="2"/>
      <c r="F264" s="7">
        <f t="shared" si="95"/>
        <v>0</v>
      </c>
      <c r="G264" s="2"/>
      <c r="H264" s="6">
        <v>471.5</v>
      </c>
      <c r="I264" s="2"/>
      <c r="J264" s="7">
        <f t="shared" si="96"/>
        <v>1.2752080917830474E-4</v>
      </c>
      <c r="K264" s="2"/>
      <c r="L264" s="6">
        <f t="shared" si="97"/>
        <v>-471.5</v>
      </c>
      <c r="M264" s="2"/>
      <c r="N264" s="7">
        <f t="shared" si="98"/>
        <v>-1</v>
      </c>
      <c r="O264" s="11"/>
      <c r="P264" s="6">
        <v>1141.32</v>
      </c>
      <c r="Q264" s="2"/>
      <c r="R264" s="7">
        <f t="shared" si="99"/>
        <v>8.4809827256176519E-5</v>
      </c>
      <c r="S264" s="2"/>
      <c r="T264" s="6">
        <v>1518.5</v>
      </c>
      <c r="U264" s="2"/>
      <c r="V264" s="7">
        <f t="shared" si="100"/>
        <v>1.1056941796868568E-4</v>
      </c>
      <c r="W264" s="2"/>
      <c r="X264" s="6">
        <f t="shared" si="101"/>
        <v>-377.18000000000006</v>
      </c>
      <c r="Y264" s="2"/>
      <c r="Z264" s="7">
        <f t="shared" si="102"/>
        <v>-0.2483898584129075</v>
      </c>
    </row>
    <row r="265" spans="1:26" s="24" customFormat="1" hidden="1" outlineLevel="2" x14ac:dyDescent="0.25">
      <c r="A265" s="26"/>
      <c r="B265" s="11" t="str">
        <f>CONCATENATE("          ", "6284", " - ", "TRASH REMOVAL EXPENSE")</f>
        <v xml:space="preserve">          6284 - TRASH REMOVAL EXPENSE</v>
      </c>
      <c r="C265" s="11"/>
      <c r="D265" s="6">
        <v>4570.82</v>
      </c>
      <c r="E265" s="2"/>
      <c r="F265" s="7">
        <f t="shared" si="95"/>
        <v>1.2275837231640328E-3</v>
      </c>
      <c r="G265" s="2"/>
      <c r="H265" s="6">
        <v>15257.46</v>
      </c>
      <c r="I265" s="2"/>
      <c r="J265" s="7">
        <f t="shared" si="96"/>
        <v>4.1264976568517863E-3</v>
      </c>
      <c r="K265" s="2"/>
      <c r="L265" s="6">
        <f t="shared" si="97"/>
        <v>-10686.64</v>
      </c>
      <c r="M265" s="2"/>
      <c r="N265" s="7">
        <f t="shared" si="98"/>
        <v>-0.70042064668693216</v>
      </c>
      <c r="O265" s="11"/>
      <c r="P265" s="6">
        <v>10271.280000000001</v>
      </c>
      <c r="Q265" s="2"/>
      <c r="R265" s="7">
        <f t="shared" si="99"/>
        <v>7.6324386017928439E-4</v>
      </c>
      <c r="S265" s="2"/>
      <c r="T265" s="6">
        <v>28306.84</v>
      </c>
      <c r="U265" s="2"/>
      <c r="V265" s="7">
        <f t="shared" si="100"/>
        <v>2.0611595807261841E-3</v>
      </c>
      <c r="W265" s="2"/>
      <c r="X265" s="6">
        <f t="shared" si="101"/>
        <v>-18035.559999999998</v>
      </c>
      <c r="Y265" s="2"/>
      <c r="Z265" s="7">
        <f t="shared" si="102"/>
        <v>-0.63714494447278458</v>
      </c>
    </row>
    <row r="266" spans="1:26" s="24" customFormat="1" hidden="1" outlineLevel="2" x14ac:dyDescent="0.25">
      <c r="A266" s="26"/>
      <c r="B266" s="11" t="str">
        <f>CONCATENATE("          ", "6285", " - ", "JANITORIAL SERVICES")</f>
        <v xml:space="preserve">          6285 - JANITORIAL SERVICES</v>
      </c>
      <c r="C266" s="11"/>
      <c r="D266" s="6">
        <v>29604.099999999995</v>
      </c>
      <c r="E266" s="2"/>
      <c r="F266" s="7">
        <f t="shared" si="95"/>
        <v>7.9507640421019286E-3</v>
      </c>
      <c r="G266" s="2"/>
      <c r="H266" s="6">
        <v>30478.899999999998</v>
      </c>
      <c r="I266" s="2"/>
      <c r="J266" s="7">
        <f t="shared" si="96"/>
        <v>8.2432534270723903E-3</v>
      </c>
      <c r="K266" s="2"/>
      <c r="L266" s="6">
        <f t="shared" si="97"/>
        <v>-874.80000000000291</v>
      </c>
      <c r="M266" s="2"/>
      <c r="N266" s="7">
        <f t="shared" si="98"/>
        <v>-2.8701823228528687E-2</v>
      </c>
      <c r="O266" s="11"/>
      <c r="P266" s="6">
        <v>120842.80000000002</v>
      </c>
      <c r="Q266" s="2"/>
      <c r="R266" s="7">
        <f t="shared" si="99"/>
        <v>8.9796525016232875E-3</v>
      </c>
      <c r="S266" s="2"/>
      <c r="T266" s="6">
        <v>103157.39</v>
      </c>
      <c r="U266" s="2"/>
      <c r="V266" s="7">
        <f t="shared" si="100"/>
        <v>7.5113945152905605E-3</v>
      </c>
      <c r="W266" s="2"/>
      <c r="X266" s="6">
        <f t="shared" si="101"/>
        <v>17685.410000000018</v>
      </c>
      <c r="Y266" s="2"/>
      <c r="Z266" s="7">
        <f t="shared" si="102"/>
        <v>0.17144103781609846</v>
      </c>
    </row>
    <row r="267" spans="1:26" s="24" customFormat="1" hidden="1" outlineLevel="2" x14ac:dyDescent="0.25">
      <c r="A267" s="26"/>
      <c r="B267" s="11" t="str">
        <f>CONCATENATE("          ", "6286", " - ", "LAUNDRY EXPENSE")</f>
        <v xml:space="preserve">          6286 - LAUNDRY EXPENSE</v>
      </c>
      <c r="C267" s="11"/>
      <c r="D267" s="6">
        <v>11585.51</v>
      </c>
      <c r="E267" s="2"/>
      <c r="F267" s="7">
        <f t="shared" si="95"/>
        <v>3.1115168614283947E-3</v>
      </c>
      <c r="G267" s="2"/>
      <c r="H267" s="6">
        <v>10340.68</v>
      </c>
      <c r="I267" s="2"/>
      <c r="J267" s="7">
        <f t="shared" si="96"/>
        <v>2.796716608809994E-3</v>
      </c>
      <c r="K267" s="2"/>
      <c r="L267" s="6">
        <f t="shared" si="97"/>
        <v>1244.83</v>
      </c>
      <c r="M267" s="2"/>
      <c r="N267" s="7">
        <f t="shared" si="98"/>
        <v>0.12038183175574527</v>
      </c>
      <c r="O267" s="11"/>
      <c r="P267" s="6">
        <v>37865.83</v>
      </c>
      <c r="Q267" s="2"/>
      <c r="R267" s="7">
        <f t="shared" si="99"/>
        <v>2.8137546886164676E-3</v>
      </c>
      <c r="S267" s="2"/>
      <c r="T267" s="6">
        <v>32857.68</v>
      </c>
      <c r="U267" s="2"/>
      <c r="V267" s="7">
        <f t="shared" si="100"/>
        <v>2.3925285172218137E-3</v>
      </c>
      <c r="W267" s="2"/>
      <c r="X267" s="6">
        <f t="shared" si="101"/>
        <v>5008.1500000000015</v>
      </c>
      <c r="Y267" s="2"/>
      <c r="Z267" s="7">
        <f t="shared" si="102"/>
        <v>0.15241946479483645</v>
      </c>
    </row>
    <row r="268" spans="1:26" s="27" customFormat="1" outlineLevel="1" collapsed="1" x14ac:dyDescent="0.25">
      <c r="A268" s="25"/>
      <c r="B268" s="13" t="str">
        <f>CONCATENATE("     ","Subscriptions &amp; Dues                              ")</f>
        <v xml:space="preserve">     Subscriptions &amp; Dues                              </v>
      </c>
      <c r="C268" s="13"/>
      <c r="D268" s="1">
        <f>SUM(OSRRefD22_21x_0)</f>
        <v>913.37000000000012</v>
      </c>
      <c r="E268" s="1"/>
      <c r="F268" s="5">
        <f t="shared" ref="F268:F270" si="103">IF(D$12=0,0,D268/D$12)</f>
        <v>2.453035002967373E-4</v>
      </c>
      <c r="G268" s="1"/>
      <c r="H268" s="1">
        <f>SUM(OSRRefH22_21x_0)</f>
        <v>1698.98</v>
      </c>
      <c r="I268" s="1"/>
      <c r="J268" s="5">
        <f t="shared" ref="J268:J270" si="104">IF(H$12=0,0,H268/H$12)</f>
        <v>4.5950223622005554E-4</v>
      </c>
      <c r="K268" s="1"/>
      <c r="L268" s="1">
        <f t="shared" ref="L268:L270" si="105">+D268-H268</f>
        <v>-785.6099999999999</v>
      </c>
      <c r="M268" s="1"/>
      <c r="N268" s="5">
        <f t="shared" ref="N268:N270" si="106">IF(H268=0,0,L268/H268)</f>
        <v>-0.4624009699937609</v>
      </c>
      <c r="O268" s="13"/>
      <c r="P268" s="1">
        <f>SUM(OSRRefP22_21x_0)</f>
        <v>-555.59999999999991</v>
      </c>
      <c r="Q268" s="1"/>
      <c r="R268" s="5">
        <f t="shared" ref="R268:R270" si="107">IF(P$12=0,0,P268/P$12)</f>
        <v>-4.1285826957848514E-5</v>
      </c>
      <c r="S268" s="1"/>
      <c r="T268" s="1">
        <f>SUM(OSRRefT22_21x_0)</f>
        <v>4543.68</v>
      </c>
      <c r="U268" s="1"/>
      <c r="V268" s="5">
        <f t="shared" ref="V268:V270" si="108">IF(T$12=0,0,T268/T$12)</f>
        <v>3.3084758184784838E-4</v>
      </c>
      <c r="W268" s="1"/>
      <c r="X268" s="1">
        <f t="shared" ref="X268:X270" si="109">+P268-T268</f>
        <v>-5099.2800000000007</v>
      </c>
      <c r="Y268" s="1"/>
      <c r="Z268" s="5">
        <f t="shared" ref="Z268:Z270" si="110">IF(T268=0,0,X268/T268)</f>
        <v>-1.1222797380097191</v>
      </c>
    </row>
    <row r="269" spans="1:26" s="24" customFormat="1" hidden="1" outlineLevel="2" x14ac:dyDescent="0.25">
      <c r="A269" s="26"/>
      <c r="B269" s="11" t="str">
        <f>CONCATENATE("          ", "6258", " - ", "MEMBERSHIP DUES")</f>
        <v xml:space="preserve">          6258 - MEMBERSHIP DUES</v>
      </c>
      <c r="C269" s="11"/>
      <c r="D269" s="6">
        <v>268.55</v>
      </c>
      <c r="E269" s="2"/>
      <c r="F269" s="7">
        <f t="shared" si="103"/>
        <v>7.2124390996736049E-5</v>
      </c>
      <c r="G269" s="2"/>
      <c r="H269" s="6">
        <v>792.02</v>
      </c>
      <c r="I269" s="2"/>
      <c r="J269" s="7">
        <f t="shared" si="104"/>
        <v>2.1420791364878242E-4</v>
      </c>
      <c r="K269" s="2"/>
      <c r="L269" s="6">
        <f t="shared" si="105"/>
        <v>-523.47</v>
      </c>
      <c r="M269" s="2"/>
      <c r="N269" s="7">
        <f t="shared" si="106"/>
        <v>-0.66093027953839556</v>
      </c>
      <c r="O269" s="11"/>
      <c r="P269" s="6">
        <v>-3822.6</v>
      </c>
      <c r="Q269" s="2"/>
      <c r="R269" s="7">
        <f t="shared" si="107"/>
        <v>-2.8405183968515437E-4</v>
      </c>
      <c r="S269" s="2"/>
      <c r="T269" s="6">
        <v>1715.92</v>
      </c>
      <c r="U269" s="2"/>
      <c r="V269" s="7">
        <f t="shared" si="108"/>
        <v>1.2494453452803895E-4</v>
      </c>
      <c r="W269" s="2"/>
      <c r="X269" s="6">
        <f t="shared" si="109"/>
        <v>-5538.52</v>
      </c>
      <c r="Y269" s="2"/>
      <c r="Z269" s="7">
        <f t="shared" si="110"/>
        <v>-3.2277262343232787</v>
      </c>
    </row>
    <row r="270" spans="1:26" s="24" customFormat="1" hidden="1" outlineLevel="2" x14ac:dyDescent="0.25">
      <c r="A270" s="26"/>
      <c r="B270" s="11" t="str">
        <f>CONCATENATE("          ", "6275", " - ", "SUBSCRIPTIONS")</f>
        <v xml:space="preserve">          6275 - SUBSCRIPTIONS</v>
      </c>
      <c r="C270" s="11"/>
      <c r="D270" s="6">
        <v>644.82000000000005</v>
      </c>
      <c r="E270" s="2"/>
      <c r="F270" s="7">
        <f t="shared" si="103"/>
        <v>1.7317910930000126E-4</v>
      </c>
      <c r="G270" s="2"/>
      <c r="H270" s="6">
        <v>906.96</v>
      </c>
      <c r="I270" s="2"/>
      <c r="J270" s="7">
        <f t="shared" si="104"/>
        <v>2.4529432257127309E-4</v>
      </c>
      <c r="K270" s="2"/>
      <c r="L270" s="6">
        <f t="shared" si="105"/>
        <v>-262.14</v>
      </c>
      <c r="M270" s="2"/>
      <c r="N270" s="7">
        <f t="shared" si="106"/>
        <v>-0.28903148981211957</v>
      </c>
      <c r="O270" s="11"/>
      <c r="P270" s="6">
        <v>3267</v>
      </c>
      <c r="Q270" s="2"/>
      <c r="R270" s="7">
        <f t="shared" si="107"/>
        <v>2.4276601272730584E-4</v>
      </c>
      <c r="S270" s="2"/>
      <c r="T270" s="6">
        <v>2827.76</v>
      </c>
      <c r="U270" s="2"/>
      <c r="V270" s="7">
        <f t="shared" si="108"/>
        <v>2.0590304731980943E-4</v>
      </c>
      <c r="W270" s="2"/>
      <c r="X270" s="6">
        <f t="shared" si="109"/>
        <v>439.23999999999978</v>
      </c>
      <c r="Y270" s="2"/>
      <c r="Z270" s="7">
        <f t="shared" si="110"/>
        <v>0.15533142840976594</v>
      </c>
    </row>
    <row r="271" spans="1:26" s="27" customFormat="1" outlineLevel="1" collapsed="1" x14ac:dyDescent="0.25">
      <c r="A271" s="25"/>
      <c r="B271" s="13" t="str">
        <f>CONCATENATE("     ","Supplies                                          ")</f>
        <v xml:space="preserve">     Supplies                                          </v>
      </c>
      <c r="C271" s="13"/>
      <c r="D271" s="1">
        <f>SUM(OSRRefD22_22x_0)</f>
        <v>73017.570000000007</v>
      </c>
      <c r="E271" s="1"/>
      <c r="F271" s="5">
        <f t="shared" ref="F271:F279" si="111">IF(D$12=0,0,D271/D$12)</f>
        <v>1.9610306342623514E-2</v>
      </c>
      <c r="G271" s="1"/>
      <c r="H271" s="1">
        <f>SUM(OSRRefH22_22x_0)</f>
        <v>53096.72</v>
      </c>
      <c r="I271" s="1"/>
      <c r="J271" s="5">
        <f t="shared" ref="J271:J279" si="112">IF(H$12=0,0,H271/H$12)</f>
        <v>1.43604171773359E-2</v>
      </c>
      <c r="K271" s="1"/>
      <c r="L271" s="1">
        <f t="shared" ref="L271:L279" si="113">+D271-H271</f>
        <v>19920.850000000006</v>
      </c>
      <c r="M271" s="1"/>
      <c r="N271" s="5">
        <f t="shared" ref="N271:N279" si="114">IF(H271=0,0,L271/H271)</f>
        <v>0.37518042545754249</v>
      </c>
      <c r="O271" s="13"/>
      <c r="P271" s="1">
        <f>SUM(OSRRefP22_22x_0)</f>
        <v>286828.20999999996</v>
      </c>
      <c r="Q271" s="1"/>
      <c r="R271" s="5">
        <f t="shared" ref="R271:R279" si="115">IF(P$12=0,0,P271/P$12)</f>
        <v>2.1313786617511585E-2</v>
      </c>
      <c r="S271" s="1"/>
      <c r="T271" s="1">
        <f>SUM(OSRRefT22_22x_0)</f>
        <v>294754.98</v>
      </c>
      <c r="U271" s="1"/>
      <c r="V271" s="5">
        <f t="shared" ref="V271:V279" si="116">IF(T$12=0,0,T271/T$12)</f>
        <v>2.1462552902187411E-2</v>
      </c>
      <c r="W271" s="1"/>
      <c r="X271" s="1">
        <f t="shared" ref="X271:X279" si="117">+P271-T271</f>
        <v>-7926.7700000000186</v>
      </c>
      <c r="Y271" s="1"/>
      <c r="Z271" s="5">
        <f t="shared" ref="Z271:Z279" si="118">IF(T271=0,0,X271/T271)</f>
        <v>-2.6892743254075025E-2</v>
      </c>
    </row>
    <row r="272" spans="1:26" s="24" customFormat="1" hidden="1" outlineLevel="2" x14ac:dyDescent="0.25">
      <c r="A272" s="26"/>
      <c r="B272" s="11" t="str">
        <f>CONCATENATE("          ", "6234", " - ", "EXPENDABLE SUPPLIES &amp; EQUIPMEN")</f>
        <v xml:space="preserve">          6234 - EXPENDABLE SUPPLIES &amp; EQUIPMEN</v>
      </c>
      <c r="C272" s="11"/>
      <c r="D272" s="6">
        <v>4076.8</v>
      </c>
      <c r="E272" s="2"/>
      <c r="F272" s="7">
        <f t="shared" si="111"/>
        <v>1.0949049235356302E-3</v>
      </c>
      <c r="G272" s="2"/>
      <c r="H272" s="6">
        <v>2939.6</v>
      </c>
      <c r="I272" s="2"/>
      <c r="J272" s="7">
        <f t="shared" si="112"/>
        <v>7.9503747754092169E-4</v>
      </c>
      <c r="K272" s="2"/>
      <c r="L272" s="6">
        <f t="shared" si="113"/>
        <v>1137.2000000000003</v>
      </c>
      <c r="M272" s="2"/>
      <c r="N272" s="7">
        <f t="shared" si="114"/>
        <v>0.38685535446999603</v>
      </c>
      <c r="O272" s="11"/>
      <c r="P272" s="6">
        <v>14940.5</v>
      </c>
      <c r="Q272" s="2"/>
      <c r="R272" s="7">
        <f t="shared" si="115"/>
        <v>1.1102067992507846E-3</v>
      </c>
      <c r="S272" s="2"/>
      <c r="T272" s="6">
        <v>10559.19</v>
      </c>
      <c r="U272" s="2"/>
      <c r="V272" s="7">
        <f t="shared" si="116"/>
        <v>7.6886631051746211E-4</v>
      </c>
      <c r="W272" s="2"/>
      <c r="X272" s="6">
        <f t="shared" si="117"/>
        <v>4381.3099999999995</v>
      </c>
      <c r="Y272" s="2"/>
      <c r="Z272" s="7">
        <f t="shared" si="118"/>
        <v>0.4149286072132426</v>
      </c>
    </row>
    <row r="273" spans="1:26" s="24" customFormat="1" hidden="1" outlineLevel="2" x14ac:dyDescent="0.25">
      <c r="A273" s="26"/>
      <c r="B273" s="11" t="str">
        <f>CONCATENATE("          ", "6237", " - ", "JANITORIAL SUPPLIES")</f>
        <v xml:space="preserve">          6237 - JANITORIAL SUPPLIES</v>
      </c>
      <c r="C273" s="11"/>
      <c r="D273" s="6">
        <v>23016.94</v>
      </c>
      <c r="E273" s="2"/>
      <c r="F273" s="7">
        <f t="shared" si="111"/>
        <v>6.1816525045928642E-3</v>
      </c>
      <c r="G273" s="2"/>
      <c r="H273" s="6">
        <v>22145.37</v>
      </c>
      <c r="I273" s="2"/>
      <c r="J273" s="7">
        <f t="shared" si="112"/>
        <v>5.9893860062628932E-3</v>
      </c>
      <c r="K273" s="2"/>
      <c r="L273" s="6">
        <f t="shared" si="113"/>
        <v>871.56999999999971</v>
      </c>
      <c r="M273" s="2"/>
      <c r="N273" s="7">
        <f t="shared" si="114"/>
        <v>3.9356759449040581E-2</v>
      </c>
      <c r="O273" s="11"/>
      <c r="P273" s="6">
        <v>60518.360000000008</v>
      </c>
      <c r="Q273" s="2"/>
      <c r="R273" s="7">
        <f t="shared" si="115"/>
        <v>4.4970312072224296E-3</v>
      </c>
      <c r="S273" s="2"/>
      <c r="T273" s="6">
        <v>65581.95</v>
      </c>
      <c r="U273" s="2"/>
      <c r="V273" s="7">
        <f t="shared" si="116"/>
        <v>4.7753427993094798E-3</v>
      </c>
      <c r="W273" s="2"/>
      <c r="X273" s="6">
        <f t="shared" si="117"/>
        <v>-5063.5899999999892</v>
      </c>
      <c r="Y273" s="2"/>
      <c r="Z273" s="7">
        <f t="shared" si="118"/>
        <v>-7.7210116503092535E-2</v>
      </c>
    </row>
    <row r="274" spans="1:26" s="24" customFormat="1" hidden="1" outlineLevel="2" x14ac:dyDescent="0.25">
      <c r="A274" s="26"/>
      <c r="B274" s="11" t="str">
        <f>CONCATENATE("          ", "6239", " - ", "KITCHEN SUPPLIES")</f>
        <v xml:space="preserve">          6239 - KITCHEN SUPPLIES</v>
      </c>
      <c r="C274" s="11"/>
      <c r="D274" s="6">
        <v>13696.84</v>
      </c>
      <c r="E274" s="2"/>
      <c r="F274" s="7">
        <f t="shared" si="111"/>
        <v>3.6785561108908364E-3</v>
      </c>
      <c r="G274" s="2"/>
      <c r="H274" s="6">
        <v>7148.57</v>
      </c>
      <c r="I274" s="2"/>
      <c r="J274" s="7">
        <f t="shared" si="112"/>
        <v>1.9333858554989476E-3</v>
      </c>
      <c r="K274" s="2"/>
      <c r="L274" s="6">
        <f t="shared" si="113"/>
        <v>6548.27</v>
      </c>
      <c r="M274" s="2"/>
      <c r="N274" s="7">
        <f t="shared" si="114"/>
        <v>0.91602516307457305</v>
      </c>
      <c r="O274" s="11"/>
      <c r="P274" s="6">
        <v>46871.97</v>
      </c>
      <c r="Q274" s="2"/>
      <c r="R274" s="7">
        <f t="shared" si="115"/>
        <v>3.4829878376412297E-3</v>
      </c>
      <c r="S274" s="2"/>
      <c r="T274" s="6">
        <v>23202.82</v>
      </c>
      <c r="U274" s="2"/>
      <c r="V274" s="7">
        <f t="shared" si="116"/>
        <v>1.6895109006468088E-3</v>
      </c>
      <c r="W274" s="2"/>
      <c r="X274" s="6">
        <f t="shared" si="117"/>
        <v>23669.15</v>
      </c>
      <c r="Y274" s="2"/>
      <c r="Z274" s="7">
        <f t="shared" si="118"/>
        <v>1.0200979880893788</v>
      </c>
    </row>
    <row r="275" spans="1:26" s="24" customFormat="1" hidden="1" outlineLevel="2" x14ac:dyDescent="0.25">
      <c r="A275" s="26"/>
      <c r="B275" s="11" t="str">
        <f>CONCATENATE("          ", "6241", " - ", "OFFICE EXPENSE")</f>
        <v xml:space="preserve">          6241 - OFFICE EXPENSE</v>
      </c>
      <c r="C275" s="11"/>
      <c r="D275" s="6">
        <v>6576.85</v>
      </c>
      <c r="E275" s="2"/>
      <c r="F275" s="7">
        <f t="shared" si="111"/>
        <v>1.7663425839764791E-3</v>
      </c>
      <c r="G275" s="2"/>
      <c r="H275" s="6">
        <v>-13907.47</v>
      </c>
      <c r="I275" s="2"/>
      <c r="J275" s="7">
        <f t="shared" si="112"/>
        <v>-3.7613824560402921E-3</v>
      </c>
      <c r="K275" s="2"/>
      <c r="L275" s="6">
        <f t="shared" si="113"/>
        <v>20484.32</v>
      </c>
      <c r="M275" s="2"/>
      <c r="N275" s="7">
        <f t="shared" si="114"/>
        <v>-1.4729005347485919</v>
      </c>
      <c r="O275" s="11"/>
      <c r="P275" s="6">
        <v>67766.01999999999</v>
      </c>
      <c r="Q275" s="2"/>
      <c r="R275" s="7">
        <f t="shared" si="115"/>
        <v>5.035594268074337E-3</v>
      </c>
      <c r="S275" s="2"/>
      <c r="T275" s="6">
        <v>43018.8</v>
      </c>
      <c r="U275" s="2"/>
      <c r="V275" s="7">
        <f t="shared" si="116"/>
        <v>3.1324094025099083E-3</v>
      </c>
      <c r="W275" s="2"/>
      <c r="X275" s="6">
        <f t="shared" si="117"/>
        <v>24747.219999999987</v>
      </c>
      <c r="Y275" s="2"/>
      <c r="Z275" s="7">
        <f t="shared" si="118"/>
        <v>0.5752652328749287</v>
      </c>
    </row>
    <row r="276" spans="1:26" s="24" customFormat="1" hidden="1" outlineLevel="2" x14ac:dyDescent="0.25">
      <c r="A276" s="26"/>
      <c r="B276" s="11" t="str">
        <f>CONCATENATE("          ", "6243", " - ", "PAPER SUPPLIES")</f>
        <v xml:space="preserve">          6243 - PAPER SUPPLIES</v>
      </c>
      <c r="C276" s="11"/>
      <c r="D276" s="6">
        <v>19854.54</v>
      </c>
      <c r="E276" s="2"/>
      <c r="F276" s="7">
        <f t="shared" si="111"/>
        <v>5.3323277081375377E-3</v>
      </c>
      <c r="G276" s="2"/>
      <c r="H276" s="6">
        <v>26818.710000000003</v>
      </c>
      <c r="I276" s="2"/>
      <c r="J276" s="7">
        <f t="shared" si="112"/>
        <v>7.253326829943358E-3</v>
      </c>
      <c r="K276" s="2"/>
      <c r="L276" s="6">
        <f t="shared" si="113"/>
        <v>-6964.1700000000019</v>
      </c>
      <c r="M276" s="2"/>
      <c r="N276" s="7">
        <f t="shared" si="114"/>
        <v>-0.25967580096134379</v>
      </c>
      <c r="O276" s="11"/>
      <c r="P276" s="6">
        <v>50330.239999999998</v>
      </c>
      <c r="Q276" s="2"/>
      <c r="R276" s="7">
        <f t="shared" si="115"/>
        <v>3.7399668455489307E-3</v>
      </c>
      <c r="S276" s="2"/>
      <c r="T276" s="6">
        <v>69891.360000000001</v>
      </c>
      <c r="U276" s="2"/>
      <c r="V276" s="7">
        <f t="shared" si="116"/>
        <v>5.0891320357193803E-3</v>
      </c>
      <c r="W276" s="2"/>
      <c r="X276" s="6">
        <f t="shared" si="117"/>
        <v>-19561.120000000003</v>
      </c>
      <c r="Y276" s="2"/>
      <c r="Z276" s="7">
        <f t="shared" si="118"/>
        <v>-0.27987894354895942</v>
      </c>
    </row>
    <row r="277" spans="1:26" s="24" customFormat="1" hidden="1" outlineLevel="2" x14ac:dyDescent="0.25">
      <c r="A277" s="26"/>
      <c r="B277" s="11" t="str">
        <f>CONCATENATE("          ", "6245", " - ", "PRINTING")</f>
        <v xml:space="preserve">          6245 - PRINTING</v>
      </c>
      <c r="C277" s="11"/>
      <c r="D277" s="6">
        <v>100.16</v>
      </c>
      <c r="E277" s="2"/>
      <c r="F277" s="7">
        <f t="shared" si="111"/>
        <v>2.6899940429093585E-5</v>
      </c>
      <c r="G277" s="2"/>
      <c r="H277" s="6">
        <v>1145.23</v>
      </c>
      <c r="I277" s="2"/>
      <c r="J277" s="7">
        <f t="shared" si="112"/>
        <v>3.0973628058381748E-4</v>
      </c>
      <c r="K277" s="2"/>
      <c r="L277" s="6">
        <f t="shared" si="113"/>
        <v>-1045.07</v>
      </c>
      <c r="M277" s="2"/>
      <c r="N277" s="7">
        <f t="shared" si="114"/>
        <v>-0.91254158553303699</v>
      </c>
      <c r="O277" s="11"/>
      <c r="P277" s="6">
        <v>7018.73</v>
      </c>
      <c r="Q277" s="2"/>
      <c r="R277" s="7">
        <f t="shared" si="115"/>
        <v>5.2155160591047542E-4</v>
      </c>
      <c r="S277" s="2"/>
      <c r="T277" s="6">
        <v>8680.5</v>
      </c>
      <c r="U277" s="2"/>
      <c r="V277" s="7">
        <f t="shared" si="116"/>
        <v>6.3206969553979326E-4</v>
      </c>
      <c r="W277" s="2"/>
      <c r="X277" s="6">
        <f t="shared" si="117"/>
        <v>-1661.7700000000004</v>
      </c>
      <c r="Y277" s="2"/>
      <c r="Z277" s="7">
        <f t="shared" si="118"/>
        <v>-0.19143712919762693</v>
      </c>
    </row>
    <row r="278" spans="1:26" s="24" customFormat="1" hidden="1" outlineLevel="2" x14ac:dyDescent="0.25">
      <c r="A278" s="26"/>
      <c r="B278" s="11" t="str">
        <f>CONCATENATE("          ", "6247", " - ", "STORE SUPPLIES")</f>
        <v xml:space="preserve">          6247 - STORE SUPPLIES</v>
      </c>
      <c r="C278" s="11"/>
      <c r="D278" s="6">
        <v>5556.03</v>
      </c>
      <c r="E278" s="2"/>
      <c r="F278" s="7">
        <f t="shared" si="111"/>
        <v>1.4921812701902638E-3</v>
      </c>
      <c r="G278" s="2"/>
      <c r="H278" s="6">
        <v>6122.25</v>
      </c>
      <c r="I278" s="2"/>
      <c r="J278" s="7">
        <f t="shared" si="112"/>
        <v>1.655809700937171E-3</v>
      </c>
      <c r="K278" s="2"/>
      <c r="L278" s="6">
        <f t="shared" si="113"/>
        <v>-566.22000000000025</v>
      </c>
      <c r="M278" s="2"/>
      <c r="N278" s="7">
        <f t="shared" si="114"/>
        <v>-9.2485605782187966E-2</v>
      </c>
      <c r="O278" s="11"/>
      <c r="P278" s="6">
        <v>40354.899999999994</v>
      </c>
      <c r="Q278" s="2"/>
      <c r="R278" s="7">
        <f t="shared" si="115"/>
        <v>2.9987138558338392E-3</v>
      </c>
      <c r="S278" s="2"/>
      <c r="T278" s="6">
        <v>55706.61</v>
      </c>
      <c r="U278" s="2"/>
      <c r="V278" s="7">
        <f t="shared" si="116"/>
        <v>4.0562709546977712E-3</v>
      </c>
      <c r="W278" s="2"/>
      <c r="X278" s="6">
        <f t="shared" si="117"/>
        <v>-15351.710000000006</v>
      </c>
      <c r="Y278" s="2"/>
      <c r="Z278" s="7">
        <f t="shared" si="118"/>
        <v>-0.27558147946895362</v>
      </c>
    </row>
    <row r="279" spans="1:26" s="24" customFormat="1" hidden="1" outlineLevel="2" x14ac:dyDescent="0.25">
      <c r="A279" s="26"/>
      <c r="B279" s="11" t="str">
        <f>CONCATENATE("          ", "6248", " - ", "UNIFORMS")</f>
        <v xml:space="preserve">          6248 - UNIFORMS</v>
      </c>
      <c r="C279" s="11"/>
      <c r="D279" s="6">
        <v>139.41</v>
      </c>
      <c r="E279" s="2"/>
      <c r="F279" s="7">
        <f t="shared" si="111"/>
        <v>3.7441300870806076E-5</v>
      </c>
      <c r="G279" s="2"/>
      <c r="H279" s="6">
        <v>684.46</v>
      </c>
      <c r="I279" s="2"/>
      <c r="J279" s="7">
        <f t="shared" si="112"/>
        <v>1.8511748260908263E-4</v>
      </c>
      <c r="K279" s="2"/>
      <c r="L279" s="6">
        <f t="shared" si="113"/>
        <v>-545.05000000000007</v>
      </c>
      <c r="M279" s="2"/>
      <c r="N279" s="7">
        <f t="shared" si="114"/>
        <v>-0.79632118750547887</v>
      </c>
      <c r="O279" s="11"/>
      <c r="P279" s="6">
        <v>-972.51</v>
      </c>
      <c r="Q279" s="2"/>
      <c r="R279" s="7">
        <f t="shared" si="115"/>
        <v>-7.2265801970441444E-5</v>
      </c>
      <c r="S279" s="2"/>
      <c r="T279" s="6">
        <v>18113.75</v>
      </c>
      <c r="U279" s="2"/>
      <c r="V279" s="7">
        <f t="shared" si="116"/>
        <v>1.3189508032468095E-3</v>
      </c>
      <c r="W279" s="2"/>
      <c r="X279" s="6">
        <f t="shared" si="117"/>
        <v>-19086.259999999998</v>
      </c>
      <c r="Y279" s="2"/>
      <c r="Z279" s="7">
        <f t="shared" si="118"/>
        <v>-1.0536890483748533</v>
      </c>
    </row>
    <row r="280" spans="1:26" s="27" customFormat="1" outlineLevel="1" collapsed="1" x14ac:dyDescent="0.25">
      <c r="A280" s="25"/>
      <c r="B280" s="13" t="str">
        <f>CONCATENATE("     ","Telephone/Data Lines                              ")</f>
        <v xml:space="preserve">     Telephone/Data Lines                              </v>
      </c>
      <c r="C280" s="13"/>
      <c r="D280" s="1">
        <f>SUM(OSRRefD22_23x_0)</f>
        <v>4613.55</v>
      </c>
      <c r="E280" s="1"/>
      <c r="F280" s="5">
        <f t="shared" ref="F280:F282" si="119">IF(D$12=0,0,D280/D$12)</f>
        <v>1.2390597061366286E-3</v>
      </c>
      <c r="G280" s="1"/>
      <c r="H280" s="1">
        <f>SUM(OSRRefH22_23x_0)</f>
        <v>5103.72</v>
      </c>
      <c r="I280" s="1"/>
      <c r="J280" s="5">
        <f t="shared" ref="J280:J282" si="120">IF(H$12=0,0,H280/H$12)</f>
        <v>1.3803404119183404E-3</v>
      </c>
      <c r="K280" s="1"/>
      <c r="L280" s="1">
        <f t="shared" ref="L280:L282" si="121">+D280-H280</f>
        <v>-490.17000000000007</v>
      </c>
      <c r="M280" s="1"/>
      <c r="N280" s="5">
        <f t="shared" ref="N280:N282" si="122">IF(H280=0,0,L280/H280)</f>
        <v>-9.6041710752157256E-2</v>
      </c>
      <c r="O280" s="13"/>
      <c r="P280" s="1">
        <f>SUM(OSRRefP22_23x_0)</f>
        <v>23577.52</v>
      </c>
      <c r="Q280" s="1"/>
      <c r="R280" s="5">
        <f t="shared" ref="R280:R282" si="123">IF(P$12=0,0,P280/P$12)</f>
        <v>1.752011178573097E-3</v>
      </c>
      <c r="S280" s="1"/>
      <c r="T280" s="1">
        <f>SUM(OSRRefT22_23x_0)</f>
        <v>25796.85</v>
      </c>
      <c r="U280" s="1"/>
      <c r="V280" s="5">
        <f t="shared" ref="V280:V282" si="124">IF(T$12=0,0,T280/T$12)</f>
        <v>1.8783949225719388E-3</v>
      </c>
      <c r="W280" s="1"/>
      <c r="X280" s="1">
        <f t="shared" ref="X280:X282" si="125">+P280-T280</f>
        <v>-2219.3299999999981</v>
      </c>
      <c r="Y280" s="1"/>
      <c r="Z280" s="5">
        <f t="shared" ref="Z280:Z282" si="126">IF(T280=0,0,X280/T280)</f>
        <v>-8.6031046426210886E-2</v>
      </c>
    </row>
    <row r="281" spans="1:26" s="24" customFormat="1" hidden="1" outlineLevel="2" x14ac:dyDescent="0.25">
      <c r="A281" s="26"/>
      <c r="B281" s="11" t="str">
        <f>CONCATENATE("          ", "6303", " - ", "DATA PHONE LINES")</f>
        <v xml:space="preserve">          6303 - DATA PHONE LINES</v>
      </c>
      <c r="C281" s="11"/>
      <c r="D281" s="6">
        <v>295</v>
      </c>
      <c r="E281" s="2"/>
      <c r="F281" s="7">
        <f t="shared" si="119"/>
        <v>7.9228059370832748E-5</v>
      </c>
      <c r="G281" s="2"/>
      <c r="H281" s="6"/>
      <c r="I281" s="2"/>
      <c r="J281" s="7">
        <f t="shared" si="120"/>
        <v>0</v>
      </c>
      <c r="K281" s="2"/>
      <c r="L281" s="6">
        <f t="shared" si="121"/>
        <v>295</v>
      </c>
      <c r="M281" s="2"/>
      <c r="N281" s="7">
        <f t="shared" si="122"/>
        <v>0</v>
      </c>
      <c r="O281" s="11"/>
      <c r="P281" s="6">
        <v>1180</v>
      </c>
      <c r="Q281" s="2"/>
      <c r="R281" s="7">
        <f t="shared" si="123"/>
        <v>8.7684081731931711E-5</v>
      </c>
      <c r="S281" s="2"/>
      <c r="T281" s="6">
        <v>590</v>
      </c>
      <c r="U281" s="2"/>
      <c r="V281" s="7">
        <f t="shared" si="124"/>
        <v>4.2960788015491966E-5</v>
      </c>
      <c r="W281" s="2"/>
      <c r="X281" s="6">
        <f t="shared" si="125"/>
        <v>590</v>
      </c>
      <c r="Y281" s="2"/>
      <c r="Z281" s="7">
        <f t="shared" si="126"/>
        <v>1</v>
      </c>
    </row>
    <row r="282" spans="1:26" s="24" customFormat="1" hidden="1" outlineLevel="2" x14ac:dyDescent="0.25">
      <c r="A282" s="26"/>
      <c r="B282" s="11" t="str">
        <f>CONCATENATE("          ", "6309", " - ", "TELEPHONE")</f>
        <v xml:space="preserve">          6309 - TELEPHONE</v>
      </c>
      <c r="C282" s="11"/>
      <c r="D282" s="6">
        <v>4318.55</v>
      </c>
      <c r="E282" s="2"/>
      <c r="F282" s="7">
        <f t="shared" si="119"/>
        <v>1.1598316467657957E-3</v>
      </c>
      <c r="G282" s="2"/>
      <c r="H282" s="6">
        <v>5103.72</v>
      </c>
      <c r="I282" s="2"/>
      <c r="J282" s="7">
        <f t="shared" si="120"/>
        <v>1.3803404119183404E-3</v>
      </c>
      <c r="K282" s="2"/>
      <c r="L282" s="6">
        <f t="shared" si="121"/>
        <v>-785.17000000000007</v>
      </c>
      <c r="M282" s="2"/>
      <c r="N282" s="7">
        <f t="shared" si="122"/>
        <v>-0.15384268729475756</v>
      </c>
      <c r="O282" s="11"/>
      <c r="P282" s="6">
        <v>22397.52</v>
      </c>
      <c r="Q282" s="2"/>
      <c r="R282" s="7">
        <f t="shared" si="123"/>
        <v>1.6643270968411655E-3</v>
      </c>
      <c r="S282" s="2"/>
      <c r="T282" s="6">
        <v>25206.85</v>
      </c>
      <c r="U282" s="2"/>
      <c r="V282" s="7">
        <f t="shared" si="124"/>
        <v>1.8354341345564467E-3</v>
      </c>
      <c r="W282" s="2"/>
      <c r="X282" s="6">
        <f t="shared" si="125"/>
        <v>-2809.3299999999981</v>
      </c>
      <c r="Y282" s="2"/>
      <c r="Z282" s="7">
        <f t="shared" si="126"/>
        <v>-0.11145105397937459</v>
      </c>
    </row>
    <row r="283" spans="1:26" s="27" customFormat="1" outlineLevel="1" collapsed="1" x14ac:dyDescent="0.25">
      <c r="A283" s="25"/>
      <c r="B283" s="13" t="str">
        <f>CONCATENATE("     ","Training                                          ")</f>
        <v xml:space="preserve">     Training                                          </v>
      </c>
      <c r="C283" s="13"/>
      <c r="D283" s="1">
        <f>SUM(OSRRefD22_24x_0)</f>
        <v>3373.47</v>
      </c>
      <c r="E283" s="1"/>
      <c r="F283" s="5">
        <f t="shared" ref="F283:F288" si="127">IF(D$12=0,0,D283/D$12)</f>
        <v>9.0601180151092585E-4</v>
      </c>
      <c r="G283" s="1"/>
      <c r="H283" s="1">
        <f>SUM(OSRRefH22_24x_0)</f>
        <v>2778.23</v>
      </c>
      <c r="I283" s="1"/>
      <c r="J283" s="5">
        <f t="shared" ref="J283:J288" si="128">IF(H$12=0,0,H283/H$12)</f>
        <v>7.5139371725014116E-4</v>
      </c>
      <c r="K283" s="1"/>
      <c r="L283" s="1">
        <f t="shared" ref="L283:L288" si="129">+D283-H283</f>
        <v>595.23999999999978</v>
      </c>
      <c r="M283" s="1"/>
      <c r="N283" s="5">
        <f t="shared" ref="N283:N288" si="130">IF(H283=0,0,L283/H283)</f>
        <v>0.21425151985256793</v>
      </c>
      <c r="O283" s="13"/>
      <c r="P283" s="1">
        <f>SUM(OSRRefP22_24x_0)</f>
        <v>10856.53</v>
      </c>
      <c r="Q283" s="1"/>
      <c r="R283" s="5">
        <f t="shared" ref="R283:R288" si="131">IF(P$12=0,0,P283/P$12)</f>
        <v>8.0673293546200734E-4</v>
      </c>
      <c r="S283" s="1"/>
      <c r="T283" s="1">
        <f>SUM(OSRRefT22_24x_0)</f>
        <v>9027.66</v>
      </c>
      <c r="U283" s="1"/>
      <c r="V283" s="5">
        <f t="shared" ref="V283:V288" si="132">IF(T$12=0,0,T283/T$12)</f>
        <v>6.5734811446768846E-4</v>
      </c>
      <c r="W283" s="1"/>
      <c r="X283" s="1">
        <f t="shared" ref="X283:X288" si="133">+P283-T283</f>
        <v>1828.8700000000008</v>
      </c>
      <c r="Y283" s="1"/>
      <c r="Z283" s="5">
        <f t="shared" ref="Z283:Z288" si="134">IF(T283=0,0,X283/T283)</f>
        <v>0.20258516603416621</v>
      </c>
    </row>
    <row r="284" spans="1:26" s="24" customFormat="1" hidden="1" outlineLevel="2" x14ac:dyDescent="0.25">
      <c r="A284" s="26"/>
      <c r="B284" s="11" t="str">
        <f>CONCATENATE("          ", "6376", " - ", "TRAINING")</f>
        <v xml:space="preserve">          6376 - TRAINING</v>
      </c>
      <c r="C284" s="11"/>
      <c r="D284" s="6">
        <v>3373.47</v>
      </c>
      <c r="E284" s="2"/>
      <c r="F284" s="7">
        <f t="shared" si="127"/>
        <v>9.0601180151092585E-4</v>
      </c>
      <c r="G284" s="2"/>
      <c r="H284" s="6">
        <v>2778.23</v>
      </c>
      <c r="I284" s="2"/>
      <c r="J284" s="7">
        <f t="shared" si="128"/>
        <v>7.5139371725014116E-4</v>
      </c>
      <c r="K284" s="2"/>
      <c r="L284" s="6">
        <f t="shared" si="129"/>
        <v>595.23999999999978</v>
      </c>
      <c r="M284" s="2"/>
      <c r="N284" s="7">
        <f t="shared" si="130"/>
        <v>0.21425151985256793</v>
      </c>
      <c r="O284" s="11"/>
      <c r="P284" s="6">
        <v>10856.53</v>
      </c>
      <c r="Q284" s="2"/>
      <c r="R284" s="7">
        <f t="shared" si="131"/>
        <v>8.0673293546200734E-4</v>
      </c>
      <c r="S284" s="2"/>
      <c r="T284" s="6">
        <v>9027.66</v>
      </c>
      <c r="U284" s="2"/>
      <c r="V284" s="7">
        <f t="shared" si="132"/>
        <v>6.5734811446768846E-4</v>
      </c>
      <c r="W284" s="2"/>
      <c r="X284" s="6">
        <f t="shared" si="133"/>
        <v>1828.8700000000008</v>
      </c>
      <c r="Y284" s="2"/>
      <c r="Z284" s="7">
        <f t="shared" si="134"/>
        <v>0.20258516603416621</v>
      </c>
    </row>
    <row r="285" spans="1:26" s="27" customFormat="1" outlineLevel="1" collapsed="1" x14ac:dyDescent="0.25">
      <c r="A285" s="25"/>
      <c r="B285" s="13" t="str">
        <f>CONCATENATE("     ","Travel                                            ")</f>
        <v xml:space="preserve">     Travel                                            </v>
      </c>
      <c r="C285" s="13"/>
      <c r="D285" s="1">
        <f>SUM(OSRRefD22_25x_0)</f>
        <v>924.51</v>
      </c>
      <c r="E285" s="1"/>
      <c r="F285" s="5">
        <f t="shared" si="127"/>
        <v>2.4829536667433417E-4</v>
      </c>
      <c r="G285" s="1"/>
      <c r="H285" s="1">
        <f>SUM(OSRRefH22_25x_0)</f>
        <v>657.32</v>
      </c>
      <c r="I285" s="1"/>
      <c r="J285" s="5">
        <f t="shared" si="128"/>
        <v>1.7777726042223388E-4</v>
      </c>
      <c r="K285" s="1"/>
      <c r="L285" s="1">
        <f t="shared" si="129"/>
        <v>267.18999999999994</v>
      </c>
      <c r="M285" s="1"/>
      <c r="N285" s="5">
        <f t="shared" si="130"/>
        <v>0.4064839043388303</v>
      </c>
      <c r="O285" s="13"/>
      <c r="P285" s="1">
        <f>SUM(OSRRefP22_25x_0)</f>
        <v>4327.96</v>
      </c>
      <c r="Q285" s="1"/>
      <c r="R285" s="5">
        <f t="shared" si="131"/>
        <v>3.2160440540045015E-4</v>
      </c>
      <c r="S285" s="1"/>
      <c r="T285" s="1">
        <f>SUM(OSRRefT22_25x_0)</f>
        <v>4387.3100000000004</v>
      </c>
      <c r="U285" s="1"/>
      <c r="V285" s="5">
        <f t="shared" si="132"/>
        <v>3.1946151672584418E-4</v>
      </c>
      <c r="W285" s="1"/>
      <c r="X285" s="1">
        <f t="shared" si="133"/>
        <v>-59.350000000000364</v>
      </c>
      <c r="Y285" s="1"/>
      <c r="Z285" s="5">
        <f t="shared" si="134"/>
        <v>-1.3527651339887165E-2</v>
      </c>
    </row>
    <row r="286" spans="1:26" s="24" customFormat="1" hidden="1" outlineLevel="2" x14ac:dyDescent="0.25">
      <c r="A286" s="26"/>
      <c r="B286" s="11" t="str">
        <f>CONCATENATE("          ", "6292", " - ", "TRAVEL/CONFERENCE")</f>
        <v xml:space="preserve">          6292 - TRAVEL/CONFERENCE</v>
      </c>
      <c r="C286" s="11"/>
      <c r="D286" s="6">
        <v>590.14</v>
      </c>
      <c r="E286" s="2"/>
      <c r="F286" s="7">
        <f t="shared" si="127"/>
        <v>1.5849371849865502E-4</v>
      </c>
      <c r="G286" s="2"/>
      <c r="H286" s="6">
        <v>285.62</v>
      </c>
      <c r="I286" s="2"/>
      <c r="J286" s="7">
        <f t="shared" si="128"/>
        <v>7.7248130471913888E-5</v>
      </c>
      <c r="K286" s="2"/>
      <c r="L286" s="6">
        <f t="shared" si="129"/>
        <v>304.52</v>
      </c>
      <c r="M286" s="2"/>
      <c r="N286" s="7">
        <f t="shared" si="130"/>
        <v>1.066171836706113</v>
      </c>
      <c r="O286" s="11"/>
      <c r="P286" s="6">
        <v>3166.01</v>
      </c>
      <c r="Q286" s="2"/>
      <c r="R286" s="7">
        <f t="shared" si="131"/>
        <v>2.3526159288484163E-4</v>
      </c>
      <c r="S286" s="2"/>
      <c r="T286" s="6">
        <v>1932.07</v>
      </c>
      <c r="U286" s="2"/>
      <c r="V286" s="7">
        <f t="shared" si="132"/>
        <v>1.4068347406964672E-4</v>
      </c>
      <c r="W286" s="2"/>
      <c r="X286" s="6">
        <f t="shared" si="133"/>
        <v>1233.9400000000003</v>
      </c>
      <c r="Y286" s="2"/>
      <c r="Z286" s="7">
        <f t="shared" si="134"/>
        <v>0.63866216027369627</v>
      </c>
    </row>
    <row r="287" spans="1:26" s="24" customFormat="1" hidden="1" outlineLevel="2" x14ac:dyDescent="0.25">
      <c r="A287" s="26"/>
      <c r="B287" s="11" t="str">
        <f>CONCATENATE("          ", "6294", " - ", "TRAVEL OPERATIONAL")</f>
        <v xml:space="preserve">          6294 - TRAVEL OPERATIONAL</v>
      </c>
      <c r="C287" s="11"/>
      <c r="D287" s="6">
        <v>334.37</v>
      </c>
      <c r="E287" s="2"/>
      <c r="F287" s="7">
        <f t="shared" si="127"/>
        <v>8.9801648175679135E-5</v>
      </c>
      <c r="G287" s="2"/>
      <c r="H287" s="6">
        <v>202.73</v>
      </c>
      <c r="I287" s="2"/>
      <c r="J287" s="7">
        <f t="shared" si="128"/>
        <v>5.4829891081055602E-5</v>
      </c>
      <c r="K287" s="2"/>
      <c r="L287" s="6">
        <f t="shared" si="129"/>
        <v>131.64000000000001</v>
      </c>
      <c r="M287" s="2"/>
      <c r="N287" s="7">
        <f t="shared" si="130"/>
        <v>0.64933655601045737</v>
      </c>
      <c r="O287" s="11"/>
      <c r="P287" s="6">
        <v>481.96</v>
      </c>
      <c r="Q287" s="2"/>
      <c r="R287" s="7">
        <f t="shared" si="131"/>
        <v>3.5813745789425256E-5</v>
      </c>
      <c r="S287" s="2"/>
      <c r="T287" s="6">
        <v>1994.23</v>
      </c>
      <c r="U287" s="2"/>
      <c r="V287" s="7">
        <f t="shared" si="132"/>
        <v>1.4520964793921109E-4</v>
      </c>
      <c r="W287" s="2"/>
      <c r="X287" s="6">
        <f t="shared" si="133"/>
        <v>-1512.27</v>
      </c>
      <c r="Y287" s="2"/>
      <c r="Z287" s="7">
        <f t="shared" si="134"/>
        <v>-0.75832276116596375</v>
      </c>
    </row>
    <row r="288" spans="1:26" s="24" customFormat="1" hidden="1" outlineLevel="2" x14ac:dyDescent="0.25">
      <c r="A288" s="26"/>
      <c r="B288" s="11" t="str">
        <f>CONCATENATE("          ", "6298", " - ", "VEHICLE MILEAGE")</f>
        <v xml:space="preserve">          6298 - VEHICLE MILEAGE</v>
      </c>
      <c r="C288" s="11"/>
      <c r="D288" s="6"/>
      <c r="E288" s="2"/>
      <c r="F288" s="7">
        <f t="shared" si="127"/>
        <v>0</v>
      </c>
      <c r="G288" s="2"/>
      <c r="H288" s="6">
        <v>168.97</v>
      </c>
      <c r="I288" s="2"/>
      <c r="J288" s="7">
        <f t="shared" si="128"/>
        <v>4.5699238869264372E-5</v>
      </c>
      <c r="K288" s="2"/>
      <c r="L288" s="6">
        <f t="shared" si="129"/>
        <v>-168.97</v>
      </c>
      <c r="M288" s="2"/>
      <c r="N288" s="7">
        <f t="shared" si="130"/>
        <v>-1</v>
      </c>
      <c r="O288" s="11"/>
      <c r="P288" s="6">
        <v>679.99</v>
      </c>
      <c r="Q288" s="2"/>
      <c r="R288" s="7">
        <f t="shared" si="131"/>
        <v>5.0529066726183257E-5</v>
      </c>
      <c r="S288" s="2"/>
      <c r="T288" s="6">
        <v>461.01</v>
      </c>
      <c r="U288" s="2"/>
      <c r="V288" s="7">
        <f t="shared" si="132"/>
        <v>3.3568394716986358E-5</v>
      </c>
      <c r="W288" s="2"/>
      <c r="X288" s="6">
        <f t="shared" si="133"/>
        <v>218.98000000000002</v>
      </c>
      <c r="Y288" s="2"/>
      <c r="Z288" s="7">
        <f t="shared" si="134"/>
        <v>0.47500054228758598</v>
      </c>
    </row>
    <row r="289" spans="1:26" s="27" customFormat="1" outlineLevel="1" collapsed="1" x14ac:dyDescent="0.25">
      <c r="A289" s="25"/>
      <c r="B289" s="13" t="str">
        <f>CONCATENATE("     ","Utilities                                         ")</f>
        <v xml:space="preserve">     Utilities                                         </v>
      </c>
      <c r="C289" s="13"/>
      <c r="D289" s="1">
        <f>SUM(OSRRefD22_26x_0)</f>
        <v>20332.86</v>
      </c>
      <c r="E289" s="1"/>
      <c r="F289" s="5">
        <f t="shared" ref="F289:F290" si="135">IF(D$12=0,0,D289/D$12)</f>
        <v>5.460789963589255E-3</v>
      </c>
      <c r="G289" s="1"/>
      <c r="H289" s="1">
        <f>SUM(OSRRefH22_26x_0)</f>
        <v>-12924.3</v>
      </c>
      <c r="I289" s="1"/>
      <c r="J289" s="5">
        <f t="shared" ref="J289:J290" si="136">IF(H$12=0,0,H289/H$12)</f>
        <v>-3.4954765515655649E-3</v>
      </c>
      <c r="K289" s="1"/>
      <c r="L289" s="1">
        <f t="shared" ref="L289:L290" si="137">+D289-H289</f>
        <v>33257.160000000003</v>
      </c>
      <c r="M289" s="1"/>
      <c r="N289" s="5">
        <f t="shared" ref="N289:N290" si="138">IF(H289=0,0,L289/H289)</f>
        <v>-2.5732271767136328</v>
      </c>
      <c r="O289" s="13"/>
      <c r="P289" s="1">
        <f>SUM(OSRRefP22_26x_0)</f>
        <v>63683.78</v>
      </c>
      <c r="Q289" s="1"/>
      <c r="R289" s="5">
        <f t="shared" ref="R289:R290" si="139">IF(P$12=0,0,P289/P$12)</f>
        <v>4.7322489580664054E-3</v>
      </c>
      <c r="S289" s="1"/>
      <c r="T289" s="1">
        <f>SUM(OSRRefT22_26x_0)</f>
        <v>48511.47</v>
      </c>
      <c r="U289" s="1"/>
      <c r="V289" s="5">
        <f t="shared" ref="V289:V290" si="140">IF(T$12=0,0,T289/T$12)</f>
        <v>3.5323575915083018E-3</v>
      </c>
      <c r="W289" s="1"/>
      <c r="X289" s="1">
        <f t="shared" ref="X289:X290" si="141">+P289-T289</f>
        <v>15172.309999999998</v>
      </c>
      <c r="Y289" s="1"/>
      <c r="Z289" s="5">
        <f t="shared" ref="Z289:Z290" si="142">IF(T289=0,0,X289/T289)</f>
        <v>0.31275716856240382</v>
      </c>
    </row>
    <row r="290" spans="1:26" s="24" customFormat="1" hidden="1" outlineLevel="2" x14ac:dyDescent="0.25">
      <c r="A290" s="26"/>
      <c r="B290" s="11" t="str">
        <f>CONCATENATE("          ", "6274", " - ", "UTILITIES")</f>
        <v xml:space="preserve">          6274 - UTILITIES</v>
      </c>
      <c r="C290" s="11"/>
      <c r="D290" s="6">
        <v>20332.86</v>
      </c>
      <c r="E290" s="2"/>
      <c r="F290" s="7">
        <f t="shared" si="135"/>
        <v>5.460789963589255E-3</v>
      </c>
      <c r="G290" s="2"/>
      <c r="H290" s="6">
        <v>-12924.3</v>
      </c>
      <c r="I290" s="2"/>
      <c r="J290" s="7">
        <f t="shared" si="136"/>
        <v>-3.4954765515655649E-3</v>
      </c>
      <c r="K290" s="2"/>
      <c r="L290" s="6">
        <f t="shared" si="137"/>
        <v>33257.160000000003</v>
      </c>
      <c r="M290" s="2"/>
      <c r="N290" s="7">
        <f t="shared" si="138"/>
        <v>-2.5732271767136328</v>
      </c>
      <c r="O290" s="11"/>
      <c r="P290" s="6">
        <v>63683.78</v>
      </c>
      <c r="Q290" s="2"/>
      <c r="R290" s="7">
        <f t="shared" si="139"/>
        <v>4.7322489580664054E-3</v>
      </c>
      <c r="S290" s="2"/>
      <c r="T290" s="6">
        <v>48511.47</v>
      </c>
      <c r="U290" s="2"/>
      <c r="V290" s="7">
        <f t="shared" si="140"/>
        <v>3.5323575915083018E-3</v>
      </c>
      <c r="W290" s="2"/>
      <c r="X290" s="6">
        <f t="shared" si="141"/>
        <v>15172.309999999998</v>
      </c>
      <c r="Y290" s="2"/>
      <c r="Z290" s="7">
        <f t="shared" si="142"/>
        <v>0.31275716856240382</v>
      </c>
    </row>
    <row r="291" spans="1:26" s="55" customFormat="1" x14ac:dyDescent="0.25">
      <c r="A291" s="37"/>
      <c r="B291" s="37"/>
      <c r="C291" s="37"/>
      <c r="D291" s="1"/>
      <c r="E291" s="1"/>
      <c r="F291" s="5"/>
      <c r="G291" s="1"/>
      <c r="H291" s="1"/>
      <c r="I291" s="1"/>
      <c r="J291" s="5"/>
      <c r="K291" s="1"/>
      <c r="L291" s="1"/>
      <c r="M291" s="1"/>
      <c r="N291" s="5"/>
      <c r="O291" s="37"/>
      <c r="P291" s="1"/>
      <c r="Q291" s="1"/>
      <c r="R291" s="5"/>
      <c r="S291" s="1"/>
      <c r="T291" s="1"/>
      <c r="U291" s="1"/>
      <c r="V291" s="5"/>
      <c r="W291" s="1"/>
      <c r="X291" s="1"/>
      <c r="Y291" s="1"/>
      <c r="Z291" s="5"/>
    </row>
    <row r="292" spans="1:26" s="23" customFormat="1" collapsed="1" x14ac:dyDescent="0.25">
      <c r="A292" s="10"/>
      <c r="B292" s="29" t="s">
        <v>0</v>
      </c>
      <c r="C292" s="10"/>
      <c r="D292" s="4">
        <f>SUM(OSRRefD25x_0)</f>
        <v>265656.75999999995</v>
      </c>
      <c r="E292" s="4"/>
      <c r="F292" s="12">
        <f t="shared" ref="F292:F303" si="143">IF(D$12=0,0,D292/D$12)</f>
        <v>7.1347354418790032E-2</v>
      </c>
      <c r="G292" s="4"/>
      <c r="H292" s="4">
        <f>SUM(OSRRefH25x_0)</f>
        <v>154261.54</v>
      </c>
      <c r="I292" s="4"/>
      <c r="J292" s="12">
        <f t="shared" ref="J292:J303" si="144">IF(H$12=0,0,H292/H$12)</f>
        <v>4.1721222493937275E-2</v>
      </c>
      <c r="K292" s="4"/>
      <c r="L292" s="4">
        <f t="shared" ref="L292:L303" si="145">+D292-H292</f>
        <v>111395.21999999994</v>
      </c>
      <c r="M292" s="4"/>
      <c r="N292" s="12">
        <f t="shared" ref="N292:N303" si="146">IF(H292=0,0,L292/H292)</f>
        <v>0.72211920093627968</v>
      </c>
      <c r="O292" s="10"/>
      <c r="P292" s="4">
        <f>SUM(OSRRefP25x_0)</f>
        <v>822058.06</v>
      </c>
      <c r="Q292" s="4"/>
      <c r="R292" s="12">
        <f t="shared" ref="R292:R303" si="147">IF(P$12=0,0,P292/P$12)</f>
        <v>6.1085937391045106E-2</v>
      </c>
      <c r="S292" s="4"/>
      <c r="T292" s="4">
        <f>SUM(OSRRefT25x_0)</f>
        <v>667660.63</v>
      </c>
      <c r="U292" s="4"/>
      <c r="V292" s="12">
        <f t="shared" ref="V292:V303" si="148">IF(T$12=0,0,T292/T$12)</f>
        <v>4.8615638630033584E-2</v>
      </c>
      <c r="W292" s="4"/>
      <c r="X292" s="4">
        <f t="shared" ref="X292:X303" si="149">+P292-T292</f>
        <v>154397.43000000005</v>
      </c>
      <c r="Y292" s="4"/>
      <c r="Z292" s="12">
        <f t="shared" ref="Z292:Z303" si="150">IF(T292=0,0,X292/T292)</f>
        <v>0.23125136193817517</v>
      </c>
    </row>
    <row r="293" spans="1:26" s="24" customFormat="1" hidden="1" outlineLevel="1" x14ac:dyDescent="0.25">
      <c r="A293" s="44"/>
      <c r="B293" s="11" t="str">
        <f>CONCATENATE("          ", "4098", " - ", "TAXABLE SALES-GRAD RENTALS")</f>
        <v xml:space="preserve">          4098 - TAXABLE SALES-GRAD RENTALS</v>
      </c>
      <c r="C293" s="11"/>
      <c r="D293" s="2">
        <f>0</f>
        <v>0</v>
      </c>
      <c r="E293" s="2"/>
      <c r="F293" s="19">
        <f t="shared" si="143"/>
        <v>0</v>
      </c>
      <c r="G293" s="2"/>
      <c r="H293" s="2">
        <f>0</f>
        <v>0</v>
      </c>
      <c r="I293" s="2"/>
      <c r="J293" s="19">
        <f t="shared" si="144"/>
        <v>0</v>
      </c>
      <c r="K293" s="2"/>
      <c r="L293" s="2">
        <f t="shared" si="145"/>
        <v>0</v>
      </c>
      <c r="M293" s="2"/>
      <c r="N293" s="19">
        <f t="shared" si="146"/>
        <v>0</v>
      </c>
      <c r="O293" s="11"/>
      <c r="P293" s="2">
        <f>--1626.85</f>
        <v>1626.85</v>
      </c>
      <c r="Q293" s="2"/>
      <c r="R293" s="19">
        <f t="shared" si="147"/>
        <v>1.2088885454711279E-4</v>
      </c>
      <c r="S293" s="2"/>
      <c r="T293" s="2">
        <f>0</f>
        <v>0</v>
      </c>
      <c r="U293" s="2"/>
      <c r="V293" s="19">
        <f t="shared" si="148"/>
        <v>0</v>
      </c>
      <c r="W293" s="2"/>
      <c r="X293" s="2">
        <f t="shared" si="149"/>
        <v>1626.85</v>
      </c>
      <c r="Y293" s="2"/>
      <c r="Z293" s="19">
        <f t="shared" si="150"/>
        <v>0</v>
      </c>
    </row>
    <row r="294" spans="1:26" s="24" customFormat="1" hidden="1" outlineLevel="1" x14ac:dyDescent="0.25">
      <c r="A294" s="44"/>
      <c r="B294" s="11" t="str">
        <f>CONCATENATE("          ", "4187", " - ", "NON-TAXABLE SALES-COMPUTER REP")</f>
        <v xml:space="preserve">          4187 - NON-TAXABLE SALES-COMPUTER REP</v>
      </c>
      <c r="C294" s="11"/>
      <c r="D294" s="2">
        <f>--4407.89</f>
        <v>4407.8900000000003</v>
      </c>
      <c r="E294" s="2"/>
      <c r="F294" s="19">
        <f t="shared" si="143"/>
        <v>1.183825663118983E-3</v>
      </c>
      <c r="G294" s="2"/>
      <c r="H294" s="2">
        <f>--258.38</f>
        <v>258.38</v>
      </c>
      <c r="I294" s="2"/>
      <c r="J294" s="19">
        <f t="shared" si="144"/>
        <v>6.988086251429561E-5</v>
      </c>
      <c r="K294" s="2"/>
      <c r="L294" s="2">
        <f t="shared" si="145"/>
        <v>4149.51</v>
      </c>
      <c r="M294" s="2"/>
      <c r="N294" s="19">
        <f t="shared" si="146"/>
        <v>16.059718244446167</v>
      </c>
      <c r="O294" s="11"/>
      <c r="P294" s="2">
        <f>--11782.69</f>
        <v>11782.69</v>
      </c>
      <c r="Q294" s="2"/>
      <c r="R294" s="19">
        <f t="shared" si="147"/>
        <v>8.7555453642543604E-4</v>
      </c>
      <c r="S294" s="2"/>
      <c r="T294" s="2">
        <f>--4259.72</f>
        <v>4259.72</v>
      </c>
      <c r="U294" s="2"/>
      <c r="V294" s="19">
        <f t="shared" si="148"/>
        <v>3.1017106428025666E-4</v>
      </c>
      <c r="W294" s="2"/>
      <c r="X294" s="2">
        <f t="shared" si="149"/>
        <v>7522.97</v>
      </c>
      <c r="Y294" s="2"/>
      <c r="Z294" s="19">
        <f t="shared" si="150"/>
        <v>1.7660714788765459</v>
      </c>
    </row>
    <row r="295" spans="1:26" s="24" customFormat="1" hidden="1" outlineLevel="1" x14ac:dyDescent="0.25">
      <c r="A295" s="44"/>
      <c r="B295" s="11" t="str">
        <f>CONCATENATE("          ", "4197", " - ", "NON-TAXABLE SALES-RETURNED CHE")</f>
        <v xml:space="preserve">          4197 - NON-TAXABLE SALES-RETURNED CHE</v>
      </c>
      <c r="C295" s="11"/>
      <c r="D295" s="2">
        <f t="shared" ref="D295:D296" si="151">0</f>
        <v>0</v>
      </c>
      <c r="E295" s="2"/>
      <c r="F295" s="19">
        <f t="shared" si="143"/>
        <v>0</v>
      </c>
      <c r="G295" s="2"/>
      <c r="H295" s="2">
        <f>--10</f>
        <v>10</v>
      </c>
      <c r="I295" s="2"/>
      <c r="J295" s="19">
        <f t="shared" si="144"/>
        <v>2.7045770769523803E-6</v>
      </c>
      <c r="K295" s="2"/>
      <c r="L295" s="2">
        <f t="shared" si="145"/>
        <v>-10</v>
      </c>
      <c r="M295" s="2"/>
      <c r="N295" s="19">
        <f t="shared" si="146"/>
        <v>-1</v>
      </c>
      <c r="O295" s="11"/>
      <c r="P295" s="2">
        <f>--30</f>
        <v>30</v>
      </c>
      <c r="Q295" s="2"/>
      <c r="R295" s="19">
        <f t="shared" si="147"/>
        <v>2.2292563152186027E-6</v>
      </c>
      <c r="S295" s="2"/>
      <c r="T295" s="2">
        <f>--260</f>
        <v>260</v>
      </c>
      <c r="U295" s="2"/>
      <c r="V295" s="19">
        <f t="shared" si="148"/>
        <v>1.8931872684793071E-5</v>
      </c>
      <c r="W295" s="2"/>
      <c r="X295" s="2">
        <f t="shared" si="149"/>
        <v>-230</v>
      </c>
      <c r="Y295" s="2"/>
      <c r="Z295" s="19">
        <f t="shared" si="150"/>
        <v>-0.88461538461538458</v>
      </c>
    </row>
    <row r="296" spans="1:26" s="24" customFormat="1" hidden="1" outlineLevel="1" x14ac:dyDescent="0.25">
      <c r="A296" s="44"/>
      <c r="B296" s="11" t="str">
        <f>CONCATENATE("          ", "4198", " - ", "NON-TAXABLE SALES-GRAD RENTALS")</f>
        <v xml:space="preserve">          4198 - NON-TAXABLE SALES-GRAD RENTALS</v>
      </c>
      <c r="C296" s="11"/>
      <c r="D296" s="2">
        <f t="shared" si="151"/>
        <v>0</v>
      </c>
      <c r="E296" s="2"/>
      <c r="F296" s="19">
        <f t="shared" si="143"/>
        <v>0</v>
      </c>
      <c r="G296" s="2"/>
      <c r="H296" s="2">
        <f t="shared" ref="H296:H297" si="152">0</f>
        <v>0</v>
      </c>
      <c r="I296" s="2"/>
      <c r="J296" s="19">
        <f t="shared" si="144"/>
        <v>0</v>
      </c>
      <c r="K296" s="2"/>
      <c r="L296" s="2">
        <f t="shared" si="145"/>
        <v>0</v>
      </c>
      <c r="M296" s="2"/>
      <c r="N296" s="19">
        <f t="shared" si="146"/>
        <v>0</v>
      </c>
      <c r="O296" s="11"/>
      <c r="P296" s="2">
        <f>--495</f>
        <v>495</v>
      </c>
      <c r="Q296" s="2"/>
      <c r="R296" s="19">
        <f t="shared" si="147"/>
        <v>3.6782729201106949E-5</v>
      </c>
      <c r="S296" s="2"/>
      <c r="T296" s="2">
        <f>--435</f>
        <v>435</v>
      </c>
      <c r="U296" s="2"/>
      <c r="V296" s="19">
        <f t="shared" si="148"/>
        <v>3.1674479299557632E-5</v>
      </c>
      <c r="W296" s="2"/>
      <c r="X296" s="2">
        <f t="shared" si="149"/>
        <v>60</v>
      </c>
      <c r="Y296" s="2"/>
      <c r="Z296" s="19">
        <f t="shared" si="150"/>
        <v>0.13793103448275862</v>
      </c>
    </row>
    <row r="297" spans="1:26" s="24" customFormat="1" hidden="1" outlineLevel="1" x14ac:dyDescent="0.25">
      <c r="A297" s="44"/>
      <c r="B297" s="11" t="str">
        <f>CONCATENATE("          ", "4387", " - ", "SALES RETURN NON TAXABLE-COMPU")</f>
        <v xml:space="preserve">          4387 - SALES RETURN NON TAXABLE-COMPU</v>
      </c>
      <c r="C297" s="11"/>
      <c r="D297" s="2">
        <f>-350.05</f>
        <v>-350.05</v>
      </c>
      <c r="E297" s="2"/>
      <c r="F297" s="19">
        <f t="shared" si="143"/>
        <v>-9.4012820958508484E-5</v>
      </c>
      <c r="G297" s="2"/>
      <c r="H297" s="2">
        <f t="shared" si="152"/>
        <v>0</v>
      </c>
      <c r="I297" s="2"/>
      <c r="J297" s="19">
        <f t="shared" si="144"/>
        <v>0</v>
      </c>
      <c r="K297" s="2"/>
      <c r="L297" s="2">
        <f t="shared" si="145"/>
        <v>-350.05</v>
      </c>
      <c r="M297" s="2"/>
      <c r="N297" s="19">
        <f t="shared" si="146"/>
        <v>0</v>
      </c>
      <c r="O297" s="11"/>
      <c r="P297" s="2">
        <f>-6790.75</f>
        <v>-6790.75</v>
      </c>
      <c r="Q297" s="2"/>
      <c r="R297" s="19">
        <f t="shared" si="147"/>
        <v>-5.0461074408569091E-4</v>
      </c>
      <c r="S297" s="2"/>
      <c r="T297" s="2">
        <f>0</f>
        <v>0</v>
      </c>
      <c r="U297" s="2"/>
      <c r="V297" s="19">
        <f t="shared" si="148"/>
        <v>0</v>
      </c>
      <c r="W297" s="2"/>
      <c r="X297" s="2">
        <f t="shared" si="149"/>
        <v>-6790.75</v>
      </c>
      <c r="Y297" s="2"/>
      <c r="Z297" s="19">
        <f t="shared" si="150"/>
        <v>0</v>
      </c>
    </row>
    <row r="298" spans="1:26" s="24" customFormat="1" hidden="1" outlineLevel="1" x14ac:dyDescent="0.25">
      <c r="A298" s="44"/>
      <c r="B298" s="11" t="str">
        <f>CONCATENATE("          ", "9150", " - ", "MISC. INCOME")</f>
        <v xml:space="preserve">          9150 - MISC. INCOME</v>
      </c>
      <c r="C298" s="11"/>
      <c r="D298" s="2">
        <f>--123314.63</f>
        <v>123314.63</v>
      </c>
      <c r="E298" s="2"/>
      <c r="F298" s="19">
        <f t="shared" si="143"/>
        <v>3.3118572294685671E-2</v>
      </c>
      <c r="G298" s="2"/>
      <c r="H298" s="2">
        <f>--134317.11</f>
        <v>134317.10999999999</v>
      </c>
      <c r="I298" s="2"/>
      <c r="J298" s="19">
        <f t="shared" si="144"/>
        <v>3.6327097674849131E-2</v>
      </c>
      <c r="K298" s="2"/>
      <c r="L298" s="2">
        <f t="shared" si="145"/>
        <v>-11002.479999999981</v>
      </c>
      <c r="M298" s="2"/>
      <c r="N298" s="19">
        <f t="shared" si="146"/>
        <v>-8.191421033403698E-2</v>
      </c>
      <c r="O298" s="11"/>
      <c r="P298" s="2">
        <f>--335491.4</f>
        <v>335491.40000000002</v>
      </c>
      <c r="Q298" s="2"/>
      <c r="R298" s="19">
        <f t="shared" si="147"/>
        <v>2.4929877405051013E-2</v>
      </c>
      <c r="S298" s="2"/>
      <c r="T298" s="2">
        <f>--401762.89</f>
        <v>401762.89</v>
      </c>
      <c r="U298" s="2"/>
      <c r="V298" s="19">
        <f t="shared" si="148"/>
        <v>2.9254322626748163E-2</v>
      </c>
      <c r="W298" s="2"/>
      <c r="X298" s="2">
        <f t="shared" si="149"/>
        <v>-66271.489999999991</v>
      </c>
      <c r="Y298" s="2"/>
      <c r="Z298" s="19">
        <f t="shared" si="150"/>
        <v>-0.16495174554324812</v>
      </c>
    </row>
    <row r="299" spans="1:26" s="24" customFormat="1" hidden="1" outlineLevel="1" x14ac:dyDescent="0.25">
      <c r="A299" s="44"/>
      <c r="B299" s="11" t="str">
        <f>CONCATENATE("          ", "9151", " - ", "MISC. INCOME")</f>
        <v xml:space="preserve">          9151 - MISC. INCOME</v>
      </c>
      <c r="C299" s="11"/>
      <c r="D299" s="2">
        <f>--4030.76</f>
        <v>4030.76</v>
      </c>
      <c r="E299" s="2"/>
      <c r="F299" s="19">
        <f t="shared" si="143"/>
        <v>1.0825399748799248E-3</v>
      </c>
      <c r="G299" s="2"/>
      <c r="H299" s="2">
        <f>-411.02</f>
        <v>-411.02</v>
      </c>
      <c r="I299" s="2"/>
      <c r="J299" s="19">
        <f t="shared" si="144"/>
        <v>-1.1116352701689674E-4</v>
      </c>
      <c r="K299" s="2"/>
      <c r="L299" s="2">
        <f t="shared" si="145"/>
        <v>4441.7800000000007</v>
      </c>
      <c r="M299" s="2"/>
      <c r="N299" s="19">
        <f t="shared" si="146"/>
        <v>-10.806724733589608</v>
      </c>
      <c r="O299" s="11"/>
      <c r="P299" s="2">
        <f>--87224.27</f>
        <v>87224.27</v>
      </c>
      <c r="Q299" s="2"/>
      <c r="R299" s="19">
        <f t="shared" si="147"/>
        <v>6.4815084912610843E-3</v>
      </c>
      <c r="S299" s="2"/>
      <c r="T299" s="2">
        <f>--649.77</f>
        <v>649.77</v>
      </c>
      <c r="U299" s="2"/>
      <c r="V299" s="19">
        <f t="shared" si="148"/>
        <v>4.7312934286146126E-5</v>
      </c>
      <c r="W299" s="2"/>
      <c r="X299" s="2">
        <f t="shared" si="149"/>
        <v>86574.5</v>
      </c>
      <c r="Y299" s="2"/>
      <c r="Z299" s="19">
        <f t="shared" si="150"/>
        <v>133.23868445757731</v>
      </c>
    </row>
    <row r="300" spans="1:26" s="24" customFormat="1" hidden="1" outlineLevel="1" x14ac:dyDescent="0.25">
      <c r="A300" s="44"/>
      <c r="B300" s="11" t="str">
        <f>CONCATENATE("          ", "9152", " - ", "MISC. INCOME")</f>
        <v xml:space="preserve">          9152 - MISC. INCOME</v>
      </c>
      <c r="C300" s="11"/>
      <c r="D300" s="2">
        <f>--53.08</f>
        <v>53.08</v>
      </c>
      <c r="E300" s="2"/>
      <c r="F300" s="19">
        <f t="shared" si="143"/>
        <v>1.4255679292894243E-5</v>
      </c>
      <c r="G300" s="2"/>
      <c r="H300" s="2">
        <f>--1707.79</f>
        <v>1707.79</v>
      </c>
      <c r="I300" s="2"/>
      <c r="J300" s="19">
        <f t="shared" si="144"/>
        <v>4.6188496862485055E-4</v>
      </c>
      <c r="K300" s="2"/>
      <c r="L300" s="2">
        <f t="shared" si="145"/>
        <v>-1654.71</v>
      </c>
      <c r="M300" s="2"/>
      <c r="N300" s="19">
        <f t="shared" si="146"/>
        <v>-0.96891889518032082</v>
      </c>
      <c r="O300" s="11"/>
      <c r="P300" s="2">
        <f>--694.1</f>
        <v>694.1</v>
      </c>
      <c r="Q300" s="2"/>
      <c r="R300" s="19">
        <f t="shared" si="147"/>
        <v>5.1577560279774409E-5</v>
      </c>
      <c r="S300" s="2"/>
      <c r="T300" s="2">
        <f>--3217.12</f>
        <v>3217.12</v>
      </c>
      <c r="U300" s="2"/>
      <c r="V300" s="19">
        <f t="shared" si="148"/>
        <v>2.3425425481423645E-4</v>
      </c>
      <c r="W300" s="2"/>
      <c r="X300" s="2">
        <f t="shared" si="149"/>
        <v>-2523.02</v>
      </c>
      <c r="Y300" s="2"/>
      <c r="Z300" s="19">
        <f t="shared" si="150"/>
        <v>-0.78424802307654051</v>
      </c>
    </row>
    <row r="301" spans="1:26" s="24" customFormat="1" hidden="1" outlineLevel="1" x14ac:dyDescent="0.25">
      <c r="A301" s="44"/>
      <c r="B301" s="11" t="str">
        <f>CONCATENATE("          ", "9160", " - ", "MISC. INCOME")</f>
        <v xml:space="preserve">          9160 - MISC. INCOME</v>
      </c>
      <c r="C301" s="11"/>
      <c r="D301" s="2">
        <f>--65384.61</f>
        <v>65384.61</v>
      </c>
      <c r="E301" s="2"/>
      <c r="F301" s="19">
        <f t="shared" si="143"/>
        <v>1.7560324620402523E-2</v>
      </c>
      <c r="G301" s="2"/>
      <c r="H301" s="2">
        <f>--10422.69</f>
        <v>10422.69</v>
      </c>
      <c r="I301" s="2"/>
      <c r="J301" s="19">
        <f t="shared" si="144"/>
        <v>2.8188968454180806E-3</v>
      </c>
      <c r="K301" s="2"/>
      <c r="L301" s="2">
        <f t="shared" si="145"/>
        <v>54961.919999999998</v>
      </c>
      <c r="M301" s="2"/>
      <c r="N301" s="19">
        <f t="shared" si="146"/>
        <v>5.2732950898472462</v>
      </c>
      <c r="O301" s="11"/>
      <c r="P301" s="2">
        <f>--117527.88</f>
        <v>117527.88</v>
      </c>
      <c r="Q301" s="2"/>
      <c r="R301" s="19">
        <f t="shared" si="147"/>
        <v>8.733325623475138E-3</v>
      </c>
      <c r="S301" s="2"/>
      <c r="T301" s="2">
        <f>--45864.85</f>
        <v>45864.85</v>
      </c>
      <c r="U301" s="2"/>
      <c r="V301" s="19">
        <f t="shared" si="148"/>
        <v>3.3396442342581976E-3</v>
      </c>
      <c r="W301" s="2"/>
      <c r="X301" s="2">
        <f t="shared" si="149"/>
        <v>71663.03</v>
      </c>
      <c r="Y301" s="2"/>
      <c r="Z301" s="19">
        <f t="shared" si="150"/>
        <v>1.5624825983296577</v>
      </c>
    </row>
    <row r="302" spans="1:26" s="24" customFormat="1" hidden="1" outlineLevel="1" x14ac:dyDescent="0.25">
      <c r="A302" s="44"/>
      <c r="B302" s="11" t="str">
        <f>CONCATENATE("          ", "9163", " - ", "MISC. INCOME")</f>
        <v xml:space="preserve">          9163 - MISC. INCOME</v>
      </c>
      <c r="C302" s="11"/>
      <c r="D302" s="2">
        <f>--61106.55</f>
        <v>61106.55</v>
      </c>
      <c r="E302" s="2"/>
      <c r="F302" s="19">
        <f t="shared" si="143"/>
        <v>1.6411367360497489E-2</v>
      </c>
      <c r="G302" s="2"/>
      <c r="H302" s="2">
        <f>0</f>
        <v>0</v>
      </c>
      <c r="I302" s="2"/>
      <c r="J302" s="19">
        <f t="shared" si="144"/>
        <v>0</v>
      </c>
      <c r="K302" s="2"/>
      <c r="L302" s="2">
        <f t="shared" si="145"/>
        <v>61106.55</v>
      </c>
      <c r="M302" s="2"/>
      <c r="N302" s="19">
        <f t="shared" si="146"/>
        <v>0</v>
      </c>
      <c r="O302" s="11"/>
      <c r="P302" s="2">
        <f>--61106.55</f>
        <v>61106.55</v>
      </c>
      <c r="Q302" s="2"/>
      <c r="R302" s="19">
        <f t="shared" si="147"/>
        <v>4.5407387496240442E-3</v>
      </c>
      <c r="S302" s="2"/>
      <c r="T302" s="2">
        <f>0</f>
        <v>0</v>
      </c>
      <c r="U302" s="2"/>
      <c r="V302" s="19">
        <f t="shared" si="148"/>
        <v>0</v>
      </c>
      <c r="W302" s="2"/>
      <c r="X302" s="2">
        <f t="shared" si="149"/>
        <v>61106.55</v>
      </c>
      <c r="Y302" s="2"/>
      <c r="Z302" s="19">
        <f t="shared" si="150"/>
        <v>0</v>
      </c>
    </row>
    <row r="303" spans="1:26" s="24" customFormat="1" hidden="1" outlineLevel="1" x14ac:dyDescent="0.25">
      <c r="A303" s="44"/>
      <c r="B303" s="11" t="str">
        <f>CONCATENATE("          ", "9165", " - ", "OTHER INCOME")</f>
        <v xml:space="preserve">          9165 - OTHER INCOME</v>
      </c>
      <c r="C303" s="11"/>
      <c r="D303" s="2">
        <f>--7709.29</f>
        <v>7709.29</v>
      </c>
      <c r="E303" s="2"/>
      <c r="F303" s="19">
        <f t="shared" si="143"/>
        <v>2.0704816468710753E-3</v>
      </c>
      <c r="G303" s="2"/>
      <c r="H303" s="2">
        <f>--7956.59</f>
        <v>7956.59</v>
      </c>
      <c r="I303" s="2"/>
      <c r="J303" s="19">
        <f t="shared" si="144"/>
        <v>2.1519210924708541E-3</v>
      </c>
      <c r="K303" s="2"/>
      <c r="L303" s="2">
        <f t="shared" si="145"/>
        <v>-247.30000000000018</v>
      </c>
      <c r="M303" s="2"/>
      <c r="N303" s="19">
        <f t="shared" si="146"/>
        <v>-3.1081154112502993E-2</v>
      </c>
      <c r="O303" s="11"/>
      <c r="P303" s="2">
        <f>--212870.07</f>
        <v>212870.07</v>
      </c>
      <c r="Q303" s="2"/>
      <c r="R303" s="19">
        <f t="shared" si="147"/>
        <v>1.5818064928950867E-2</v>
      </c>
      <c r="S303" s="2"/>
      <c r="T303" s="2">
        <f>--211211.28</f>
        <v>211211.28</v>
      </c>
      <c r="U303" s="2"/>
      <c r="V303" s="19">
        <f t="shared" si="148"/>
        <v>1.5379327163662233E-2</v>
      </c>
      <c r="W303" s="2"/>
      <c r="X303" s="2">
        <f t="shared" si="149"/>
        <v>1658.7900000000081</v>
      </c>
      <c r="Y303" s="2"/>
      <c r="Z303" s="19">
        <f t="shared" si="150"/>
        <v>7.853699859212103E-3</v>
      </c>
    </row>
    <row r="304" spans="1:26" x14ac:dyDescent="0.25">
      <c r="A304" s="9"/>
      <c r="B304" s="10"/>
      <c r="C304" s="10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O304" s="10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s="23" customFormat="1" x14ac:dyDescent="0.25">
      <c r="A305" s="10"/>
      <c r="B305" s="28" t="s">
        <v>3</v>
      </c>
      <c r="C305" s="28"/>
      <c r="D305" s="21">
        <f>+D195-D197+D292</f>
        <v>885358.03999999864</v>
      </c>
      <c r="E305" s="14"/>
      <c r="F305" s="22">
        <f>IF(D$12=0,0,D305/D$12)</f>
        <v>0.2377803368053017</v>
      </c>
      <c r="G305" s="14"/>
      <c r="H305" s="21">
        <f>+H195-H197+H292</f>
        <v>784380.96999999927</v>
      </c>
      <c r="I305" s="14"/>
      <c r="J305" s="22">
        <f>IF(H$12=0,0,H305/H$12)</f>
        <v>0.21214187910596707</v>
      </c>
      <c r="K305" s="16"/>
      <c r="L305" s="21">
        <f>+D305-H305</f>
        <v>100977.06999999937</v>
      </c>
      <c r="M305" s="16"/>
      <c r="N305" s="22">
        <f>IF(H305=0,0,L305/H305)</f>
        <v>0.12873472695289823</v>
      </c>
      <c r="O305" s="29"/>
      <c r="P305" s="21">
        <f>+P195-P197+P292</f>
        <v>1886971.7199999965</v>
      </c>
      <c r="Q305" s="14"/>
      <c r="R305" s="22">
        <f>IF(P$12=0,0,P305/P$12)</f>
        <v>0.14021812078163004</v>
      </c>
      <c r="S305" s="14"/>
      <c r="T305" s="21">
        <f>+T195-T197+T292</f>
        <v>2103002.5900000045</v>
      </c>
      <c r="U305" s="14"/>
      <c r="V305" s="22">
        <f>IF(T$12=0,0,T305/T$12)</f>
        <v>0.15312991265257755</v>
      </c>
      <c r="W305" s="16"/>
      <c r="X305" s="21">
        <f>+P305-T305</f>
        <v>-216030.87000000803</v>
      </c>
      <c r="Y305" s="16"/>
      <c r="Z305" s="22">
        <f>IF(T305=0,0,X305/T305)</f>
        <v>-0.10272496621129105</v>
      </c>
    </row>
    <row r="306" spans="1:26" x14ac:dyDescent="0.25">
      <c r="A306" s="9"/>
      <c r="B306" s="10"/>
      <c r="C306" s="9"/>
      <c r="D306" s="3"/>
      <c r="E306" s="3"/>
      <c r="F306" s="8"/>
      <c r="G306" s="3"/>
      <c r="H306" s="3"/>
      <c r="I306" s="3"/>
      <c r="J306" s="8"/>
      <c r="K306" s="3"/>
      <c r="L306" s="3"/>
      <c r="M306" s="3"/>
      <c r="N306" s="8"/>
      <c r="P306" s="3"/>
      <c r="Q306" s="3"/>
      <c r="R306" s="8"/>
      <c r="S306" s="3"/>
      <c r="T306" s="3"/>
      <c r="U306" s="3"/>
      <c r="V306" s="8"/>
      <c r="W306" s="3"/>
      <c r="X306" s="3"/>
      <c r="Y306" s="3"/>
      <c r="Z306" s="8"/>
    </row>
    <row r="307" spans="1:26" s="23" customFormat="1" x14ac:dyDescent="0.25">
      <c r="A307" s="51"/>
      <c r="B307" s="10" t="s">
        <v>13</v>
      </c>
      <c r="C307" s="10"/>
      <c r="D307" s="4">
        <v>309098.70999999996</v>
      </c>
      <c r="E307" s="4"/>
      <c r="F307" s="12">
        <f>IF(D$12=0,0,D307/D$12)</f>
        <v>8.3014545584162061E-2</v>
      </c>
      <c r="G307" s="4"/>
      <c r="H307" s="4">
        <v>369606.29</v>
      </c>
      <c r="I307" s="4"/>
      <c r="J307" s="12">
        <f>IF(H$12=0,0,H307/H$12)</f>
        <v>9.996286994314138E-2</v>
      </c>
      <c r="K307" s="4"/>
      <c r="L307" s="4">
        <f>+D307-H307</f>
        <v>-60507.580000000016</v>
      </c>
      <c r="M307" s="4"/>
      <c r="N307" s="12">
        <f>IF(H307=0,0,L307/H307)</f>
        <v>-0.16370819879715798</v>
      </c>
      <c r="O307" s="10"/>
      <c r="P307" s="4">
        <v>1354656.51</v>
      </c>
      <c r="Q307" s="4"/>
      <c r="R307" s="12">
        <f>IF(P$12=0,0,P307/P$12)</f>
        <v>0.10066255266231641</v>
      </c>
      <c r="S307" s="4"/>
      <c r="T307" s="4">
        <v>1261277.46</v>
      </c>
      <c r="U307" s="4"/>
      <c r="V307" s="12">
        <f>IF(T$12=0,0,T307/T$12)</f>
        <v>9.183978574199686E-2</v>
      </c>
      <c r="W307" s="4"/>
      <c r="X307" s="4">
        <f>+P307-T307</f>
        <v>93379.050000000047</v>
      </c>
      <c r="Y307" s="4"/>
      <c r="Z307" s="12">
        <f>IF(T307=0,0,X307/T307)</f>
        <v>7.4035295929255771E-2</v>
      </c>
    </row>
    <row r="308" spans="1:26" x14ac:dyDescent="0.25">
      <c r="A308" s="9"/>
      <c r="B308" s="10"/>
      <c r="C308" s="10"/>
      <c r="D308" s="3"/>
      <c r="E308" s="3"/>
      <c r="F308" s="8"/>
      <c r="G308" s="3"/>
      <c r="H308" s="3"/>
      <c r="I308" s="3"/>
      <c r="J308" s="8"/>
      <c r="K308" s="3"/>
      <c r="L308" s="3"/>
      <c r="M308" s="3"/>
      <c r="N308" s="8"/>
      <c r="O308" s="10"/>
      <c r="P308" s="3"/>
      <c r="Q308" s="3"/>
      <c r="R308" s="8"/>
      <c r="S308" s="3"/>
      <c r="T308" s="3"/>
      <c r="U308" s="3"/>
      <c r="V308" s="8"/>
      <c r="W308" s="3"/>
      <c r="X308" s="3"/>
      <c r="Y308" s="3"/>
      <c r="Z308" s="8"/>
    </row>
    <row r="309" spans="1:26" s="23" customFormat="1" ht="15.75" thickBot="1" x14ac:dyDescent="0.3">
      <c r="A309" s="10"/>
      <c r="B309" s="28" t="s">
        <v>4</v>
      </c>
      <c r="C309" s="28"/>
      <c r="D309" s="31">
        <f>+D305-D307</f>
        <v>576259.32999999868</v>
      </c>
      <c r="E309" s="14"/>
      <c r="F309" s="34">
        <f>IF(D$12=0,0,D309/D$12)</f>
        <v>0.15476579122113965</v>
      </c>
      <c r="G309" s="14"/>
      <c r="H309" s="31">
        <f>+H305-H307</f>
        <v>414774.67999999929</v>
      </c>
      <c r="I309" s="14"/>
      <c r="J309" s="34">
        <f>IF(H$12=0,0,H309/H$12)</f>
        <v>0.11217900916282571</v>
      </c>
      <c r="K309" s="16"/>
      <c r="L309" s="31">
        <f>D309-H309</f>
        <v>161484.64999999938</v>
      </c>
      <c r="M309" s="16"/>
      <c r="N309" s="34">
        <f>IF(H309=0,0,L309/H309)</f>
        <v>0.38933102184540208</v>
      </c>
      <c r="O309" s="29"/>
      <c r="P309" s="31">
        <f>+P305-P307</f>
        <v>532315.20999999647</v>
      </c>
      <c r="Q309" s="14"/>
      <c r="R309" s="34">
        <f>IF(P$12=0,0,P309/P$12)</f>
        <v>3.9555568119313628E-2</v>
      </c>
      <c r="S309" s="14"/>
      <c r="T309" s="31">
        <f>+T305-T307</f>
        <v>841725.13000000454</v>
      </c>
      <c r="U309" s="14"/>
      <c r="V309" s="34">
        <f>IF(T$12=0,0,T309/T$12)</f>
        <v>6.1290126910580695E-2</v>
      </c>
      <c r="W309" s="16"/>
      <c r="X309" s="31">
        <f>P309-T309</f>
        <v>-309409.92000000807</v>
      </c>
      <c r="Y309" s="16"/>
      <c r="Z309" s="34">
        <f>IF(T309=0,0,X309/T309)</f>
        <v>-0.3675902132089206</v>
      </c>
    </row>
    <row r="310" spans="1:26" ht="15.75" thickTop="1" x14ac:dyDescent="0.25">
      <c r="A310" s="9"/>
      <c r="B310" s="9"/>
      <c r="C310" s="9"/>
      <c r="D310" s="3"/>
      <c r="E310" s="3"/>
      <c r="F310" s="8"/>
      <c r="G310" s="3"/>
      <c r="H310" s="3"/>
      <c r="I310" s="3"/>
      <c r="J310" s="8"/>
      <c r="K310" s="3"/>
      <c r="L310" s="3"/>
      <c r="M310" s="3"/>
      <c r="N310" s="8"/>
      <c r="P310" s="3"/>
      <c r="Q310" s="3"/>
      <c r="R310" s="8"/>
      <c r="S310" s="3"/>
      <c r="T310" s="3"/>
      <c r="U310" s="3"/>
      <c r="V310" s="8"/>
      <c r="W310" s="3"/>
      <c r="X310" s="3"/>
      <c r="Y310" s="3"/>
      <c r="Z310" s="8"/>
    </row>
    <row r="311" spans="1:26" s="23" customFormat="1" x14ac:dyDescent="0.25">
      <c r="A311" s="51"/>
      <c r="B311" s="10" t="s">
        <v>2</v>
      </c>
      <c r="C311" s="10"/>
      <c r="D311" s="4">
        <f>--215833.16</f>
        <v>215833.16</v>
      </c>
      <c r="E311" s="4"/>
      <c r="F311" s="12">
        <f t="shared" ref="F311:F312" si="153">IF(D$12=0,0,D311/D$12)</f>
        <v>5.7966245473472684E-2</v>
      </c>
      <c r="G311" s="4"/>
      <c r="H311" s="4">
        <f>-666188.97</f>
        <v>-666188.97</v>
      </c>
      <c r="I311" s="4"/>
      <c r="J311" s="12">
        <f t="shared" ref="J311:J312" si="154">IF(H$12=0,0,H311/H$12)</f>
        <v>-0.18017594171805171</v>
      </c>
      <c r="K311" s="4"/>
      <c r="L311" s="4">
        <f t="shared" ref="L311:L312" si="155">+D311-H311</f>
        <v>882022.13</v>
      </c>
      <c r="M311" s="4"/>
      <c r="N311" s="12">
        <f t="shared" ref="N311:N312" si="156">IF(H311=0,0,L311/H311)</f>
        <v>-1.3239818876016516</v>
      </c>
      <c r="O311" s="10"/>
      <c r="P311" s="4">
        <f>--118303.25</f>
        <v>118303.25</v>
      </c>
      <c r="Q311" s="4"/>
      <c r="R311" s="12">
        <f t="shared" ref="R311:R312" si="157">IF(P$12=0,0,P311/P$12)</f>
        <v>8.7909422391128384E-3</v>
      </c>
      <c r="S311" s="4"/>
      <c r="T311" s="4">
        <f>-511523.83</f>
        <v>-511523.83</v>
      </c>
      <c r="U311" s="4"/>
      <c r="V311" s="12">
        <f t="shared" ref="V311:V312" si="158">IF(T$12=0,0,T311/T$12)</f>
        <v>-3.7246553941529745E-2</v>
      </c>
      <c r="W311" s="4"/>
      <c r="X311" s="4">
        <f t="shared" ref="X311:X312" si="159">+P311-T311</f>
        <v>629827.08000000007</v>
      </c>
      <c r="Y311" s="4"/>
      <c r="Z311" s="12">
        <f t="shared" ref="Z311:Z312" si="160">IF(T311=0,0,X311/T311)</f>
        <v>-1.2312761264709799</v>
      </c>
    </row>
    <row r="312" spans="1:26" s="23" customFormat="1" x14ac:dyDescent="0.25">
      <c r="A312" s="51"/>
      <c r="B312" s="10" t="s">
        <v>1</v>
      </c>
      <c r="C312" s="10"/>
      <c r="D312" s="4">
        <f>--13441.85</f>
        <v>13441.85</v>
      </c>
      <c r="E312" s="4"/>
      <c r="F312" s="12">
        <f t="shared" si="153"/>
        <v>3.6100735249282308E-3</v>
      </c>
      <c r="G312" s="4"/>
      <c r="H312" s="4">
        <f>--16823.03</f>
        <v>16823.03</v>
      </c>
      <c r="I312" s="4"/>
      <c r="J312" s="12">
        <f t="shared" si="154"/>
        <v>4.5499181302882203E-3</v>
      </c>
      <c r="K312" s="4"/>
      <c r="L312" s="4">
        <f t="shared" si="155"/>
        <v>-3381.1799999999985</v>
      </c>
      <c r="M312" s="4"/>
      <c r="N312" s="12">
        <f t="shared" si="156"/>
        <v>-0.20098519707805304</v>
      </c>
      <c r="O312" s="10"/>
      <c r="P312" s="4">
        <f>--65213.01</f>
        <v>65213.01</v>
      </c>
      <c r="Q312" s="4"/>
      <c r="R312" s="12">
        <f t="shared" si="157"/>
        <v>4.8458838125637971E-3</v>
      </c>
      <c r="S312" s="4"/>
      <c r="T312" s="4">
        <f>--59805.07</f>
        <v>59805.07</v>
      </c>
      <c r="U312" s="4"/>
      <c r="V312" s="12">
        <f t="shared" si="158"/>
        <v>4.3546998890197598E-3</v>
      </c>
      <c r="W312" s="4"/>
      <c r="X312" s="4">
        <f t="shared" si="159"/>
        <v>5407.9400000000023</v>
      </c>
      <c r="Y312" s="4"/>
      <c r="Z312" s="12">
        <f t="shared" si="160"/>
        <v>9.0426112702484962E-2</v>
      </c>
    </row>
    <row r="313" spans="1:26" x14ac:dyDescent="0.25">
      <c r="A313" s="9"/>
      <c r="B313" s="9"/>
      <c r="C313" s="9"/>
      <c r="D313" s="3"/>
      <c r="E313" s="3"/>
      <c r="F313" s="8"/>
      <c r="G313" s="3"/>
      <c r="H313" s="3"/>
      <c r="I313" s="3"/>
      <c r="J313" s="8"/>
      <c r="K313" s="3"/>
      <c r="L313" s="3"/>
      <c r="M313" s="3"/>
      <c r="N313" s="8"/>
      <c r="P313" s="3"/>
      <c r="Q313" s="3"/>
      <c r="R313" s="8"/>
      <c r="S313" s="3"/>
      <c r="T313" s="3"/>
      <c r="U313" s="3"/>
      <c r="V313" s="8"/>
      <c r="W313" s="3"/>
      <c r="X313" s="3"/>
      <c r="Y313" s="3"/>
      <c r="Z313" s="8"/>
    </row>
    <row r="314" spans="1:26" s="23" customFormat="1" ht="15.75" thickBot="1" x14ac:dyDescent="0.3">
      <c r="A314" s="10"/>
      <c r="B314" s="28" t="s">
        <v>5</v>
      </c>
      <c r="C314" s="28"/>
      <c r="D314" s="36">
        <f>SUM(D309:D313)</f>
        <v>805534.33999999869</v>
      </c>
      <c r="E314" s="14"/>
      <c r="F314" s="33">
        <f>IF(D$12=0,0,D314/D$12)</f>
        <v>0.21634211021954056</v>
      </c>
      <c r="G314" s="14"/>
      <c r="H314" s="36">
        <f>SUM(H309:H313)</f>
        <v>-234591.26000000068</v>
      </c>
      <c r="I314" s="14"/>
      <c r="J314" s="33">
        <f>IF(H$12=0,0,H314/H$12)</f>
        <v>-6.3447014424937775E-2</v>
      </c>
      <c r="K314" s="16"/>
      <c r="L314" s="36">
        <f>+D314-H314</f>
        <v>1040125.5999999994</v>
      </c>
      <c r="M314" s="16"/>
      <c r="N314" s="33">
        <f>IF(H314=0,0,L314/H314)</f>
        <v>-4.4337781381966082</v>
      </c>
      <c r="O314" s="29"/>
      <c r="P314" s="36">
        <f>SUM(P309:P313)</f>
        <v>715831.46999999648</v>
      </c>
      <c r="Q314" s="14"/>
      <c r="R314" s="33">
        <f>IF(P$12=0,0,P314/P$12)</f>
        <v>5.3192394170990268E-2</v>
      </c>
      <c r="S314" s="14"/>
      <c r="T314" s="36">
        <f>SUM(T309:T313)</f>
        <v>390006.37000000454</v>
      </c>
      <c r="U314" s="14"/>
      <c r="V314" s="33">
        <f>IF(T$12=0,0,T314/T$12)</f>
        <v>2.839827285807071E-2</v>
      </c>
      <c r="W314" s="16"/>
      <c r="X314" s="36">
        <f>+P314-T314</f>
        <v>325825.09999999194</v>
      </c>
      <c r="Y314" s="16"/>
      <c r="Z314" s="33">
        <f>IF(T314=0,0,X314/T314)</f>
        <v>0.83543532891523842</v>
      </c>
    </row>
    <row r="315" spans="1:26" ht="15.75" thickTop="1" x14ac:dyDescent="0.25">
      <c r="A315" s="9"/>
      <c r="C315" s="9"/>
      <c r="D315" s="18"/>
      <c r="E315" s="18"/>
      <c r="G315" s="18"/>
      <c r="H315" s="18"/>
      <c r="I315" s="18"/>
      <c r="J315" s="42"/>
      <c r="K315" s="18"/>
      <c r="L315" s="18"/>
      <c r="M315" s="18"/>
      <c r="P315" s="18"/>
      <c r="Q315" s="18"/>
      <c r="R315" s="42"/>
      <c r="S315" s="18"/>
      <c r="T315" s="18"/>
      <c r="U315" s="18"/>
      <c r="V315" s="42"/>
      <c r="W315" s="18"/>
      <c r="X315" s="18"/>
    </row>
    <row r="316" spans="1:26" x14ac:dyDescent="0.25">
      <c r="A316" s="9"/>
      <c r="B316" s="61">
        <v>43791.354631909722</v>
      </c>
      <c r="D316" s="18"/>
      <c r="E316" s="18"/>
      <c r="G316" s="18"/>
      <c r="H316" s="18"/>
      <c r="I316" s="18"/>
      <c r="J316" s="42"/>
      <c r="K316" s="18"/>
      <c r="L316" s="18"/>
      <c r="M316" s="18"/>
      <c r="P316" s="18"/>
      <c r="Q316" s="18"/>
      <c r="R316" s="42"/>
      <c r="S316" s="18"/>
      <c r="T316" s="18"/>
      <c r="U316" s="18"/>
      <c r="V316" s="42"/>
      <c r="W316" s="18"/>
      <c r="X316" s="18"/>
    </row>
    <row r="317" spans="1:26" x14ac:dyDescent="0.25">
      <c r="A317" s="9"/>
      <c r="B317" s="56" t="s">
        <v>313</v>
      </c>
      <c r="D317" s="18"/>
      <c r="E317" s="18"/>
      <c r="G317" s="18"/>
      <c r="H317" s="18"/>
      <c r="I317" s="18"/>
      <c r="J317" s="42"/>
      <c r="K317" s="18"/>
      <c r="L317" s="18"/>
      <c r="M317" s="18"/>
      <c r="P317" s="18"/>
      <c r="Q317" s="18"/>
      <c r="R317" s="42"/>
      <c r="S317" s="18"/>
      <c r="T317" s="18"/>
      <c r="U317" s="18"/>
      <c r="V317" s="42"/>
      <c r="W317" s="18"/>
      <c r="X317" s="18"/>
    </row>
    <row r="318" spans="1:26" x14ac:dyDescent="0.25">
      <c r="A318" s="9"/>
      <c r="B318" s="57"/>
      <c r="D318" s="18"/>
      <c r="E318" s="18"/>
      <c r="G318" s="18"/>
      <c r="H318" s="18"/>
      <c r="I318" s="18"/>
      <c r="J318" s="42"/>
      <c r="K318" s="18"/>
      <c r="L318" s="18"/>
      <c r="M318" s="18"/>
      <c r="P318" s="18"/>
      <c r="Q318" s="18"/>
      <c r="R318" s="42"/>
      <c r="S318" s="18"/>
      <c r="T318" s="18"/>
      <c r="U318" s="18"/>
      <c r="V318" s="42"/>
      <c r="W318" s="18"/>
      <c r="X318" s="18"/>
    </row>
    <row r="319" spans="1:26" x14ac:dyDescent="0.25">
      <c r="D319" s="18"/>
      <c r="E319" s="18"/>
      <c r="G319" s="18"/>
      <c r="H319" s="18"/>
      <c r="I319" s="18"/>
      <c r="J319" s="42"/>
      <c r="K319" s="18"/>
      <c r="L319" s="18"/>
      <c r="M319" s="18"/>
      <c r="P319" s="18"/>
      <c r="Q319" s="18"/>
      <c r="R319" s="42"/>
      <c r="S319" s="18"/>
      <c r="T319" s="18"/>
      <c r="U319" s="18"/>
      <c r="V319" s="42"/>
      <c r="W319" s="18"/>
      <c r="X319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296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296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","200", " - ", "Corporate Expense")</f>
        <v>Department 200 - Corporate Expense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58548.86</v>
      </c>
      <c r="E18" s="20"/>
      <c r="F18" s="35">
        <f t="shared" ref="F18:F27" si="0">IF(D$12=0,0,D18/D$12)</f>
        <v>0</v>
      </c>
      <c r="G18" s="20"/>
      <c r="H18" s="20">
        <f>SUM(OSRRefH22x_0)</f>
        <v>67622.41</v>
      </c>
      <c r="I18" s="20"/>
      <c r="J18" s="35">
        <f t="shared" ref="J18:J27" si="1">IF(H$12=0,0,H18/H$12)</f>
        <v>0</v>
      </c>
      <c r="K18" s="4"/>
      <c r="L18" s="20">
        <f t="shared" ref="L18:L27" si="2">+D18-H18</f>
        <v>-9073.5500000000029</v>
      </c>
      <c r="M18" s="4"/>
      <c r="N18" s="35">
        <f t="shared" ref="N18:N27" si="3">IF(H18=0,0,L18/H18)</f>
        <v>-0.13417963068751915</v>
      </c>
      <c r="O18" s="10"/>
      <c r="P18" s="20">
        <f>SUM(OSRRefP22x_0)</f>
        <v>188439.65</v>
      </c>
      <c r="Q18" s="20"/>
      <c r="R18" s="35">
        <f t="shared" ref="R18:R27" si="4">IF(P$12=0,0,P18/P$12)</f>
        <v>0</v>
      </c>
      <c r="S18" s="20"/>
      <c r="T18" s="20">
        <f>SUM(OSRRefT22x_0)</f>
        <v>193828.85</v>
      </c>
      <c r="U18" s="20"/>
      <c r="V18" s="35">
        <f t="shared" ref="V18:V27" si="5">IF(T$12=0,0,T18/T$12)</f>
        <v>0</v>
      </c>
      <c r="W18" s="4"/>
      <c r="X18" s="20">
        <f t="shared" ref="X18:X27" si="6">+P18-T18</f>
        <v>-5389.2000000000116</v>
      </c>
      <c r="Y18" s="4"/>
      <c r="Z18" s="35">
        <f t="shared" ref="Z18:Z27" si="7">IF(T18=0,0,X18/T18)</f>
        <v>-2.7803910511773718E-2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29109.38</v>
      </c>
      <c r="E19" s="1"/>
      <c r="F19" s="5">
        <f t="shared" si="0"/>
        <v>0</v>
      </c>
      <c r="G19" s="1"/>
      <c r="H19" s="1">
        <f>SUM(OSRRefH22_0x_0)</f>
        <v>39856.380000000005</v>
      </c>
      <c r="I19" s="1"/>
      <c r="J19" s="5">
        <f t="shared" si="1"/>
        <v>0</v>
      </c>
      <c r="K19" s="1"/>
      <c r="L19" s="1">
        <f t="shared" si="2"/>
        <v>-10747.000000000004</v>
      </c>
      <c r="M19" s="1"/>
      <c r="N19" s="5">
        <f t="shared" si="3"/>
        <v>-0.26964315374351616</v>
      </c>
      <c r="O19" s="13"/>
      <c r="P19" s="1">
        <f>SUM(OSRRefP22_0x_0)</f>
        <v>117406.01999999999</v>
      </c>
      <c r="Q19" s="1"/>
      <c r="R19" s="5">
        <f t="shared" si="4"/>
        <v>0</v>
      </c>
      <c r="S19" s="1"/>
      <c r="T19" s="1">
        <f>SUM(OSRRefT22_0x_0)</f>
        <v>143460.01</v>
      </c>
      <c r="U19" s="1"/>
      <c r="V19" s="5">
        <f t="shared" si="5"/>
        <v>0</v>
      </c>
      <c r="W19" s="1"/>
      <c r="X19" s="1">
        <f t="shared" si="6"/>
        <v>-26053.99000000002</v>
      </c>
      <c r="Y19" s="1"/>
      <c r="Z19" s="5">
        <f t="shared" si="7"/>
        <v>-0.18161151668677578</v>
      </c>
    </row>
    <row r="20" spans="1:26" s="24" customFormat="1" hidden="1" outlineLevel="2" x14ac:dyDescent="0.25">
      <c r="A20" s="26"/>
      <c r="B20" s="11" t="str">
        <f>CONCATENATE("          ", "6120", " - ", "RETIREES HEALTH INSURANCE")</f>
        <v xml:space="preserve">          6120 - RETIREES HEALTH INSURANCE</v>
      </c>
      <c r="C20" s="11"/>
      <c r="D20" s="6">
        <v>29109.38</v>
      </c>
      <c r="E20" s="2"/>
      <c r="F20" s="7">
        <f t="shared" si="0"/>
        <v>0</v>
      </c>
      <c r="G20" s="2"/>
      <c r="H20" s="6">
        <v>39856.380000000005</v>
      </c>
      <c r="I20" s="2"/>
      <c r="J20" s="7">
        <f t="shared" si="1"/>
        <v>0</v>
      </c>
      <c r="K20" s="2"/>
      <c r="L20" s="6">
        <f t="shared" si="2"/>
        <v>-10747.000000000004</v>
      </c>
      <c r="M20" s="2"/>
      <c r="N20" s="7">
        <f t="shared" si="3"/>
        <v>-0.26964315374351616</v>
      </c>
      <c r="O20" s="11"/>
      <c r="P20" s="6">
        <v>117406.01999999999</v>
      </c>
      <c r="Q20" s="2"/>
      <c r="R20" s="7">
        <f t="shared" si="4"/>
        <v>0</v>
      </c>
      <c r="S20" s="2"/>
      <c r="T20" s="6">
        <v>143460.01</v>
      </c>
      <c r="U20" s="2"/>
      <c r="V20" s="7">
        <f t="shared" si="5"/>
        <v>0</v>
      </c>
      <c r="W20" s="2"/>
      <c r="X20" s="6">
        <f t="shared" si="6"/>
        <v>-26053.99000000002</v>
      </c>
      <c r="Y20" s="2"/>
      <c r="Z20" s="7">
        <f t="shared" si="7"/>
        <v>-0.18161151668677578</v>
      </c>
    </row>
    <row r="21" spans="1:26" s="27" customFormat="1" outlineLevel="1" collapsed="1" x14ac:dyDescent="0.25">
      <c r="A21" s="25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14323.04</v>
      </c>
      <c r="E21" s="1"/>
      <c r="F21" s="5">
        <f t="shared" si="0"/>
        <v>0</v>
      </c>
      <c r="G21" s="1"/>
      <c r="H21" s="1">
        <f>SUM(OSRRefH22_1x_0)</f>
        <v>13392.97</v>
      </c>
      <c r="I21" s="1"/>
      <c r="J21" s="5">
        <f t="shared" si="1"/>
        <v>0</v>
      </c>
      <c r="K21" s="1"/>
      <c r="L21" s="1">
        <f t="shared" si="2"/>
        <v>930.07000000000153</v>
      </c>
      <c r="M21" s="1"/>
      <c r="N21" s="5">
        <f t="shared" si="3"/>
        <v>6.9444641479821254E-2</v>
      </c>
      <c r="O21" s="13"/>
      <c r="P21" s="1">
        <f>SUM(OSRRefP22_1x_0)</f>
        <v>20926.16</v>
      </c>
      <c r="Q21" s="1"/>
      <c r="R21" s="5">
        <f t="shared" si="4"/>
        <v>0</v>
      </c>
      <c r="S21" s="1"/>
      <c r="T21" s="1">
        <f>SUM(OSRRefT22_1x_0)</f>
        <v>16403.46</v>
      </c>
      <c r="U21" s="1"/>
      <c r="V21" s="5">
        <f t="shared" si="5"/>
        <v>0</v>
      </c>
      <c r="W21" s="1"/>
      <c r="X21" s="1">
        <f t="shared" si="6"/>
        <v>4522.7000000000007</v>
      </c>
      <c r="Y21" s="1"/>
      <c r="Z21" s="5">
        <f t="shared" si="7"/>
        <v>0.27571622084608982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6">
        <v>14323.04</v>
      </c>
      <c r="E22" s="2"/>
      <c r="F22" s="7">
        <f t="shared" si="0"/>
        <v>0</v>
      </c>
      <c r="G22" s="2"/>
      <c r="H22" s="6">
        <v>13392.97</v>
      </c>
      <c r="I22" s="2"/>
      <c r="J22" s="7">
        <f t="shared" si="1"/>
        <v>0</v>
      </c>
      <c r="K22" s="2"/>
      <c r="L22" s="6">
        <f t="shared" si="2"/>
        <v>930.07000000000153</v>
      </c>
      <c r="M22" s="2"/>
      <c r="N22" s="7">
        <f t="shared" si="3"/>
        <v>6.9444641479821254E-2</v>
      </c>
      <c r="O22" s="11"/>
      <c r="P22" s="6">
        <v>20926.16</v>
      </c>
      <c r="Q22" s="2"/>
      <c r="R22" s="7">
        <f t="shared" si="4"/>
        <v>0</v>
      </c>
      <c r="S22" s="2"/>
      <c r="T22" s="6">
        <v>16403.46</v>
      </c>
      <c r="U22" s="2"/>
      <c r="V22" s="7">
        <f t="shared" si="5"/>
        <v>0</v>
      </c>
      <c r="W22" s="2"/>
      <c r="X22" s="6">
        <f t="shared" si="6"/>
        <v>4522.7000000000007</v>
      </c>
      <c r="Y22" s="2"/>
      <c r="Z22" s="7">
        <f t="shared" si="7"/>
        <v>0.27571622084608982</v>
      </c>
    </row>
    <row r="23" spans="1:26" s="27" customFormat="1" outlineLevel="1" collapsed="1" x14ac:dyDescent="0.25">
      <c r="A23" s="25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3404.44</v>
      </c>
      <c r="E23" s="1"/>
      <c r="F23" s="5">
        <f t="shared" si="0"/>
        <v>0</v>
      </c>
      <c r="G23" s="1"/>
      <c r="H23" s="1">
        <f>SUM(OSRRefH22_2x_0)</f>
        <v>2947.81</v>
      </c>
      <c r="I23" s="1"/>
      <c r="J23" s="5">
        <f t="shared" si="1"/>
        <v>0</v>
      </c>
      <c r="K23" s="1"/>
      <c r="L23" s="1">
        <f t="shared" si="2"/>
        <v>456.63000000000011</v>
      </c>
      <c r="M23" s="1"/>
      <c r="N23" s="5">
        <f t="shared" si="3"/>
        <v>0.15490482765171437</v>
      </c>
      <c r="O23" s="13"/>
      <c r="P23" s="1">
        <f>SUM(OSRRefP22_2x_0)</f>
        <v>11846.23</v>
      </c>
      <c r="Q23" s="1"/>
      <c r="R23" s="5">
        <f t="shared" si="4"/>
        <v>0</v>
      </c>
      <c r="S23" s="1"/>
      <c r="T23" s="1">
        <f>SUM(OSRRefT22_2x_0)</f>
        <v>11114.88</v>
      </c>
      <c r="U23" s="1"/>
      <c r="V23" s="5">
        <f t="shared" si="5"/>
        <v>0</v>
      </c>
      <c r="W23" s="1"/>
      <c r="X23" s="1">
        <f t="shared" si="6"/>
        <v>731.35000000000036</v>
      </c>
      <c r="Y23" s="1"/>
      <c r="Z23" s="5">
        <f t="shared" si="7"/>
        <v>6.5799180917832711E-2</v>
      </c>
    </row>
    <row r="24" spans="1:26" s="24" customFormat="1" hidden="1" outlineLevel="2" x14ac:dyDescent="0.25">
      <c r="A24" s="26"/>
      <c r="B24" s="11" t="str">
        <f>CONCATENATE("          ", "6397", " - ", "BOARD EXPENSES")</f>
        <v xml:space="preserve">          6397 - BOARD EXPENSES</v>
      </c>
      <c r="C24" s="11"/>
      <c r="D24" s="6">
        <v>3404.44</v>
      </c>
      <c r="E24" s="2"/>
      <c r="F24" s="7">
        <f t="shared" si="0"/>
        <v>0</v>
      </c>
      <c r="G24" s="2"/>
      <c r="H24" s="6">
        <v>2947.81</v>
      </c>
      <c r="I24" s="2"/>
      <c r="J24" s="7">
        <f t="shared" si="1"/>
        <v>0</v>
      </c>
      <c r="K24" s="2"/>
      <c r="L24" s="6">
        <f t="shared" si="2"/>
        <v>456.63000000000011</v>
      </c>
      <c r="M24" s="2"/>
      <c r="N24" s="7">
        <f t="shared" si="3"/>
        <v>0.15490482765171437</v>
      </c>
      <c r="O24" s="11"/>
      <c r="P24" s="6">
        <v>11846.23</v>
      </c>
      <c r="Q24" s="2"/>
      <c r="R24" s="7">
        <f t="shared" si="4"/>
        <v>0</v>
      </c>
      <c r="S24" s="2"/>
      <c r="T24" s="6">
        <v>11114.88</v>
      </c>
      <c r="U24" s="2"/>
      <c r="V24" s="7">
        <f t="shared" si="5"/>
        <v>0</v>
      </c>
      <c r="W24" s="2"/>
      <c r="X24" s="6">
        <f t="shared" si="6"/>
        <v>731.35000000000036</v>
      </c>
      <c r="Y24" s="2"/>
      <c r="Z24" s="7">
        <f t="shared" si="7"/>
        <v>6.5799180917832711E-2</v>
      </c>
    </row>
    <row r="25" spans="1:26" s="27" customFormat="1" outlineLevel="1" collapsed="1" x14ac:dyDescent="0.25">
      <c r="A25" s="25"/>
      <c r="B25" s="13" t="str">
        <f>CONCATENATE("     ","Professional Services                             ")</f>
        <v xml:space="preserve">     Professional Services                             </v>
      </c>
      <c r="C25" s="13"/>
      <c r="D25" s="1">
        <f>SUM(OSRRefD22_3x_0)</f>
        <v>11712</v>
      </c>
      <c r="E25" s="1"/>
      <c r="F25" s="5">
        <f t="shared" si="0"/>
        <v>0</v>
      </c>
      <c r="G25" s="1"/>
      <c r="H25" s="1">
        <f>SUM(OSRRefH22_3x_0)</f>
        <v>11425.25</v>
      </c>
      <c r="I25" s="1"/>
      <c r="J25" s="5">
        <f t="shared" si="1"/>
        <v>0</v>
      </c>
      <c r="K25" s="1"/>
      <c r="L25" s="1">
        <f t="shared" si="2"/>
        <v>286.75</v>
      </c>
      <c r="M25" s="1"/>
      <c r="N25" s="5">
        <f t="shared" si="3"/>
        <v>2.5097919082733421E-2</v>
      </c>
      <c r="O25" s="13"/>
      <c r="P25" s="1">
        <f>SUM(OSRRefP22_3x_0)</f>
        <v>38261.24</v>
      </c>
      <c r="Q25" s="1"/>
      <c r="R25" s="5">
        <f t="shared" si="4"/>
        <v>0</v>
      </c>
      <c r="S25" s="1"/>
      <c r="T25" s="1">
        <f>SUM(OSRRefT22_3x_0)</f>
        <v>22850.5</v>
      </c>
      <c r="U25" s="1"/>
      <c r="V25" s="5">
        <f t="shared" si="5"/>
        <v>0</v>
      </c>
      <c r="W25" s="1"/>
      <c r="X25" s="1">
        <f t="shared" si="6"/>
        <v>15410.739999999998</v>
      </c>
      <c r="Y25" s="1"/>
      <c r="Z25" s="5">
        <f t="shared" si="7"/>
        <v>0.6744158771142863</v>
      </c>
    </row>
    <row r="26" spans="1:26" s="24" customFormat="1" hidden="1" outlineLevel="2" x14ac:dyDescent="0.25">
      <c r="A26" s="26"/>
      <c r="B26" s="11" t="str">
        <f>CONCATENATE("          ", "6331", " - ", "INDIRECT COSTS-AUXILIARY ORGAN")</f>
        <v xml:space="preserve">          6331 - INDIRECT COSTS-AUXILIARY ORGAN</v>
      </c>
      <c r="C26" s="11"/>
      <c r="D26" s="6">
        <v>11712</v>
      </c>
      <c r="E26" s="2"/>
      <c r="F26" s="7">
        <f t="shared" si="0"/>
        <v>0</v>
      </c>
      <c r="G26" s="2"/>
      <c r="H26" s="6">
        <v>11425.25</v>
      </c>
      <c r="I26" s="2"/>
      <c r="J26" s="7">
        <f t="shared" si="1"/>
        <v>0</v>
      </c>
      <c r="K26" s="2"/>
      <c r="L26" s="6">
        <f t="shared" si="2"/>
        <v>286.75</v>
      </c>
      <c r="M26" s="2"/>
      <c r="N26" s="7">
        <f t="shared" si="3"/>
        <v>2.5097919082733421E-2</v>
      </c>
      <c r="O26" s="11"/>
      <c r="P26" s="6">
        <v>23199</v>
      </c>
      <c r="Q26" s="2"/>
      <c r="R26" s="7">
        <f t="shared" si="4"/>
        <v>0</v>
      </c>
      <c r="S26" s="2"/>
      <c r="T26" s="6">
        <v>22850.5</v>
      </c>
      <c r="U26" s="2"/>
      <c r="V26" s="7">
        <f t="shared" si="5"/>
        <v>0</v>
      </c>
      <c r="W26" s="2"/>
      <c r="X26" s="6">
        <f t="shared" si="6"/>
        <v>348.5</v>
      </c>
      <c r="Y26" s="2"/>
      <c r="Z26" s="7">
        <f t="shared" si="7"/>
        <v>1.5251307411216384E-2</v>
      </c>
    </row>
    <row r="27" spans="1:26" s="24" customFormat="1" hidden="1" outlineLevel="2" x14ac:dyDescent="0.25">
      <c r="A27" s="26"/>
      <c r="B27" s="11" t="str">
        <f>CONCATENATE("          ", "6332", " - ", "CONSULTANT FEES")</f>
        <v xml:space="preserve">          6332 - CONSULTANT FEES</v>
      </c>
      <c r="C27" s="11"/>
      <c r="D27" s="6"/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>
        <v>15062.24</v>
      </c>
      <c r="Q27" s="2"/>
      <c r="R27" s="7">
        <f t="shared" si="4"/>
        <v>0</v>
      </c>
      <c r="S27" s="2"/>
      <c r="T27" s="6"/>
      <c r="U27" s="2"/>
      <c r="V27" s="7">
        <f t="shared" si="5"/>
        <v>0</v>
      </c>
      <c r="W27" s="2"/>
      <c r="X27" s="6">
        <f t="shared" si="6"/>
        <v>15062.24</v>
      </c>
      <c r="Y27" s="2"/>
      <c r="Z27" s="7">
        <f t="shared" si="7"/>
        <v>0</v>
      </c>
    </row>
    <row r="28" spans="1:26" s="55" customFormat="1" x14ac:dyDescent="0.25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3</v>
      </c>
      <c r="C31" s="28"/>
      <c r="D31" s="21">
        <f>+D16-D18+D29</f>
        <v>-58548.86</v>
      </c>
      <c r="E31" s="14"/>
      <c r="F31" s="22">
        <f>IF(D$12=0,0,D31/D$12)</f>
        <v>0</v>
      </c>
      <c r="G31" s="14"/>
      <c r="H31" s="21">
        <f>+H16-H18+H29</f>
        <v>-67622.41</v>
      </c>
      <c r="I31" s="14"/>
      <c r="J31" s="22">
        <f>IF(H$12=0,0,H31/H$12)</f>
        <v>0</v>
      </c>
      <c r="K31" s="16"/>
      <c r="L31" s="21">
        <f>+D31-H31</f>
        <v>9073.5500000000029</v>
      </c>
      <c r="M31" s="16"/>
      <c r="N31" s="22">
        <f>IF(H31=0,0,L31/H31)</f>
        <v>-0.13417963068751915</v>
      </c>
      <c r="O31" s="29"/>
      <c r="P31" s="21">
        <f>+P16-P18+P29</f>
        <v>-188439.65</v>
      </c>
      <c r="Q31" s="14"/>
      <c r="R31" s="22">
        <f>IF(P$12=0,0,P31/P$12)</f>
        <v>0</v>
      </c>
      <c r="S31" s="14"/>
      <c r="T31" s="21">
        <f>+T16-T18+T29</f>
        <v>-193828.85</v>
      </c>
      <c r="U31" s="14"/>
      <c r="V31" s="22">
        <f>IF(T$12=0,0,T31/T$12)</f>
        <v>0</v>
      </c>
      <c r="W31" s="16"/>
      <c r="X31" s="21">
        <f>+P31-T31</f>
        <v>5389.2000000000116</v>
      </c>
      <c r="Y31" s="16"/>
      <c r="Z31" s="22">
        <f>IF(T31=0,0,X31/T31)</f>
        <v>-2.7803910511773718E-2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13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8" t="s">
        <v>4</v>
      </c>
      <c r="C35" s="28"/>
      <c r="D35" s="31">
        <f>+D31-D33</f>
        <v>-58548.86</v>
      </c>
      <c r="E35" s="14"/>
      <c r="F35" s="34">
        <f>IF(D$12=0,0,D35/D$12)</f>
        <v>0</v>
      </c>
      <c r="G35" s="14"/>
      <c r="H35" s="31">
        <f>+H31-H33</f>
        <v>-67622.41</v>
      </c>
      <c r="I35" s="14"/>
      <c r="J35" s="34">
        <f>IF(H$12=0,0,H35/H$12)</f>
        <v>0</v>
      </c>
      <c r="K35" s="16"/>
      <c r="L35" s="31">
        <f>D35-H35</f>
        <v>9073.5500000000029</v>
      </c>
      <c r="M35" s="16"/>
      <c r="N35" s="34">
        <f>IF(H35=0,0,L35/H35)</f>
        <v>-0.13417963068751915</v>
      </c>
      <c r="O35" s="29"/>
      <c r="P35" s="31">
        <f>+P31-P33</f>
        <v>-188439.65</v>
      </c>
      <c r="Q35" s="14"/>
      <c r="R35" s="34">
        <f>IF(P$12=0,0,P35/P$12)</f>
        <v>0</v>
      </c>
      <c r="S35" s="14"/>
      <c r="T35" s="31">
        <f>+T31-T33</f>
        <v>-193828.85</v>
      </c>
      <c r="U35" s="14"/>
      <c r="V35" s="34">
        <f>IF(T$12=0,0,T35/T$12)</f>
        <v>0</v>
      </c>
      <c r="W35" s="16"/>
      <c r="X35" s="31">
        <f>P35-T35</f>
        <v>5389.2000000000116</v>
      </c>
      <c r="Y35" s="16"/>
      <c r="Z35" s="34">
        <f>IF(T35=0,0,X35/T35)</f>
        <v>-2.7803910511773718E-2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8" t="s">
        <v>5</v>
      </c>
      <c r="C38" s="28"/>
      <c r="D38" s="36">
        <f>SUM(D35:D37)</f>
        <v>-58548.86</v>
      </c>
      <c r="E38" s="14"/>
      <c r="F38" s="33">
        <f>IF(D$12=0,0,D38/D$12)</f>
        <v>0</v>
      </c>
      <c r="G38" s="14"/>
      <c r="H38" s="36">
        <f>SUM(H35:H37)</f>
        <v>-67622.41</v>
      </c>
      <c r="I38" s="14"/>
      <c r="J38" s="33">
        <f>IF(H$12=0,0,H38/H$12)</f>
        <v>0</v>
      </c>
      <c r="K38" s="16"/>
      <c r="L38" s="36">
        <f>+D38-H38</f>
        <v>9073.5500000000029</v>
      </c>
      <c r="M38" s="16"/>
      <c r="N38" s="33">
        <f>IF(H38=0,0,L38/H38)</f>
        <v>-0.13417963068751915</v>
      </c>
      <c r="O38" s="29"/>
      <c r="P38" s="36">
        <f>SUM(P35:P37)</f>
        <v>-188439.65</v>
      </c>
      <c r="Q38" s="14"/>
      <c r="R38" s="33">
        <f>IF(P$12=0,0,P38/P$12)</f>
        <v>0</v>
      </c>
      <c r="S38" s="14"/>
      <c r="T38" s="36">
        <f>SUM(T35:T37)</f>
        <v>-193828.85</v>
      </c>
      <c r="U38" s="14"/>
      <c r="V38" s="33">
        <f>IF(T$12=0,0,T38/T$12)</f>
        <v>0</v>
      </c>
      <c r="W38" s="16"/>
      <c r="X38" s="36">
        <f>+P38-T38</f>
        <v>5389.2000000000116</v>
      </c>
      <c r="Y38" s="16"/>
      <c r="Z38" s="33">
        <f>IF(T38=0,0,X38/T38)</f>
        <v>-2.7803910511773718E-2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1">
        <v>43791.355032638887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6" t="s">
        <v>313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7"/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","201", " - ", "General Manager")</f>
        <v>Department 201 - General Manager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13420.950000000003</v>
      </c>
      <c r="E18" s="20"/>
      <c r="F18" s="35">
        <f t="shared" ref="F18:F28" si="0">IF(D$12=0,0,D18/D$12)</f>
        <v>0</v>
      </c>
      <c r="G18" s="20"/>
      <c r="H18" s="20">
        <f>SUM(OSRRefH22x_0)</f>
        <v>67950.080000000002</v>
      </c>
      <c r="I18" s="20"/>
      <c r="J18" s="35">
        <f t="shared" ref="J18:J28" si="1">IF(H$12=0,0,H18/H$12)</f>
        <v>0</v>
      </c>
      <c r="K18" s="4"/>
      <c r="L18" s="20">
        <f t="shared" ref="L18:L28" si="2">+D18-H18</f>
        <v>-54529.13</v>
      </c>
      <c r="M18" s="4"/>
      <c r="N18" s="35">
        <f t="shared" ref="N18:N28" si="3">IF(H18=0,0,L18/H18)</f>
        <v>-0.80248809125758203</v>
      </c>
      <c r="O18" s="10"/>
      <c r="P18" s="20">
        <f>SUM(OSRRefP22x_0)</f>
        <v>345009.05</v>
      </c>
      <c r="Q18" s="20"/>
      <c r="R18" s="35">
        <f t="shared" ref="R18:R28" si="4">IF(P$12=0,0,P18/P$12)</f>
        <v>0</v>
      </c>
      <c r="S18" s="20"/>
      <c r="T18" s="20">
        <f>SUM(OSRRefT22x_0)</f>
        <v>312635.42000000004</v>
      </c>
      <c r="U18" s="20"/>
      <c r="V18" s="35">
        <f t="shared" ref="V18:V28" si="5">IF(T$12=0,0,T18/T$12)</f>
        <v>0</v>
      </c>
      <c r="W18" s="4"/>
      <c r="X18" s="20">
        <f t="shared" ref="X18:X28" si="6">+P18-T18</f>
        <v>32373.629999999946</v>
      </c>
      <c r="Y18" s="4"/>
      <c r="Z18" s="35">
        <f t="shared" ref="Z18:Z28" si="7">IF(T18=0,0,X18/T18)</f>
        <v>0.10355074290686558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18812.61</v>
      </c>
      <c r="E19" s="1"/>
      <c r="F19" s="5">
        <f t="shared" si="0"/>
        <v>0</v>
      </c>
      <c r="G19" s="1"/>
      <c r="H19" s="1">
        <f>SUM(OSRRefH22_0x_0)</f>
        <v>23213.119999999999</v>
      </c>
      <c r="I19" s="1"/>
      <c r="J19" s="5">
        <f t="shared" si="1"/>
        <v>0</v>
      </c>
      <c r="K19" s="1"/>
      <c r="L19" s="1">
        <f t="shared" si="2"/>
        <v>-4400.5099999999984</v>
      </c>
      <c r="M19" s="1"/>
      <c r="N19" s="5">
        <f t="shared" si="3"/>
        <v>-0.18956995009718636</v>
      </c>
      <c r="O19" s="13"/>
      <c r="P19" s="1">
        <f>SUM(OSRRefP22_0x_0)</f>
        <v>79196.420000000013</v>
      </c>
      <c r="Q19" s="1"/>
      <c r="R19" s="5">
        <f t="shared" si="4"/>
        <v>0</v>
      </c>
      <c r="S19" s="1"/>
      <c r="T19" s="1">
        <f>SUM(OSRRefT22_0x_0)</f>
        <v>72988.23</v>
      </c>
      <c r="U19" s="1"/>
      <c r="V19" s="5">
        <f t="shared" si="5"/>
        <v>0</v>
      </c>
      <c r="W19" s="1"/>
      <c r="X19" s="1">
        <f t="shared" si="6"/>
        <v>6208.1900000000169</v>
      </c>
      <c r="Y19" s="1"/>
      <c r="Z19" s="5">
        <f t="shared" si="7"/>
        <v>8.505741268146956E-2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4168.8500000000004</v>
      </c>
      <c r="E20" s="2"/>
      <c r="F20" s="7">
        <f t="shared" si="0"/>
        <v>0</v>
      </c>
      <c r="G20" s="2"/>
      <c r="H20" s="6">
        <v>3208.59</v>
      </c>
      <c r="I20" s="2"/>
      <c r="J20" s="7">
        <f t="shared" si="1"/>
        <v>0</v>
      </c>
      <c r="K20" s="2"/>
      <c r="L20" s="6">
        <f t="shared" si="2"/>
        <v>960.26000000000022</v>
      </c>
      <c r="M20" s="2"/>
      <c r="N20" s="7">
        <f t="shared" si="3"/>
        <v>0.2992778759517421</v>
      </c>
      <c r="O20" s="11"/>
      <c r="P20" s="6">
        <v>11229.45</v>
      </c>
      <c r="Q20" s="2"/>
      <c r="R20" s="7">
        <f t="shared" si="4"/>
        <v>0</v>
      </c>
      <c r="S20" s="2"/>
      <c r="T20" s="6">
        <v>9580.2199999999993</v>
      </c>
      <c r="U20" s="2"/>
      <c r="V20" s="7">
        <f t="shared" si="5"/>
        <v>0</v>
      </c>
      <c r="W20" s="2"/>
      <c r="X20" s="6">
        <f t="shared" si="6"/>
        <v>1649.2300000000014</v>
      </c>
      <c r="Y20" s="2"/>
      <c r="Z20" s="7">
        <f t="shared" si="7"/>
        <v>0.17214949134779803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323.23</v>
      </c>
      <c r="E21" s="2"/>
      <c r="F21" s="7">
        <f t="shared" si="0"/>
        <v>0</v>
      </c>
      <c r="G21" s="2"/>
      <c r="H21" s="6">
        <v>358.68</v>
      </c>
      <c r="I21" s="2"/>
      <c r="J21" s="7">
        <f t="shared" si="1"/>
        <v>0</v>
      </c>
      <c r="K21" s="2"/>
      <c r="L21" s="6">
        <f t="shared" si="2"/>
        <v>-35.449999999999989</v>
      </c>
      <c r="M21" s="2"/>
      <c r="N21" s="7">
        <f t="shared" si="3"/>
        <v>-9.8834615813538501E-2</v>
      </c>
      <c r="O21" s="11"/>
      <c r="P21" s="6">
        <v>671.03</v>
      </c>
      <c r="Q21" s="2"/>
      <c r="R21" s="7">
        <f t="shared" si="4"/>
        <v>0</v>
      </c>
      <c r="S21" s="2"/>
      <c r="T21" s="6">
        <v>589.42999999999995</v>
      </c>
      <c r="U21" s="2"/>
      <c r="V21" s="7">
        <f t="shared" si="5"/>
        <v>0</v>
      </c>
      <c r="W21" s="2"/>
      <c r="X21" s="6">
        <f t="shared" si="6"/>
        <v>81.600000000000023</v>
      </c>
      <c r="Y21" s="2"/>
      <c r="Z21" s="7">
        <f t="shared" si="7"/>
        <v>0.13843883073477772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3849.84</v>
      </c>
      <c r="E22" s="2"/>
      <c r="F22" s="7">
        <f t="shared" si="0"/>
        <v>0</v>
      </c>
      <c r="G22" s="2"/>
      <c r="H22" s="6">
        <v>4962</v>
      </c>
      <c r="I22" s="2"/>
      <c r="J22" s="7">
        <f t="shared" si="1"/>
        <v>0</v>
      </c>
      <c r="K22" s="2"/>
      <c r="L22" s="6">
        <f t="shared" si="2"/>
        <v>-1112.1599999999999</v>
      </c>
      <c r="M22" s="2"/>
      <c r="N22" s="7">
        <f t="shared" si="3"/>
        <v>-0.22413542926239416</v>
      </c>
      <c r="O22" s="11"/>
      <c r="P22" s="6">
        <v>17440.18</v>
      </c>
      <c r="Q22" s="2"/>
      <c r="R22" s="7">
        <f t="shared" si="4"/>
        <v>0</v>
      </c>
      <c r="S22" s="2"/>
      <c r="T22" s="6">
        <v>16797.57</v>
      </c>
      <c r="U22" s="2"/>
      <c r="V22" s="7">
        <f t="shared" si="5"/>
        <v>0</v>
      </c>
      <c r="W22" s="2"/>
      <c r="X22" s="6">
        <f t="shared" si="6"/>
        <v>642.61000000000058</v>
      </c>
      <c r="Y22" s="2"/>
      <c r="Z22" s="7">
        <f t="shared" si="7"/>
        <v>3.8256128713855669E-2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403.87</v>
      </c>
      <c r="E23" s="2"/>
      <c r="F23" s="7">
        <f t="shared" si="0"/>
        <v>0</v>
      </c>
      <c r="G23" s="2"/>
      <c r="H23" s="6">
        <v>222.96</v>
      </c>
      <c r="I23" s="2"/>
      <c r="J23" s="7">
        <f t="shared" si="1"/>
        <v>0</v>
      </c>
      <c r="K23" s="2"/>
      <c r="L23" s="6">
        <f t="shared" si="2"/>
        <v>180.91</v>
      </c>
      <c r="M23" s="2"/>
      <c r="N23" s="7">
        <f t="shared" si="3"/>
        <v>0.81140114818801579</v>
      </c>
      <c r="O23" s="11"/>
      <c r="P23" s="6">
        <v>669.83</v>
      </c>
      <c r="Q23" s="2"/>
      <c r="R23" s="7">
        <f t="shared" si="4"/>
        <v>0</v>
      </c>
      <c r="S23" s="2"/>
      <c r="T23" s="6">
        <v>494.35</v>
      </c>
      <c r="U23" s="2"/>
      <c r="V23" s="7">
        <f t="shared" si="5"/>
        <v>0</v>
      </c>
      <c r="W23" s="2"/>
      <c r="X23" s="6">
        <f t="shared" si="6"/>
        <v>175.48000000000002</v>
      </c>
      <c r="Y23" s="2"/>
      <c r="Z23" s="7">
        <f t="shared" si="7"/>
        <v>0.35497117426924246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6086.66</v>
      </c>
      <c r="E24" s="2"/>
      <c r="F24" s="7">
        <f t="shared" si="0"/>
        <v>0</v>
      </c>
      <c r="G24" s="2"/>
      <c r="H24" s="6">
        <v>8051.33</v>
      </c>
      <c r="I24" s="2"/>
      <c r="J24" s="7">
        <f t="shared" si="1"/>
        <v>0</v>
      </c>
      <c r="K24" s="2"/>
      <c r="L24" s="6">
        <f t="shared" si="2"/>
        <v>-1964.67</v>
      </c>
      <c r="M24" s="2"/>
      <c r="N24" s="7">
        <f t="shared" si="3"/>
        <v>-0.24401806906436577</v>
      </c>
      <c r="O24" s="11"/>
      <c r="P24" s="6">
        <v>15911.430000000002</v>
      </c>
      <c r="Q24" s="2"/>
      <c r="R24" s="7">
        <f t="shared" si="4"/>
        <v>0</v>
      </c>
      <c r="S24" s="2"/>
      <c r="T24" s="6">
        <v>17812.04</v>
      </c>
      <c r="U24" s="2"/>
      <c r="V24" s="7">
        <f t="shared" si="5"/>
        <v>0</v>
      </c>
      <c r="W24" s="2"/>
      <c r="X24" s="6">
        <f t="shared" si="6"/>
        <v>-1900.6099999999988</v>
      </c>
      <c r="Y24" s="2"/>
      <c r="Z24" s="7">
        <f t="shared" si="7"/>
        <v>-0.10670366785612422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-2451.4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2432.46</v>
      </c>
      <c r="E26" s="2"/>
      <c r="F26" s="7">
        <f t="shared" si="0"/>
        <v>0</v>
      </c>
      <c r="G26" s="2"/>
      <c r="H26" s="6">
        <v>3986.79</v>
      </c>
      <c r="I26" s="2"/>
      <c r="J26" s="7">
        <f t="shared" si="1"/>
        <v>0</v>
      </c>
      <c r="K26" s="2"/>
      <c r="L26" s="6">
        <f t="shared" si="2"/>
        <v>-1554.33</v>
      </c>
      <c r="M26" s="2"/>
      <c r="N26" s="7">
        <f t="shared" si="3"/>
        <v>-0.38987004582634149</v>
      </c>
      <c r="O26" s="11"/>
      <c r="P26" s="6">
        <v>13265.9</v>
      </c>
      <c r="Q26" s="2"/>
      <c r="R26" s="7">
        <f t="shared" si="4"/>
        <v>0</v>
      </c>
      <c r="S26" s="2"/>
      <c r="T26" s="6">
        <v>13341.94</v>
      </c>
      <c r="U26" s="2"/>
      <c r="V26" s="7">
        <f t="shared" si="5"/>
        <v>0</v>
      </c>
      <c r="W26" s="2"/>
      <c r="X26" s="6">
        <f t="shared" si="6"/>
        <v>-76.040000000000873</v>
      </c>
      <c r="Y26" s="2"/>
      <c r="Z26" s="7">
        <f t="shared" si="7"/>
        <v>-5.6993210882376076E-3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1285.2</v>
      </c>
      <c r="E27" s="2"/>
      <c r="F27" s="7">
        <f t="shared" si="0"/>
        <v>0</v>
      </c>
      <c r="G27" s="2"/>
      <c r="H27" s="6">
        <v>2059.2600000000002</v>
      </c>
      <c r="I27" s="2"/>
      <c r="J27" s="7">
        <f t="shared" si="1"/>
        <v>0</v>
      </c>
      <c r="K27" s="2"/>
      <c r="L27" s="6">
        <f t="shared" si="2"/>
        <v>-774.06000000000017</v>
      </c>
      <c r="M27" s="2"/>
      <c r="N27" s="7">
        <f t="shared" si="3"/>
        <v>-0.37589231083010405</v>
      </c>
      <c r="O27" s="11"/>
      <c r="P27" s="6">
        <v>18686</v>
      </c>
      <c r="Q27" s="2"/>
      <c r="R27" s="7">
        <f t="shared" si="4"/>
        <v>0</v>
      </c>
      <c r="S27" s="2"/>
      <c r="T27" s="6">
        <v>10346.19</v>
      </c>
      <c r="U27" s="2"/>
      <c r="V27" s="7">
        <f t="shared" si="5"/>
        <v>0</v>
      </c>
      <c r="W27" s="2"/>
      <c r="X27" s="6">
        <f t="shared" si="6"/>
        <v>8339.81</v>
      </c>
      <c r="Y27" s="2"/>
      <c r="Z27" s="7">
        <f t="shared" si="7"/>
        <v>0.80607547319351369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262.5</v>
      </c>
      <c r="E28" s="2"/>
      <c r="F28" s="7">
        <f t="shared" si="0"/>
        <v>0</v>
      </c>
      <c r="G28" s="2"/>
      <c r="H28" s="6">
        <v>363.51</v>
      </c>
      <c r="I28" s="2"/>
      <c r="J28" s="7">
        <f t="shared" si="1"/>
        <v>0</v>
      </c>
      <c r="K28" s="2"/>
      <c r="L28" s="6">
        <f t="shared" si="2"/>
        <v>-101.00999999999999</v>
      </c>
      <c r="M28" s="2"/>
      <c r="N28" s="7">
        <f t="shared" si="3"/>
        <v>-0.27787406123627961</v>
      </c>
      <c r="O28" s="11"/>
      <c r="P28" s="6">
        <v>1322.6</v>
      </c>
      <c r="Q28" s="2"/>
      <c r="R28" s="7">
        <f t="shared" si="4"/>
        <v>0</v>
      </c>
      <c r="S28" s="2"/>
      <c r="T28" s="6">
        <v>1575.09</v>
      </c>
      <c r="U28" s="2"/>
      <c r="V28" s="7">
        <f t="shared" si="5"/>
        <v>0</v>
      </c>
      <c r="W28" s="2"/>
      <c r="X28" s="6">
        <f t="shared" si="6"/>
        <v>-252.49</v>
      </c>
      <c r="Y28" s="2"/>
      <c r="Z28" s="7">
        <f t="shared" si="7"/>
        <v>-0.16030195099962544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-38100.019999999997</v>
      </c>
      <c r="E29" s="1"/>
      <c r="F29" s="5">
        <f t="shared" ref="F29:F32" si="8">IF(D$12=0,0,D29/D$12)</f>
        <v>0</v>
      </c>
      <c r="G29" s="1"/>
      <c r="H29" s="1">
        <f>SUM(OSRRefH22_1x_0)</f>
        <v>-12973.939999999999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-25126.079999999998</v>
      </c>
      <c r="M29" s="1"/>
      <c r="N29" s="5">
        <f t="shared" ref="N29:N32" si="11">IF(H29=0,0,L29/H29)</f>
        <v>1.9366576383118776</v>
      </c>
      <c r="O29" s="13"/>
      <c r="P29" s="1">
        <f>SUM(OSRRefP22_1x_0)</f>
        <v>39781.299999999996</v>
      </c>
      <c r="Q29" s="1"/>
      <c r="R29" s="5">
        <f t="shared" ref="R29:R32" si="12">IF(P$12=0,0,P29/P$12)</f>
        <v>0</v>
      </c>
      <c r="S29" s="1"/>
      <c r="T29" s="1">
        <f>SUM(OSRRefT22_1x_0)</f>
        <v>73117.509999999995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-33336.21</v>
      </c>
      <c r="Y29" s="1"/>
      <c r="Z29" s="5">
        <f t="shared" ref="Z29:Z32" si="15">IF(T29=0,0,X29/T29)</f>
        <v>-0.45592649421458692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10239.27</v>
      </c>
      <c r="E30" s="2"/>
      <c r="F30" s="7">
        <f t="shared" si="8"/>
        <v>0</v>
      </c>
      <c r="G30" s="2"/>
      <c r="H30" s="6">
        <v>26183.8</v>
      </c>
      <c r="I30" s="2"/>
      <c r="J30" s="7">
        <f t="shared" si="9"/>
        <v>0</v>
      </c>
      <c r="K30" s="2"/>
      <c r="L30" s="6">
        <f t="shared" si="10"/>
        <v>-15944.529999999999</v>
      </c>
      <c r="M30" s="2"/>
      <c r="N30" s="7">
        <f t="shared" si="11"/>
        <v>-0.60894637142049657</v>
      </c>
      <c r="O30" s="11"/>
      <c r="P30" s="6">
        <v>67676.58</v>
      </c>
      <c r="Q30" s="2"/>
      <c r="R30" s="7">
        <f t="shared" si="12"/>
        <v>0</v>
      </c>
      <c r="S30" s="2"/>
      <c r="T30" s="6">
        <v>96825.67</v>
      </c>
      <c r="U30" s="2"/>
      <c r="V30" s="7">
        <f t="shared" si="13"/>
        <v>0</v>
      </c>
      <c r="W30" s="2"/>
      <c r="X30" s="6">
        <f t="shared" si="14"/>
        <v>-29149.089999999997</v>
      </c>
      <c r="Y30" s="2"/>
      <c r="Z30" s="7">
        <f t="shared" si="15"/>
        <v>-0.30104712934080391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5631.08</v>
      </c>
      <c r="E31" s="2"/>
      <c r="F31" s="7">
        <f t="shared" si="8"/>
        <v>0</v>
      </c>
      <c r="G31" s="2"/>
      <c r="H31" s="6">
        <v>5942.79</v>
      </c>
      <c r="I31" s="2"/>
      <c r="J31" s="7">
        <f t="shared" si="9"/>
        <v>0</v>
      </c>
      <c r="K31" s="2"/>
      <c r="L31" s="6">
        <f t="shared" si="10"/>
        <v>-311.71000000000004</v>
      </c>
      <c r="M31" s="2"/>
      <c r="N31" s="7">
        <f t="shared" si="11"/>
        <v>-5.2451794527486252E-2</v>
      </c>
      <c r="O31" s="11"/>
      <c r="P31" s="6">
        <v>19830.759999999998</v>
      </c>
      <c r="Q31" s="2"/>
      <c r="R31" s="7">
        <f t="shared" si="12"/>
        <v>0</v>
      </c>
      <c r="S31" s="2"/>
      <c r="T31" s="6">
        <v>21392.37</v>
      </c>
      <c r="U31" s="2"/>
      <c r="V31" s="7">
        <f t="shared" si="13"/>
        <v>0</v>
      </c>
      <c r="W31" s="2"/>
      <c r="X31" s="6">
        <f t="shared" si="14"/>
        <v>-1561.6100000000006</v>
      </c>
      <c r="Y31" s="2"/>
      <c r="Z31" s="7">
        <f t="shared" si="15"/>
        <v>-7.2998456926464936E-2</v>
      </c>
    </row>
    <row r="32" spans="1:26" s="24" customFormat="1" hidden="1" outlineLevel="2" x14ac:dyDescent="0.25">
      <c r="A32" s="26"/>
      <c r="B32" s="11" t="str">
        <f>CONCATENATE("          ", "6007", " - ", "STUDENT HOURLY")</f>
        <v xml:space="preserve">          6007 - STUDENT HOURLY</v>
      </c>
      <c r="C32" s="11"/>
      <c r="D32" s="6">
        <v>-53970.369999999995</v>
      </c>
      <c r="E32" s="2"/>
      <c r="F32" s="7">
        <f t="shared" si="8"/>
        <v>0</v>
      </c>
      <c r="G32" s="2"/>
      <c r="H32" s="6">
        <v>-45100.53</v>
      </c>
      <c r="I32" s="2"/>
      <c r="J32" s="7">
        <f t="shared" si="9"/>
        <v>0</v>
      </c>
      <c r="K32" s="2"/>
      <c r="L32" s="6">
        <f t="shared" si="10"/>
        <v>-8869.8399999999965</v>
      </c>
      <c r="M32" s="2"/>
      <c r="N32" s="7">
        <f t="shared" si="11"/>
        <v>0.19666819879943753</v>
      </c>
      <c r="O32" s="11"/>
      <c r="P32" s="6">
        <v>-47726.04</v>
      </c>
      <c r="Q32" s="2"/>
      <c r="R32" s="7">
        <f t="shared" si="12"/>
        <v>0</v>
      </c>
      <c r="S32" s="2"/>
      <c r="T32" s="6">
        <v>-45100.53</v>
      </c>
      <c r="U32" s="2"/>
      <c r="V32" s="7">
        <f t="shared" si="13"/>
        <v>0</v>
      </c>
      <c r="W32" s="2"/>
      <c r="X32" s="6">
        <f t="shared" si="14"/>
        <v>-2625.510000000002</v>
      </c>
      <c r="Y32" s="2"/>
      <c r="Z32" s="7">
        <f t="shared" si="15"/>
        <v>5.8214615216273559E-2</v>
      </c>
    </row>
    <row r="33" spans="1:26" s="27" customFormat="1" outlineLevel="1" collapsed="1" x14ac:dyDescent="0.25">
      <c r="A33" s="25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171</v>
      </c>
      <c r="E33" s="1"/>
      <c r="F33" s="5">
        <f t="shared" ref="F33:F50" si="16">IF(D$12=0,0,D33/D$12)</f>
        <v>0</v>
      </c>
      <c r="G33" s="1"/>
      <c r="H33" s="1">
        <f>SUM(OSRRefH22_2x_0)</f>
        <v>15776.76</v>
      </c>
      <c r="I33" s="1"/>
      <c r="J33" s="5">
        <f t="shared" ref="J33:J50" si="17">IF(H$12=0,0,H33/H$12)</f>
        <v>0</v>
      </c>
      <c r="K33" s="1"/>
      <c r="L33" s="1">
        <f t="shared" ref="L33:L50" si="18">+D33-H33</f>
        <v>-15605.76</v>
      </c>
      <c r="M33" s="1"/>
      <c r="N33" s="5">
        <f t="shared" ref="N33:N50" si="19">IF(H33=0,0,L33/H33)</f>
        <v>-0.98916127265674325</v>
      </c>
      <c r="O33" s="13"/>
      <c r="P33" s="1">
        <f>SUM(OSRRefP22_2x_0)</f>
        <v>11364.89</v>
      </c>
      <c r="Q33" s="1"/>
      <c r="R33" s="5">
        <f t="shared" ref="R33:R50" si="20">IF(P$12=0,0,P33/P$12)</f>
        <v>0</v>
      </c>
      <c r="S33" s="1"/>
      <c r="T33" s="1">
        <f>SUM(OSRRefT22_2x_0)</f>
        <v>58418.32</v>
      </c>
      <c r="U33" s="1"/>
      <c r="V33" s="5">
        <f t="shared" ref="V33:V50" si="21">IF(T$12=0,0,T33/T$12)</f>
        <v>0</v>
      </c>
      <c r="W33" s="1"/>
      <c r="X33" s="1">
        <f t="shared" ref="X33:X50" si="22">+P33-T33</f>
        <v>-47053.43</v>
      </c>
      <c r="Y33" s="1"/>
      <c r="Z33" s="5">
        <f t="shared" ref="Z33:Z50" si="23">IF(T33=0,0,X33/T33)</f>
        <v>-0.80545674713000992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6">
        <v>171</v>
      </c>
      <c r="E34" s="2"/>
      <c r="F34" s="7">
        <f t="shared" si="16"/>
        <v>0</v>
      </c>
      <c r="G34" s="2"/>
      <c r="H34" s="6">
        <v>15776.76</v>
      </c>
      <c r="I34" s="2"/>
      <c r="J34" s="7">
        <f t="shared" si="17"/>
        <v>0</v>
      </c>
      <c r="K34" s="2"/>
      <c r="L34" s="6">
        <f t="shared" si="18"/>
        <v>-15605.76</v>
      </c>
      <c r="M34" s="2"/>
      <c r="N34" s="7">
        <f t="shared" si="19"/>
        <v>-0.98916127265674325</v>
      </c>
      <c r="O34" s="11"/>
      <c r="P34" s="6">
        <v>11364.89</v>
      </c>
      <c r="Q34" s="2"/>
      <c r="R34" s="7">
        <f t="shared" si="20"/>
        <v>0</v>
      </c>
      <c r="S34" s="2"/>
      <c r="T34" s="6">
        <v>58418.32</v>
      </c>
      <c r="U34" s="2"/>
      <c r="V34" s="7">
        <f t="shared" si="21"/>
        <v>0</v>
      </c>
      <c r="W34" s="2"/>
      <c r="X34" s="6">
        <f t="shared" si="22"/>
        <v>-47053.43</v>
      </c>
      <c r="Y34" s="2"/>
      <c r="Z34" s="7">
        <f t="shared" si="23"/>
        <v>-0.80545674713000992</v>
      </c>
    </row>
    <row r="35" spans="1:26" s="27" customFormat="1" outlineLevel="1" collapsed="1" x14ac:dyDescent="0.25">
      <c r="A35" s="25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345.23</v>
      </c>
      <c r="E35" s="1"/>
      <c r="F35" s="5">
        <f t="shared" si="16"/>
        <v>0</v>
      </c>
      <c r="G35" s="1"/>
      <c r="H35" s="1">
        <f>SUM(OSRRefH22_3x_0)</f>
        <v>345.23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1380.92</v>
      </c>
      <c r="Q35" s="1"/>
      <c r="R35" s="5">
        <f t="shared" si="20"/>
        <v>0</v>
      </c>
      <c r="S35" s="1"/>
      <c r="T35" s="1">
        <f>SUM(OSRRefT22_3x_0)</f>
        <v>1380.92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6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345.23</v>
      </c>
      <c r="E36" s="2"/>
      <c r="F36" s="7">
        <f t="shared" si="16"/>
        <v>0</v>
      </c>
      <c r="G36" s="2"/>
      <c r="H36" s="6">
        <v>345.23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1380.92</v>
      </c>
      <c r="Q36" s="2"/>
      <c r="R36" s="7">
        <f t="shared" si="20"/>
        <v>0</v>
      </c>
      <c r="S36" s="2"/>
      <c r="T36" s="6">
        <v>1380.92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7" customFormat="1" outlineLevel="1" collapsed="1" x14ac:dyDescent="0.25">
      <c r="A37" s="25"/>
      <c r="B37" s="13" t="str">
        <f>CONCATENATE("     ","Donations                                         ")</f>
        <v xml:space="preserve">     Donations                                         </v>
      </c>
      <c r="C37" s="13"/>
      <c r="D37" s="1">
        <f>SUM(OSRRefD22_4x_0)</f>
        <v>5133.6499999999996</v>
      </c>
      <c r="E37" s="1"/>
      <c r="F37" s="5">
        <f t="shared" si="16"/>
        <v>0</v>
      </c>
      <c r="G37" s="1"/>
      <c r="H37" s="1">
        <f>SUM(OSRRefH22_4x_0)</f>
        <v>6886.73</v>
      </c>
      <c r="I37" s="1"/>
      <c r="J37" s="5">
        <f t="shared" si="17"/>
        <v>0</v>
      </c>
      <c r="K37" s="1"/>
      <c r="L37" s="1">
        <f t="shared" si="18"/>
        <v>-1753.08</v>
      </c>
      <c r="M37" s="1"/>
      <c r="N37" s="5">
        <f t="shared" si="19"/>
        <v>-0.25455913038553857</v>
      </c>
      <c r="O37" s="13"/>
      <c r="P37" s="1">
        <f>SUM(OSRRefP22_4x_0)</f>
        <v>144377.25</v>
      </c>
      <c r="Q37" s="1"/>
      <c r="R37" s="5">
        <f t="shared" si="20"/>
        <v>0</v>
      </c>
      <c r="S37" s="1"/>
      <c r="T37" s="1">
        <f>SUM(OSRRefT22_4x_0)</f>
        <v>42926.42</v>
      </c>
      <c r="U37" s="1"/>
      <c r="V37" s="5">
        <f t="shared" si="21"/>
        <v>0</v>
      </c>
      <c r="W37" s="1"/>
      <c r="X37" s="1">
        <f t="shared" si="22"/>
        <v>101450.83</v>
      </c>
      <c r="Y37" s="1"/>
      <c r="Z37" s="5">
        <f t="shared" si="23"/>
        <v>2.3633657314073711</v>
      </c>
    </row>
    <row r="38" spans="1:26" s="24" customFormat="1" hidden="1" outlineLevel="2" x14ac:dyDescent="0.25">
      <c r="A38" s="26"/>
      <c r="B38" s="11" t="str">
        <f>CONCATENATE("          ", "6399", " - ", "DONATION-ON CAMPUS")</f>
        <v xml:space="preserve">          6399 - DONATION-ON CAMPUS</v>
      </c>
      <c r="C38" s="11"/>
      <c r="D38" s="6">
        <v>5133.6499999999996</v>
      </c>
      <c r="E38" s="2"/>
      <c r="F38" s="7">
        <f t="shared" si="16"/>
        <v>0</v>
      </c>
      <c r="G38" s="2"/>
      <c r="H38" s="6">
        <v>6886.73</v>
      </c>
      <c r="I38" s="2"/>
      <c r="J38" s="7">
        <f t="shared" si="17"/>
        <v>0</v>
      </c>
      <c r="K38" s="2"/>
      <c r="L38" s="6">
        <f t="shared" si="18"/>
        <v>-1753.08</v>
      </c>
      <c r="M38" s="2"/>
      <c r="N38" s="7">
        <f t="shared" si="19"/>
        <v>-0.25455913038553857</v>
      </c>
      <c r="O38" s="11"/>
      <c r="P38" s="6">
        <v>144377.25</v>
      </c>
      <c r="Q38" s="2"/>
      <c r="R38" s="7">
        <f t="shared" si="20"/>
        <v>0</v>
      </c>
      <c r="S38" s="2"/>
      <c r="T38" s="6">
        <v>42926.42</v>
      </c>
      <c r="U38" s="2"/>
      <c r="V38" s="7">
        <f t="shared" si="21"/>
        <v>0</v>
      </c>
      <c r="W38" s="2"/>
      <c r="X38" s="6">
        <f t="shared" si="22"/>
        <v>101450.83</v>
      </c>
      <c r="Y38" s="2"/>
      <c r="Z38" s="7">
        <f t="shared" si="23"/>
        <v>2.3633657314073711</v>
      </c>
    </row>
    <row r="39" spans="1:26" s="27" customFormat="1" outlineLevel="1" collapsed="1" x14ac:dyDescent="0.25">
      <c r="A39" s="25"/>
      <c r="B39" s="13" t="str">
        <f>CONCATENATE("     ","Equipment Rental                                  ")</f>
        <v xml:space="preserve">     Equipment Rental                                  </v>
      </c>
      <c r="C39" s="13"/>
      <c r="D39" s="1">
        <f>SUM(OSRRefD22_5x_0)</f>
        <v>235.44</v>
      </c>
      <c r="E39" s="1"/>
      <c r="F39" s="5">
        <f t="shared" si="16"/>
        <v>0</v>
      </c>
      <c r="G39" s="1"/>
      <c r="H39" s="1">
        <f>SUM(OSRRefH22_5x_0)</f>
        <v>117.72</v>
      </c>
      <c r="I39" s="1"/>
      <c r="J39" s="5">
        <f t="shared" si="17"/>
        <v>0</v>
      </c>
      <c r="K39" s="1"/>
      <c r="L39" s="1">
        <f t="shared" si="18"/>
        <v>117.72</v>
      </c>
      <c r="M39" s="1"/>
      <c r="N39" s="5">
        <f t="shared" si="19"/>
        <v>1</v>
      </c>
      <c r="O39" s="13"/>
      <c r="P39" s="1">
        <f>SUM(OSRRefP22_5x_0)</f>
        <v>588.6</v>
      </c>
      <c r="Q39" s="1"/>
      <c r="R39" s="5">
        <f t="shared" si="20"/>
        <v>0</v>
      </c>
      <c r="S39" s="1"/>
      <c r="T39" s="1">
        <f>SUM(OSRRefT22_5x_0)</f>
        <v>470.88</v>
      </c>
      <c r="U39" s="1"/>
      <c r="V39" s="5">
        <f t="shared" si="21"/>
        <v>0</v>
      </c>
      <c r="W39" s="1"/>
      <c r="X39" s="1">
        <f t="shared" si="22"/>
        <v>117.72000000000003</v>
      </c>
      <c r="Y39" s="1"/>
      <c r="Z39" s="5">
        <f t="shared" si="23"/>
        <v>0.25000000000000006</v>
      </c>
    </row>
    <row r="40" spans="1:26" s="24" customFormat="1" hidden="1" outlineLevel="2" x14ac:dyDescent="0.25">
      <c r="A40" s="26"/>
      <c r="B40" s="11" t="str">
        <f>CONCATENATE("          ", "6351", " - ", "EQUIPMENT RENTAL")</f>
        <v xml:space="preserve">          6351 - EQUIPMENT RENTAL</v>
      </c>
      <c r="C40" s="11"/>
      <c r="D40" s="6">
        <v>235.44</v>
      </c>
      <c r="E40" s="2"/>
      <c r="F40" s="7">
        <f t="shared" si="16"/>
        <v>0</v>
      </c>
      <c r="G40" s="2"/>
      <c r="H40" s="6">
        <v>117.72</v>
      </c>
      <c r="I40" s="2"/>
      <c r="J40" s="7">
        <f t="shared" si="17"/>
        <v>0</v>
      </c>
      <c r="K40" s="2"/>
      <c r="L40" s="6">
        <f t="shared" si="18"/>
        <v>117.72</v>
      </c>
      <c r="M40" s="2"/>
      <c r="N40" s="7">
        <f t="shared" si="19"/>
        <v>1</v>
      </c>
      <c r="O40" s="11"/>
      <c r="P40" s="6">
        <v>588.6</v>
      </c>
      <c r="Q40" s="2"/>
      <c r="R40" s="7">
        <f t="shared" si="20"/>
        <v>0</v>
      </c>
      <c r="S40" s="2"/>
      <c r="T40" s="6">
        <v>470.88</v>
      </c>
      <c r="U40" s="2"/>
      <c r="V40" s="7">
        <f t="shared" si="21"/>
        <v>0</v>
      </c>
      <c r="W40" s="2"/>
      <c r="X40" s="6">
        <f t="shared" si="22"/>
        <v>117.72000000000003</v>
      </c>
      <c r="Y40" s="2"/>
      <c r="Z40" s="7">
        <f t="shared" si="23"/>
        <v>0.25000000000000006</v>
      </c>
    </row>
    <row r="41" spans="1:26" s="27" customFormat="1" outlineLevel="1" collapsed="1" x14ac:dyDescent="0.25">
      <c r="A41" s="25"/>
      <c r="B41" s="13" t="str">
        <f>CONCATENATE("     ","Freight out/Postage                               ")</f>
        <v xml:space="preserve">     Freight out/Postage                               </v>
      </c>
      <c r="C41" s="13"/>
      <c r="D41" s="1">
        <f>SUM(OSRRefD22_6x_0)</f>
        <v>8.1</v>
      </c>
      <c r="E41" s="1"/>
      <c r="F41" s="5">
        <f t="shared" si="16"/>
        <v>0</v>
      </c>
      <c r="G41" s="1"/>
      <c r="H41" s="1">
        <f>SUM(OSRRefH22_6x_0)</f>
        <v>0</v>
      </c>
      <c r="I41" s="1"/>
      <c r="J41" s="5">
        <f t="shared" si="17"/>
        <v>0</v>
      </c>
      <c r="K41" s="1"/>
      <c r="L41" s="1">
        <f t="shared" si="18"/>
        <v>8.1</v>
      </c>
      <c r="M41" s="1"/>
      <c r="N41" s="5">
        <f t="shared" si="19"/>
        <v>0</v>
      </c>
      <c r="O41" s="13"/>
      <c r="P41" s="1">
        <f>SUM(OSRRefP22_6x_0)</f>
        <v>8.75</v>
      </c>
      <c r="Q41" s="1"/>
      <c r="R41" s="5">
        <f t="shared" si="20"/>
        <v>0</v>
      </c>
      <c r="S41" s="1"/>
      <c r="T41" s="1">
        <f>SUM(OSRRefT22_6x_0)</f>
        <v>1.41</v>
      </c>
      <c r="U41" s="1"/>
      <c r="V41" s="5">
        <f t="shared" si="21"/>
        <v>0</v>
      </c>
      <c r="W41" s="1"/>
      <c r="X41" s="1">
        <f t="shared" si="22"/>
        <v>7.34</v>
      </c>
      <c r="Y41" s="1"/>
      <c r="Z41" s="5">
        <f t="shared" si="23"/>
        <v>5.2056737588652489</v>
      </c>
    </row>
    <row r="42" spans="1:26" s="24" customFormat="1" hidden="1" outlineLevel="2" x14ac:dyDescent="0.25">
      <c r="A42" s="26"/>
      <c r="B42" s="11" t="str">
        <f>CONCATENATE("          ", "6307", " - ", "POSTAGE")</f>
        <v xml:space="preserve">          6307 - POSTAGE</v>
      </c>
      <c r="C42" s="11"/>
      <c r="D42" s="6">
        <v>8.1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8.1</v>
      </c>
      <c r="M42" s="2"/>
      <c r="N42" s="7">
        <f t="shared" si="19"/>
        <v>0</v>
      </c>
      <c r="O42" s="11"/>
      <c r="P42" s="6">
        <v>8.75</v>
      </c>
      <c r="Q42" s="2"/>
      <c r="R42" s="7">
        <f t="shared" si="20"/>
        <v>0</v>
      </c>
      <c r="S42" s="2"/>
      <c r="T42" s="6">
        <v>1.41</v>
      </c>
      <c r="U42" s="2"/>
      <c r="V42" s="7">
        <f t="shared" si="21"/>
        <v>0</v>
      </c>
      <c r="W42" s="2"/>
      <c r="X42" s="6">
        <f t="shared" si="22"/>
        <v>7.34</v>
      </c>
      <c r="Y42" s="2"/>
      <c r="Z42" s="7">
        <f t="shared" si="23"/>
        <v>5.2056737588652489</v>
      </c>
    </row>
    <row r="43" spans="1:26" s="27" customFormat="1" outlineLevel="1" collapsed="1" x14ac:dyDescent="0.25">
      <c r="A43" s="25"/>
      <c r="B43" s="13" t="str">
        <f>CONCATENATE("     ","General                                           ")</f>
        <v xml:space="preserve">     General                                           </v>
      </c>
      <c r="C43" s="13"/>
      <c r="D43" s="1">
        <f>SUM(OSRRefD22_7x_0)</f>
        <v>6120</v>
      </c>
      <c r="E43" s="1"/>
      <c r="F43" s="5">
        <f t="shared" si="16"/>
        <v>0</v>
      </c>
      <c r="G43" s="1"/>
      <c r="H43" s="1">
        <f>SUM(OSRRefH22_7x_0)</f>
        <v>0</v>
      </c>
      <c r="I43" s="1"/>
      <c r="J43" s="5">
        <f t="shared" si="17"/>
        <v>0</v>
      </c>
      <c r="K43" s="1"/>
      <c r="L43" s="1">
        <f t="shared" si="18"/>
        <v>6120</v>
      </c>
      <c r="M43" s="1"/>
      <c r="N43" s="5">
        <f t="shared" si="19"/>
        <v>0</v>
      </c>
      <c r="O43" s="13"/>
      <c r="P43" s="1">
        <f>SUM(OSRRefP22_7x_0)</f>
        <v>11700.62</v>
      </c>
      <c r="Q43" s="1"/>
      <c r="R43" s="5">
        <f t="shared" si="20"/>
        <v>0</v>
      </c>
      <c r="S43" s="1"/>
      <c r="T43" s="1">
        <f>SUM(OSRRefT22_7x_0)</f>
        <v>10133</v>
      </c>
      <c r="U43" s="1"/>
      <c r="V43" s="5">
        <f t="shared" si="21"/>
        <v>0</v>
      </c>
      <c r="W43" s="1"/>
      <c r="X43" s="1">
        <f t="shared" si="22"/>
        <v>1567.6200000000008</v>
      </c>
      <c r="Y43" s="1"/>
      <c r="Z43" s="5">
        <f t="shared" si="23"/>
        <v>0.15470443106681148</v>
      </c>
    </row>
    <row r="44" spans="1:26" s="24" customFormat="1" hidden="1" outlineLevel="2" x14ac:dyDescent="0.25">
      <c r="A44" s="26"/>
      <c r="B44" s="11" t="str">
        <f>CONCATENATE("          ", "6279", " - ", "GENERAL EXPENSE")</f>
        <v xml:space="preserve">          6279 - GENERAL EXPENSE</v>
      </c>
      <c r="C44" s="11"/>
      <c r="D44" s="6">
        <v>6120</v>
      </c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6120</v>
      </c>
      <c r="M44" s="2"/>
      <c r="N44" s="7">
        <f t="shared" si="19"/>
        <v>0</v>
      </c>
      <c r="O44" s="11"/>
      <c r="P44" s="6">
        <v>11700.62</v>
      </c>
      <c r="Q44" s="2"/>
      <c r="R44" s="7">
        <f t="shared" si="20"/>
        <v>0</v>
      </c>
      <c r="S44" s="2"/>
      <c r="T44" s="6">
        <v>10133</v>
      </c>
      <c r="U44" s="2"/>
      <c r="V44" s="7">
        <f t="shared" si="21"/>
        <v>0</v>
      </c>
      <c r="W44" s="2"/>
      <c r="X44" s="6">
        <f t="shared" si="22"/>
        <v>1567.6200000000008</v>
      </c>
      <c r="Y44" s="2"/>
      <c r="Z44" s="7">
        <f t="shared" si="23"/>
        <v>0.15470443106681148</v>
      </c>
    </row>
    <row r="45" spans="1:26" s="27" customFormat="1" outlineLevel="1" collapsed="1" x14ac:dyDescent="0.25">
      <c r="A45" s="25"/>
      <c r="B45" s="13" t="str">
        <f>CONCATENATE("     ","Insurance                                         ")</f>
        <v xml:space="preserve">     Insurance                                         </v>
      </c>
      <c r="C45" s="13"/>
      <c r="D45" s="1">
        <f>SUM(OSRRefD22_8x_0)</f>
        <v>115.13</v>
      </c>
      <c r="E45" s="1"/>
      <c r="F45" s="5">
        <f t="shared" si="16"/>
        <v>0</v>
      </c>
      <c r="G45" s="1"/>
      <c r="H45" s="1">
        <f>SUM(OSRRefH22_8x_0)</f>
        <v>108.47</v>
      </c>
      <c r="I45" s="1"/>
      <c r="J45" s="5">
        <f t="shared" si="17"/>
        <v>0</v>
      </c>
      <c r="K45" s="1"/>
      <c r="L45" s="1">
        <f t="shared" si="18"/>
        <v>6.6599999999999966</v>
      </c>
      <c r="M45" s="1"/>
      <c r="N45" s="5">
        <f t="shared" si="19"/>
        <v>6.139946528994189E-2</v>
      </c>
      <c r="O45" s="13"/>
      <c r="P45" s="1">
        <f>SUM(OSRRefP22_8x_0)</f>
        <v>460.52</v>
      </c>
      <c r="Q45" s="1"/>
      <c r="R45" s="5">
        <f t="shared" si="20"/>
        <v>0</v>
      </c>
      <c r="S45" s="1"/>
      <c r="T45" s="1">
        <f>SUM(OSRRefT22_8x_0)</f>
        <v>433.88</v>
      </c>
      <c r="U45" s="1"/>
      <c r="V45" s="5">
        <f t="shared" si="21"/>
        <v>0</v>
      </c>
      <c r="W45" s="1"/>
      <c r="X45" s="1">
        <f t="shared" si="22"/>
        <v>26.639999999999986</v>
      </c>
      <c r="Y45" s="1"/>
      <c r="Z45" s="5">
        <f t="shared" si="23"/>
        <v>6.139946528994189E-2</v>
      </c>
    </row>
    <row r="46" spans="1:26" s="24" customFormat="1" hidden="1" outlineLevel="2" x14ac:dyDescent="0.25">
      <c r="A46" s="26"/>
      <c r="B46" s="11" t="str">
        <f>CONCATENATE("          ", "6314", " - ", "LIABILITY INSURANCE")</f>
        <v xml:space="preserve">          6314 - LIABILITY INSURANCE</v>
      </c>
      <c r="C46" s="11"/>
      <c r="D46" s="6">
        <v>115.13</v>
      </c>
      <c r="E46" s="2"/>
      <c r="F46" s="7">
        <f t="shared" si="16"/>
        <v>0</v>
      </c>
      <c r="G46" s="2"/>
      <c r="H46" s="6">
        <v>108.47</v>
      </c>
      <c r="I46" s="2"/>
      <c r="J46" s="7">
        <f t="shared" si="17"/>
        <v>0</v>
      </c>
      <c r="K46" s="2"/>
      <c r="L46" s="6">
        <f t="shared" si="18"/>
        <v>6.6599999999999966</v>
      </c>
      <c r="M46" s="2"/>
      <c r="N46" s="7">
        <f t="shared" si="19"/>
        <v>6.139946528994189E-2</v>
      </c>
      <c r="O46" s="11"/>
      <c r="P46" s="6">
        <v>460.52</v>
      </c>
      <c r="Q46" s="2"/>
      <c r="R46" s="7">
        <f t="shared" si="20"/>
        <v>0</v>
      </c>
      <c r="S46" s="2"/>
      <c r="T46" s="6">
        <v>433.88</v>
      </c>
      <c r="U46" s="2"/>
      <c r="V46" s="7">
        <f t="shared" si="21"/>
        <v>0</v>
      </c>
      <c r="W46" s="2"/>
      <c r="X46" s="6">
        <f t="shared" si="22"/>
        <v>26.639999999999986</v>
      </c>
      <c r="Y46" s="2"/>
      <c r="Z46" s="7">
        <f t="shared" si="23"/>
        <v>6.139946528994189E-2</v>
      </c>
    </row>
    <row r="47" spans="1:26" s="27" customFormat="1" outlineLevel="1" collapsed="1" x14ac:dyDescent="0.25">
      <c r="A47" s="25"/>
      <c r="B47" s="13" t="str">
        <f>CONCATENATE("     ","Professional Services                             ")</f>
        <v xml:space="preserve">     Professional Services                             </v>
      </c>
      <c r="C47" s="13"/>
      <c r="D47" s="1">
        <f>SUM(OSRRefD22_9x_0)</f>
        <v>15020</v>
      </c>
      <c r="E47" s="1"/>
      <c r="F47" s="5">
        <f t="shared" si="16"/>
        <v>0</v>
      </c>
      <c r="G47" s="1"/>
      <c r="H47" s="1">
        <f>SUM(OSRRefH22_9x_0)</f>
        <v>20000</v>
      </c>
      <c r="I47" s="1"/>
      <c r="J47" s="5">
        <f t="shared" si="17"/>
        <v>0</v>
      </c>
      <c r="K47" s="1"/>
      <c r="L47" s="1">
        <f t="shared" si="18"/>
        <v>-4980</v>
      </c>
      <c r="M47" s="1"/>
      <c r="N47" s="5">
        <f t="shared" si="19"/>
        <v>-0.249</v>
      </c>
      <c r="O47" s="13"/>
      <c r="P47" s="1">
        <f>SUM(OSRRefP22_9x_0)</f>
        <v>32035</v>
      </c>
      <c r="Q47" s="1"/>
      <c r="R47" s="5">
        <f t="shared" si="20"/>
        <v>0</v>
      </c>
      <c r="S47" s="1"/>
      <c r="T47" s="1">
        <f>SUM(OSRRefT22_9x_0)</f>
        <v>25075</v>
      </c>
      <c r="U47" s="1"/>
      <c r="V47" s="5">
        <f t="shared" si="21"/>
        <v>0</v>
      </c>
      <c r="W47" s="1"/>
      <c r="X47" s="1">
        <f t="shared" si="22"/>
        <v>6960</v>
      </c>
      <c r="Y47" s="1"/>
      <c r="Z47" s="5">
        <f t="shared" si="23"/>
        <v>0.27756729810568292</v>
      </c>
    </row>
    <row r="48" spans="1:26" s="24" customFormat="1" hidden="1" outlineLevel="2" x14ac:dyDescent="0.25">
      <c r="A48" s="26"/>
      <c r="B48" s="11" t="str">
        <f>CONCATENATE("          ", "6331", " - ", "INDIRECT COSTS-AUXILIARY ORGAN")</f>
        <v xml:space="preserve">          6331 - INDIRECT COSTS-AUXILIARY ORGAN</v>
      </c>
      <c r="C48" s="11"/>
      <c r="D48" s="6">
        <v>15000</v>
      </c>
      <c r="E48" s="2"/>
      <c r="F48" s="7">
        <f t="shared" si="16"/>
        <v>0</v>
      </c>
      <c r="G48" s="2"/>
      <c r="H48" s="6">
        <v>20000</v>
      </c>
      <c r="I48" s="2"/>
      <c r="J48" s="7">
        <f t="shared" si="17"/>
        <v>0</v>
      </c>
      <c r="K48" s="2"/>
      <c r="L48" s="6">
        <f t="shared" si="18"/>
        <v>-5000</v>
      </c>
      <c r="M48" s="2"/>
      <c r="N48" s="7">
        <f t="shared" si="19"/>
        <v>-0.25</v>
      </c>
      <c r="O48" s="11"/>
      <c r="P48" s="6">
        <v>27000</v>
      </c>
      <c r="Q48" s="2"/>
      <c r="R48" s="7">
        <f t="shared" si="20"/>
        <v>0</v>
      </c>
      <c r="S48" s="2"/>
      <c r="T48" s="6">
        <v>20000</v>
      </c>
      <c r="U48" s="2"/>
      <c r="V48" s="7">
        <f t="shared" si="21"/>
        <v>0</v>
      </c>
      <c r="W48" s="2"/>
      <c r="X48" s="6">
        <f t="shared" si="22"/>
        <v>7000</v>
      </c>
      <c r="Y48" s="2"/>
      <c r="Z48" s="7">
        <f t="shared" si="23"/>
        <v>0.35</v>
      </c>
    </row>
    <row r="49" spans="1:26" s="24" customFormat="1" hidden="1" outlineLevel="2" x14ac:dyDescent="0.25">
      <c r="A49" s="26"/>
      <c r="B49" s="11" t="str">
        <f>CONCATENATE("          ", "6334", " - ", "LEGAL COUNCIL EXPENSE")</f>
        <v xml:space="preserve">          6334 - LEGAL COUNCIL EXPENSE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15</v>
      </c>
      <c r="Q49" s="2"/>
      <c r="R49" s="7">
        <f t="shared" si="20"/>
        <v>0</v>
      </c>
      <c r="S49" s="2"/>
      <c r="T49" s="6">
        <v>75</v>
      </c>
      <c r="U49" s="2"/>
      <c r="V49" s="7">
        <f t="shared" si="21"/>
        <v>0</v>
      </c>
      <c r="W49" s="2"/>
      <c r="X49" s="6">
        <f t="shared" si="22"/>
        <v>-60</v>
      </c>
      <c r="Y49" s="2"/>
      <c r="Z49" s="7">
        <f t="shared" si="23"/>
        <v>-0.8</v>
      </c>
    </row>
    <row r="50" spans="1:26" s="24" customFormat="1" hidden="1" outlineLevel="2" x14ac:dyDescent="0.25">
      <c r="A50" s="26"/>
      <c r="B50" s="11" t="str">
        <f>CONCATENATE("          ", "6336", " - ", "PROFESSIONAL SERVICES")</f>
        <v xml:space="preserve">          6336 - PROFESSIONAL SERVICES</v>
      </c>
      <c r="C50" s="11"/>
      <c r="D50" s="6">
        <v>20</v>
      </c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20</v>
      </c>
      <c r="M50" s="2"/>
      <c r="N50" s="7">
        <f t="shared" si="19"/>
        <v>0</v>
      </c>
      <c r="O50" s="11"/>
      <c r="P50" s="6">
        <v>5020</v>
      </c>
      <c r="Q50" s="2"/>
      <c r="R50" s="7">
        <f t="shared" si="20"/>
        <v>0</v>
      </c>
      <c r="S50" s="2"/>
      <c r="T50" s="6">
        <v>5000</v>
      </c>
      <c r="U50" s="2"/>
      <c r="V50" s="7">
        <f t="shared" si="21"/>
        <v>0</v>
      </c>
      <c r="W50" s="2"/>
      <c r="X50" s="6">
        <f t="shared" si="22"/>
        <v>20</v>
      </c>
      <c r="Y50" s="2"/>
      <c r="Z50" s="7">
        <f t="shared" si="23"/>
        <v>4.0000000000000001E-3</v>
      </c>
    </row>
    <row r="51" spans="1:26" s="27" customFormat="1" outlineLevel="1" collapsed="1" x14ac:dyDescent="0.25">
      <c r="A51" s="25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SUM(OSRRefD22_10x_0)</f>
        <v>3104.1099999999997</v>
      </c>
      <c r="E51" s="1"/>
      <c r="F51" s="5">
        <f t="shared" ref="F51:F54" si="24">IF(D$12=0,0,D51/D$12)</f>
        <v>0</v>
      </c>
      <c r="G51" s="1"/>
      <c r="H51" s="1">
        <f>SUM(OSRRefH22_10x_0)</f>
        <v>7476.04</v>
      </c>
      <c r="I51" s="1"/>
      <c r="J51" s="5">
        <f t="shared" ref="J51:J54" si="25">IF(H$12=0,0,H51/H$12)</f>
        <v>0</v>
      </c>
      <c r="K51" s="1"/>
      <c r="L51" s="1">
        <f t="shared" ref="L51:L54" si="26">+D51-H51</f>
        <v>-4371.93</v>
      </c>
      <c r="M51" s="1"/>
      <c r="N51" s="5">
        <f t="shared" ref="N51:N54" si="27">IF(H51=0,0,L51/H51)</f>
        <v>-0.58479221620002042</v>
      </c>
      <c r="O51" s="13"/>
      <c r="P51" s="1">
        <f>SUM(OSRRefP22_10x_0)</f>
        <v>14964.68</v>
      </c>
      <c r="Q51" s="1"/>
      <c r="R51" s="5">
        <f t="shared" ref="R51:R54" si="28">IF(P$12=0,0,P51/P$12)</f>
        <v>0</v>
      </c>
      <c r="S51" s="1"/>
      <c r="T51" s="1">
        <f>SUM(OSRRefT22_10x_0)</f>
        <v>14611.65</v>
      </c>
      <c r="U51" s="1"/>
      <c r="V51" s="5">
        <f t="shared" ref="V51:V54" si="29">IF(T$12=0,0,T51/T$12)</f>
        <v>0</v>
      </c>
      <c r="W51" s="1"/>
      <c r="X51" s="1">
        <f t="shared" ref="X51:X54" si="30">+P51-T51</f>
        <v>353.03000000000065</v>
      </c>
      <c r="Y51" s="1"/>
      <c r="Z51" s="5">
        <f t="shared" ref="Z51:Z54" si="31">IF(T51=0,0,X51/T51)</f>
        <v>2.4160857945543499E-2</v>
      </c>
    </row>
    <row r="52" spans="1:26" s="24" customFormat="1" hidden="1" outlineLevel="2" x14ac:dyDescent="0.25">
      <c r="A52" s="26"/>
      <c r="B52" s="11" t="str">
        <f>CONCATENATE("          ", "6371", " - ", "COMPUTER SOFTWARE MAINTENANCE")</f>
        <v xml:space="preserve">          6371 - COMPUTER SOFTWARE MAINTENANCE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>
        <v>31.58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31.58</v>
      </c>
      <c r="Y52" s="2"/>
      <c r="Z52" s="7">
        <f t="shared" si="31"/>
        <v>0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>
        <v>2666.87</v>
      </c>
      <c r="E53" s="2"/>
      <c r="F53" s="7">
        <f t="shared" si="24"/>
        <v>0</v>
      </c>
      <c r="G53" s="2"/>
      <c r="H53" s="6">
        <v>7341.28</v>
      </c>
      <c r="I53" s="2"/>
      <c r="J53" s="7">
        <f t="shared" si="25"/>
        <v>0</v>
      </c>
      <c r="K53" s="2"/>
      <c r="L53" s="6">
        <f t="shared" si="26"/>
        <v>-4674.41</v>
      </c>
      <c r="M53" s="2"/>
      <c r="N53" s="7">
        <f t="shared" si="27"/>
        <v>-0.63672956214720045</v>
      </c>
      <c r="O53" s="11"/>
      <c r="P53" s="6">
        <v>14408.11</v>
      </c>
      <c r="Q53" s="2"/>
      <c r="R53" s="7">
        <f t="shared" si="28"/>
        <v>0</v>
      </c>
      <c r="S53" s="2"/>
      <c r="T53" s="6">
        <v>14476.89</v>
      </c>
      <c r="U53" s="2"/>
      <c r="V53" s="7">
        <f t="shared" si="29"/>
        <v>0</v>
      </c>
      <c r="W53" s="2"/>
      <c r="X53" s="6">
        <f t="shared" si="30"/>
        <v>-68.779999999998836</v>
      </c>
      <c r="Y53" s="2"/>
      <c r="Z53" s="7">
        <f t="shared" si="31"/>
        <v>-4.7510204194408353E-3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>
        <v>437.24</v>
      </c>
      <c r="E54" s="2"/>
      <c r="F54" s="7">
        <f t="shared" si="24"/>
        <v>0</v>
      </c>
      <c r="G54" s="2"/>
      <c r="H54" s="6">
        <v>134.76</v>
      </c>
      <c r="I54" s="2"/>
      <c r="J54" s="7">
        <f t="shared" si="25"/>
        <v>0</v>
      </c>
      <c r="K54" s="2"/>
      <c r="L54" s="6">
        <f t="shared" si="26"/>
        <v>302.48</v>
      </c>
      <c r="M54" s="2"/>
      <c r="N54" s="7">
        <f t="shared" si="27"/>
        <v>2.2445829623033542</v>
      </c>
      <c r="O54" s="11"/>
      <c r="P54" s="6">
        <v>524.99</v>
      </c>
      <c r="Q54" s="2"/>
      <c r="R54" s="7">
        <f t="shared" si="28"/>
        <v>0</v>
      </c>
      <c r="S54" s="2"/>
      <c r="T54" s="6">
        <v>134.76</v>
      </c>
      <c r="U54" s="2"/>
      <c r="V54" s="7">
        <f t="shared" si="29"/>
        <v>0</v>
      </c>
      <c r="W54" s="2"/>
      <c r="X54" s="6">
        <f t="shared" si="30"/>
        <v>390.23</v>
      </c>
      <c r="Y54" s="2"/>
      <c r="Z54" s="7">
        <f t="shared" si="31"/>
        <v>2.895740575838528</v>
      </c>
    </row>
    <row r="55" spans="1:26" s="27" customFormat="1" outlineLevel="1" collapsed="1" x14ac:dyDescent="0.25">
      <c r="A55" s="25"/>
      <c r="B55" s="13" t="str">
        <f>CONCATENATE("     ","Subscriptions &amp; Dues                              ")</f>
        <v xml:space="preserve">     Subscriptions &amp; Dues                              </v>
      </c>
      <c r="C55" s="13"/>
      <c r="D55" s="1">
        <f>SUM(OSRRefD22_11x_0)</f>
        <v>0</v>
      </c>
      <c r="E55" s="1"/>
      <c r="F55" s="5">
        <f t="shared" ref="F55:F60" si="32">IF(D$12=0,0,D55/D$12)</f>
        <v>0</v>
      </c>
      <c r="G55" s="1"/>
      <c r="H55" s="1">
        <f>SUM(OSRRefH22_11x_0)</f>
        <v>0</v>
      </c>
      <c r="I55" s="1"/>
      <c r="J55" s="5">
        <f t="shared" ref="J55:J60" si="33">IF(H$12=0,0,H55/H$12)</f>
        <v>0</v>
      </c>
      <c r="K55" s="1"/>
      <c r="L55" s="1">
        <f t="shared" ref="L55:L60" si="34">+D55-H55</f>
        <v>0</v>
      </c>
      <c r="M55" s="1"/>
      <c r="N55" s="5">
        <f t="shared" ref="N55:N60" si="35">IF(H55=0,0,L55/H55)</f>
        <v>0</v>
      </c>
      <c r="O55" s="13"/>
      <c r="P55" s="1">
        <f>SUM(OSRRefP22_11x_0)</f>
        <v>1000</v>
      </c>
      <c r="Q55" s="1"/>
      <c r="R55" s="5">
        <f t="shared" ref="R55:R60" si="36">IF(P$12=0,0,P55/P$12)</f>
        <v>0</v>
      </c>
      <c r="S55" s="1"/>
      <c r="T55" s="1">
        <f>SUM(OSRRefT22_11x_0)</f>
        <v>1230</v>
      </c>
      <c r="U55" s="1"/>
      <c r="V55" s="5">
        <f t="shared" ref="V55:V60" si="37">IF(T$12=0,0,T55/T$12)</f>
        <v>0</v>
      </c>
      <c r="W55" s="1"/>
      <c r="X55" s="1">
        <f t="shared" ref="X55:X60" si="38">+P55-T55</f>
        <v>-230</v>
      </c>
      <c r="Y55" s="1"/>
      <c r="Z55" s="5">
        <f t="shared" ref="Z55:Z60" si="39">IF(T55=0,0,X55/T55)</f>
        <v>-0.18699186991869918</v>
      </c>
    </row>
    <row r="56" spans="1:26" s="24" customFormat="1" hidden="1" outlineLevel="2" x14ac:dyDescent="0.25">
      <c r="A56" s="26"/>
      <c r="B56" s="11" t="str">
        <f>CONCATENATE("          ", "6258", " - ", "MEMBERSHIP DUES")</f>
        <v xml:space="preserve">          6258 - MEMBERSHIP DUES</v>
      </c>
      <c r="C56" s="11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1"/>
      <c r="P56" s="6">
        <v>1000</v>
      </c>
      <c r="Q56" s="2"/>
      <c r="R56" s="7">
        <f t="shared" si="36"/>
        <v>0</v>
      </c>
      <c r="S56" s="2"/>
      <c r="T56" s="6">
        <v>1230</v>
      </c>
      <c r="U56" s="2"/>
      <c r="V56" s="7">
        <f t="shared" si="37"/>
        <v>0</v>
      </c>
      <c r="W56" s="2"/>
      <c r="X56" s="6">
        <f t="shared" si="38"/>
        <v>-230</v>
      </c>
      <c r="Y56" s="2"/>
      <c r="Z56" s="7">
        <f t="shared" si="39"/>
        <v>-0.18699186991869918</v>
      </c>
    </row>
    <row r="57" spans="1:26" s="27" customFormat="1" outlineLevel="1" collapsed="1" x14ac:dyDescent="0.25">
      <c r="A57" s="25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SUM(OSRRefD22_12x_0)</f>
        <v>72.650000000000006</v>
      </c>
      <c r="E57" s="1"/>
      <c r="F57" s="5">
        <f t="shared" si="32"/>
        <v>0</v>
      </c>
      <c r="G57" s="1"/>
      <c r="H57" s="1">
        <f>SUM(OSRRefH22_12x_0)</f>
        <v>488.23</v>
      </c>
      <c r="I57" s="1"/>
      <c r="J57" s="5">
        <f t="shared" si="33"/>
        <v>0</v>
      </c>
      <c r="K57" s="1"/>
      <c r="L57" s="1">
        <f t="shared" si="34"/>
        <v>-415.58000000000004</v>
      </c>
      <c r="M57" s="1"/>
      <c r="N57" s="5">
        <f t="shared" si="35"/>
        <v>-0.85119718165618663</v>
      </c>
      <c r="O57" s="13"/>
      <c r="P57" s="1">
        <f>SUM(OSRRefP22_12x_0)</f>
        <v>1876.3</v>
      </c>
      <c r="Q57" s="1"/>
      <c r="R57" s="5">
        <f t="shared" si="36"/>
        <v>0</v>
      </c>
      <c r="S57" s="1"/>
      <c r="T57" s="1">
        <f>SUM(OSRRefT22_12x_0)</f>
        <v>1336.95</v>
      </c>
      <c r="U57" s="1"/>
      <c r="V57" s="5">
        <f t="shared" si="37"/>
        <v>0</v>
      </c>
      <c r="W57" s="1"/>
      <c r="X57" s="1">
        <f t="shared" si="38"/>
        <v>539.34999999999991</v>
      </c>
      <c r="Y57" s="1"/>
      <c r="Z57" s="5">
        <f t="shared" si="39"/>
        <v>0.40341822805639693</v>
      </c>
    </row>
    <row r="58" spans="1:26" s="24" customFormat="1" hidden="1" outlineLevel="2" x14ac:dyDescent="0.25">
      <c r="A58" s="26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32"/>
        <v>0</v>
      </c>
      <c r="G58" s="2"/>
      <c r="H58" s="6">
        <v>272.45999999999998</v>
      </c>
      <c r="I58" s="2"/>
      <c r="J58" s="7">
        <f t="shared" si="33"/>
        <v>0</v>
      </c>
      <c r="K58" s="2"/>
      <c r="L58" s="6">
        <f t="shared" si="34"/>
        <v>-272.45999999999998</v>
      </c>
      <c r="M58" s="2"/>
      <c r="N58" s="7">
        <f t="shared" si="35"/>
        <v>-1</v>
      </c>
      <c r="O58" s="11"/>
      <c r="P58" s="6">
        <v>217.02</v>
      </c>
      <c r="Q58" s="2"/>
      <c r="R58" s="7">
        <f t="shared" si="36"/>
        <v>0</v>
      </c>
      <c r="S58" s="2"/>
      <c r="T58" s="6">
        <v>517.49</v>
      </c>
      <c r="U58" s="2"/>
      <c r="V58" s="7">
        <f t="shared" si="37"/>
        <v>0</v>
      </c>
      <c r="W58" s="2"/>
      <c r="X58" s="6">
        <f t="shared" si="38"/>
        <v>-300.47000000000003</v>
      </c>
      <c r="Y58" s="2"/>
      <c r="Z58" s="7">
        <f t="shared" si="39"/>
        <v>-0.58062957738313792</v>
      </c>
    </row>
    <row r="59" spans="1:26" s="24" customFormat="1" hidden="1" outlineLevel="2" x14ac:dyDescent="0.25">
      <c r="A59" s="26"/>
      <c r="B59" s="11" t="str">
        <f>CONCATENATE("          ", "6241", " - ", "OFFICE EXPENSE")</f>
        <v xml:space="preserve">          6241 - OFFICE EXPENSE</v>
      </c>
      <c r="C59" s="11"/>
      <c r="D59" s="6">
        <v>72.650000000000006</v>
      </c>
      <c r="E59" s="2"/>
      <c r="F59" s="7">
        <f t="shared" si="32"/>
        <v>0</v>
      </c>
      <c r="G59" s="2"/>
      <c r="H59" s="6">
        <v>215.77</v>
      </c>
      <c r="I59" s="2"/>
      <c r="J59" s="7">
        <f t="shared" si="33"/>
        <v>0</v>
      </c>
      <c r="K59" s="2"/>
      <c r="L59" s="6">
        <f t="shared" si="34"/>
        <v>-143.12</v>
      </c>
      <c r="M59" s="2"/>
      <c r="N59" s="7">
        <f t="shared" si="35"/>
        <v>-0.66329888306993556</v>
      </c>
      <c r="O59" s="11"/>
      <c r="P59" s="6">
        <v>1627.42</v>
      </c>
      <c r="Q59" s="2"/>
      <c r="R59" s="7">
        <f t="shared" si="36"/>
        <v>0</v>
      </c>
      <c r="S59" s="2"/>
      <c r="T59" s="6">
        <v>721.56</v>
      </c>
      <c r="U59" s="2"/>
      <c r="V59" s="7">
        <f t="shared" si="37"/>
        <v>0</v>
      </c>
      <c r="W59" s="2"/>
      <c r="X59" s="6">
        <f t="shared" si="38"/>
        <v>905.86000000000013</v>
      </c>
      <c r="Y59" s="2"/>
      <c r="Z59" s="7">
        <f t="shared" si="39"/>
        <v>1.255418814790177</v>
      </c>
    </row>
    <row r="60" spans="1:26" s="24" customFormat="1" hidden="1" outlineLevel="2" x14ac:dyDescent="0.25">
      <c r="A60" s="26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>
        <v>31.86</v>
      </c>
      <c r="Q60" s="2"/>
      <c r="R60" s="7">
        <f t="shared" si="36"/>
        <v>0</v>
      </c>
      <c r="S60" s="2"/>
      <c r="T60" s="6">
        <v>97.9</v>
      </c>
      <c r="U60" s="2"/>
      <c r="V60" s="7">
        <f t="shared" si="37"/>
        <v>0</v>
      </c>
      <c r="W60" s="2"/>
      <c r="X60" s="6">
        <f t="shared" si="38"/>
        <v>-66.040000000000006</v>
      </c>
      <c r="Y60" s="2"/>
      <c r="Z60" s="7">
        <f t="shared" si="39"/>
        <v>-0.67456588355464764</v>
      </c>
    </row>
    <row r="61" spans="1:26" s="27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SUM(OSRRefD22_13x_0)</f>
        <v>252.75</v>
      </c>
      <c r="E61" s="1"/>
      <c r="F61" s="5">
        <f t="shared" ref="F61:F67" si="40">IF(D$12=0,0,D61/D$12)</f>
        <v>0</v>
      </c>
      <c r="G61" s="1"/>
      <c r="H61" s="1">
        <f>SUM(OSRRefH22_13x_0)</f>
        <v>603.66</v>
      </c>
      <c r="I61" s="1"/>
      <c r="J61" s="5">
        <f t="shared" ref="J61:J67" si="41">IF(H$12=0,0,H61/H$12)</f>
        <v>0</v>
      </c>
      <c r="K61" s="1"/>
      <c r="L61" s="1">
        <f t="shared" ref="L61:L67" si="42">+D61-H61</f>
        <v>-350.90999999999997</v>
      </c>
      <c r="M61" s="1"/>
      <c r="N61" s="5">
        <f t="shared" ref="N61:N67" si="43">IF(H61=0,0,L61/H61)</f>
        <v>-0.58130404532352642</v>
      </c>
      <c r="O61" s="13"/>
      <c r="P61" s="1">
        <f>SUM(OSRRefP22_13x_0)</f>
        <v>1162.3800000000001</v>
      </c>
      <c r="Q61" s="1"/>
      <c r="R61" s="5">
        <f t="shared" ref="R61:R67" si="44">IF(P$12=0,0,P61/P$12)</f>
        <v>0</v>
      </c>
      <c r="S61" s="1"/>
      <c r="T61" s="1">
        <f>SUM(OSRRefT22_13x_0)</f>
        <v>1538.5</v>
      </c>
      <c r="U61" s="1"/>
      <c r="V61" s="5">
        <f t="shared" ref="V61:V67" si="45">IF(T$12=0,0,T61/T$12)</f>
        <v>0</v>
      </c>
      <c r="W61" s="1"/>
      <c r="X61" s="1">
        <f t="shared" ref="X61:X67" si="46">+P61-T61</f>
        <v>-376.11999999999989</v>
      </c>
      <c r="Y61" s="1"/>
      <c r="Z61" s="5">
        <f t="shared" ref="Z61:Z67" si="47">IF(T61=0,0,X61/T61)</f>
        <v>-0.24447188820279486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252.75</v>
      </c>
      <c r="E62" s="2"/>
      <c r="F62" s="7">
        <f t="shared" si="40"/>
        <v>0</v>
      </c>
      <c r="G62" s="2"/>
      <c r="H62" s="6">
        <v>603.66</v>
      </c>
      <c r="I62" s="2"/>
      <c r="J62" s="7">
        <f t="shared" si="41"/>
        <v>0</v>
      </c>
      <c r="K62" s="2"/>
      <c r="L62" s="6">
        <f t="shared" si="42"/>
        <v>-350.90999999999997</v>
      </c>
      <c r="M62" s="2"/>
      <c r="N62" s="7">
        <f t="shared" si="43"/>
        <v>-0.58130404532352642</v>
      </c>
      <c r="O62" s="11"/>
      <c r="P62" s="6">
        <v>1162.3800000000001</v>
      </c>
      <c r="Q62" s="2"/>
      <c r="R62" s="7">
        <f t="shared" si="44"/>
        <v>0</v>
      </c>
      <c r="S62" s="2"/>
      <c r="T62" s="6">
        <v>1538.5</v>
      </c>
      <c r="U62" s="2"/>
      <c r="V62" s="7">
        <f t="shared" si="45"/>
        <v>0</v>
      </c>
      <c r="W62" s="2"/>
      <c r="X62" s="6">
        <f t="shared" si="46"/>
        <v>-376.11999999999989</v>
      </c>
      <c r="Y62" s="2"/>
      <c r="Z62" s="7">
        <f t="shared" si="47"/>
        <v>-0.24447188820279486</v>
      </c>
    </row>
    <row r="63" spans="1:26" s="27" customFormat="1" outlineLevel="1" collapsed="1" x14ac:dyDescent="0.25">
      <c r="A63" s="25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SUM(OSRRefD22_14x_0)</f>
        <v>1914</v>
      </c>
      <c r="E63" s="1"/>
      <c r="F63" s="5">
        <f t="shared" si="40"/>
        <v>0</v>
      </c>
      <c r="G63" s="1"/>
      <c r="H63" s="1">
        <f>SUM(OSRRefH22_14x_0)</f>
        <v>595</v>
      </c>
      <c r="I63" s="1"/>
      <c r="J63" s="5">
        <f t="shared" si="41"/>
        <v>0</v>
      </c>
      <c r="K63" s="1"/>
      <c r="L63" s="1">
        <f t="shared" si="42"/>
        <v>1319</v>
      </c>
      <c r="M63" s="1"/>
      <c r="N63" s="5">
        <f t="shared" si="43"/>
        <v>2.2168067226890757</v>
      </c>
      <c r="O63" s="13"/>
      <c r="P63" s="1">
        <f>SUM(OSRRefP22_14x_0)</f>
        <v>1914</v>
      </c>
      <c r="Q63" s="1"/>
      <c r="R63" s="5">
        <f t="shared" si="44"/>
        <v>0</v>
      </c>
      <c r="S63" s="1"/>
      <c r="T63" s="1">
        <f>SUM(OSRRefT22_14x_0)</f>
        <v>2225.4699999999998</v>
      </c>
      <c r="U63" s="1"/>
      <c r="V63" s="5">
        <f t="shared" si="45"/>
        <v>0</v>
      </c>
      <c r="W63" s="1"/>
      <c r="X63" s="1">
        <f t="shared" si="46"/>
        <v>-311.4699999999998</v>
      </c>
      <c r="Y63" s="1"/>
      <c r="Z63" s="5">
        <f t="shared" si="47"/>
        <v>-0.13995695291331711</v>
      </c>
    </row>
    <row r="64" spans="1:26" s="24" customFormat="1" hidden="1" outlineLevel="2" x14ac:dyDescent="0.25">
      <c r="A64" s="26"/>
      <c r="B64" s="11" t="str">
        <f>CONCATENATE("          ", "6376", " - ", "TRAINING")</f>
        <v xml:space="preserve">          6376 - TRAINING</v>
      </c>
      <c r="C64" s="11"/>
      <c r="D64" s="6">
        <v>1914</v>
      </c>
      <c r="E64" s="2"/>
      <c r="F64" s="7">
        <f t="shared" si="40"/>
        <v>0</v>
      </c>
      <c r="G64" s="2"/>
      <c r="H64" s="6">
        <v>595</v>
      </c>
      <c r="I64" s="2"/>
      <c r="J64" s="7">
        <f t="shared" si="41"/>
        <v>0</v>
      </c>
      <c r="K64" s="2"/>
      <c r="L64" s="6">
        <f t="shared" si="42"/>
        <v>1319</v>
      </c>
      <c r="M64" s="2"/>
      <c r="N64" s="7">
        <f t="shared" si="43"/>
        <v>2.2168067226890757</v>
      </c>
      <c r="O64" s="11"/>
      <c r="P64" s="6">
        <v>1914</v>
      </c>
      <c r="Q64" s="2"/>
      <c r="R64" s="7">
        <f t="shared" si="44"/>
        <v>0</v>
      </c>
      <c r="S64" s="2"/>
      <c r="T64" s="6">
        <v>2225.4699999999998</v>
      </c>
      <c r="U64" s="2"/>
      <c r="V64" s="7">
        <f t="shared" si="45"/>
        <v>0</v>
      </c>
      <c r="W64" s="2"/>
      <c r="X64" s="6">
        <f t="shared" si="46"/>
        <v>-311.4699999999998</v>
      </c>
      <c r="Y64" s="2"/>
      <c r="Z64" s="7">
        <f t="shared" si="47"/>
        <v>-0.13995695291331711</v>
      </c>
    </row>
    <row r="65" spans="1:26" s="27" customFormat="1" outlineLevel="1" collapsed="1" x14ac:dyDescent="0.25">
      <c r="A65" s="25"/>
      <c r="B65" s="13" t="str">
        <f>CONCATENATE("     ","Travel                                            ")</f>
        <v xml:space="preserve">     Travel                                            </v>
      </c>
      <c r="C65" s="13"/>
      <c r="D65" s="1">
        <f>SUM(OSRRefD22_15x_0)</f>
        <v>216.3</v>
      </c>
      <c r="E65" s="1"/>
      <c r="F65" s="5">
        <f t="shared" si="40"/>
        <v>0</v>
      </c>
      <c r="G65" s="1"/>
      <c r="H65" s="1">
        <f>SUM(OSRRefH22_15x_0)</f>
        <v>5313.0599999999995</v>
      </c>
      <c r="I65" s="1"/>
      <c r="J65" s="5">
        <f t="shared" si="41"/>
        <v>0</v>
      </c>
      <c r="K65" s="1"/>
      <c r="L65" s="1">
        <f t="shared" si="42"/>
        <v>-5096.7599999999993</v>
      </c>
      <c r="M65" s="1"/>
      <c r="N65" s="5">
        <f t="shared" si="43"/>
        <v>-0.95928899730099038</v>
      </c>
      <c r="O65" s="13"/>
      <c r="P65" s="1">
        <f>SUM(OSRRefP22_15x_0)</f>
        <v>3197.42</v>
      </c>
      <c r="Q65" s="1"/>
      <c r="R65" s="5">
        <f t="shared" si="44"/>
        <v>0</v>
      </c>
      <c r="S65" s="1"/>
      <c r="T65" s="1">
        <f>SUM(OSRRefT22_15x_0)</f>
        <v>6747.2800000000007</v>
      </c>
      <c r="U65" s="1"/>
      <c r="V65" s="5">
        <f t="shared" si="45"/>
        <v>0</v>
      </c>
      <c r="W65" s="1"/>
      <c r="X65" s="1">
        <f t="shared" si="46"/>
        <v>-3549.8600000000006</v>
      </c>
      <c r="Y65" s="1"/>
      <c r="Z65" s="5">
        <f t="shared" si="47"/>
        <v>-0.52611719092730702</v>
      </c>
    </row>
    <row r="66" spans="1:26" s="24" customFormat="1" hidden="1" outlineLevel="2" x14ac:dyDescent="0.25">
      <c r="A66" s="26"/>
      <c r="B66" s="11" t="str">
        <f>CONCATENATE("          ", "6292", " - ", "TRAVEL/CONFERENCE")</f>
        <v xml:space="preserve">          6292 - TRAVEL/CONFERENCE</v>
      </c>
      <c r="C66" s="11"/>
      <c r="D66" s="6">
        <v>216.3</v>
      </c>
      <c r="E66" s="2"/>
      <c r="F66" s="7">
        <f t="shared" si="40"/>
        <v>0</v>
      </c>
      <c r="G66" s="2"/>
      <c r="H66" s="6">
        <v>3962.39</v>
      </c>
      <c r="I66" s="2"/>
      <c r="J66" s="7">
        <f t="shared" si="41"/>
        <v>0</v>
      </c>
      <c r="K66" s="2"/>
      <c r="L66" s="6">
        <f t="shared" si="42"/>
        <v>-3746.0899999999997</v>
      </c>
      <c r="M66" s="2"/>
      <c r="N66" s="7">
        <f t="shared" si="43"/>
        <v>-0.94541173382731125</v>
      </c>
      <c r="O66" s="11"/>
      <c r="P66" s="6">
        <v>3197.42</v>
      </c>
      <c r="Q66" s="2"/>
      <c r="R66" s="7">
        <f t="shared" si="44"/>
        <v>0</v>
      </c>
      <c r="S66" s="2"/>
      <c r="T66" s="6">
        <v>5372.85</v>
      </c>
      <c r="U66" s="2"/>
      <c r="V66" s="7">
        <f t="shared" si="45"/>
        <v>0</v>
      </c>
      <c r="W66" s="2"/>
      <c r="X66" s="6">
        <f t="shared" si="46"/>
        <v>-2175.4300000000003</v>
      </c>
      <c r="Y66" s="2"/>
      <c r="Z66" s="7">
        <f t="shared" si="47"/>
        <v>-0.40489312003871319</v>
      </c>
    </row>
    <row r="67" spans="1:26" s="24" customFormat="1" hidden="1" outlineLevel="2" x14ac:dyDescent="0.25">
      <c r="A67" s="26"/>
      <c r="B67" s="11" t="str">
        <f>CONCATENATE("          ", "6294", " - ", "TRAVEL OPERATIONAL")</f>
        <v xml:space="preserve">          6294 - TRAVEL OPERATIONAL</v>
      </c>
      <c r="C67" s="11"/>
      <c r="D67" s="6"/>
      <c r="E67" s="2"/>
      <c r="F67" s="7">
        <f t="shared" si="40"/>
        <v>0</v>
      </c>
      <c r="G67" s="2"/>
      <c r="H67" s="6">
        <v>1350.67</v>
      </c>
      <c r="I67" s="2"/>
      <c r="J67" s="7">
        <f t="shared" si="41"/>
        <v>0</v>
      </c>
      <c r="K67" s="2"/>
      <c r="L67" s="6">
        <f t="shared" si="42"/>
        <v>-1350.67</v>
      </c>
      <c r="M67" s="2"/>
      <c r="N67" s="7">
        <f t="shared" si="43"/>
        <v>-1</v>
      </c>
      <c r="O67" s="11"/>
      <c r="P67" s="6"/>
      <c r="Q67" s="2"/>
      <c r="R67" s="7">
        <f t="shared" si="44"/>
        <v>0</v>
      </c>
      <c r="S67" s="2"/>
      <c r="T67" s="6">
        <v>1374.43</v>
      </c>
      <c r="U67" s="2"/>
      <c r="V67" s="7">
        <f t="shared" si="45"/>
        <v>0</v>
      </c>
      <c r="W67" s="2"/>
      <c r="X67" s="6">
        <f t="shared" si="46"/>
        <v>-1374.43</v>
      </c>
      <c r="Y67" s="2"/>
      <c r="Z67" s="7">
        <f t="shared" si="47"/>
        <v>-1</v>
      </c>
    </row>
    <row r="68" spans="1:26" s="55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1">
        <f>+D16-D18+D69</f>
        <v>-13420.950000000003</v>
      </c>
      <c r="E71" s="14"/>
      <c r="F71" s="22">
        <f>IF(D$12=0,0,D71/D$12)</f>
        <v>0</v>
      </c>
      <c r="G71" s="14"/>
      <c r="H71" s="21">
        <f>+H16-H18+H69</f>
        <v>-67950.080000000002</v>
      </c>
      <c r="I71" s="14"/>
      <c r="J71" s="22">
        <f>IF(H$12=0,0,H71/H$12)</f>
        <v>0</v>
      </c>
      <c r="K71" s="16"/>
      <c r="L71" s="21">
        <f>+D71-H71</f>
        <v>54529.13</v>
      </c>
      <c r="M71" s="16"/>
      <c r="N71" s="22">
        <f>IF(H71=0,0,L71/H71)</f>
        <v>-0.80248809125758203</v>
      </c>
      <c r="O71" s="29"/>
      <c r="P71" s="21">
        <f>+P16-P18+P69</f>
        <v>-345009.05</v>
      </c>
      <c r="Q71" s="14"/>
      <c r="R71" s="22">
        <f>IF(P$12=0,0,P71/P$12)</f>
        <v>0</v>
      </c>
      <c r="S71" s="14"/>
      <c r="T71" s="21">
        <f>+T16-T18+T69</f>
        <v>-312635.42000000004</v>
      </c>
      <c r="U71" s="14"/>
      <c r="V71" s="22">
        <f>IF(T$12=0,0,T71/T$12)</f>
        <v>0</v>
      </c>
      <c r="W71" s="16"/>
      <c r="X71" s="21">
        <f>+P71-T71</f>
        <v>-32373.629999999946</v>
      </c>
      <c r="Y71" s="16"/>
      <c r="Z71" s="22">
        <f>IF(T71=0,0,X71/T71)</f>
        <v>0.10355074290686558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1">
        <f>+D71-D73</f>
        <v>-13420.950000000003</v>
      </c>
      <c r="E75" s="14"/>
      <c r="F75" s="34">
        <f>IF(D$12=0,0,D75/D$12)</f>
        <v>0</v>
      </c>
      <c r="G75" s="14"/>
      <c r="H75" s="31">
        <f>+H71-H73</f>
        <v>-67950.080000000002</v>
      </c>
      <c r="I75" s="14"/>
      <c r="J75" s="34">
        <f>IF(H$12=0,0,H75/H$12)</f>
        <v>0</v>
      </c>
      <c r="K75" s="16"/>
      <c r="L75" s="31">
        <f>D75-H75</f>
        <v>54529.13</v>
      </c>
      <c r="M75" s="16"/>
      <c r="N75" s="34">
        <f>IF(H75=0,0,L75/H75)</f>
        <v>-0.80248809125758203</v>
      </c>
      <c r="O75" s="29"/>
      <c r="P75" s="31">
        <f>+P71-P73</f>
        <v>-345009.05</v>
      </c>
      <c r="Q75" s="14"/>
      <c r="R75" s="34">
        <f>IF(P$12=0,0,P75/P$12)</f>
        <v>0</v>
      </c>
      <c r="S75" s="14"/>
      <c r="T75" s="31">
        <f>+T71-T73</f>
        <v>-312635.42000000004</v>
      </c>
      <c r="U75" s="14"/>
      <c r="V75" s="34">
        <f>IF(T$12=0,0,T75/T$12)</f>
        <v>0</v>
      </c>
      <c r="W75" s="16"/>
      <c r="X75" s="31">
        <f>P75-T75</f>
        <v>-32373.629999999946</v>
      </c>
      <c r="Y75" s="16"/>
      <c r="Z75" s="34">
        <f>IF(T75=0,0,X75/T75)</f>
        <v>0.10355074290686558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6">
        <f>SUM(D75:D77)</f>
        <v>-13420.950000000003</v>
      </c>
      <c r="E78" s="14"/>
      <c r="F78" s="33">
        <f>IF(D$12=0,0,D78/D$12)</f>
        <v>0</v>
      </c>
      <c r="G78" s="14"/>
      <c r="H78" s="36">
        <f>SUM(H75:H77)</f>
        <v>-67950.080000000002</v>
      </c>
      <c r="I78" s="14"/>
      <c r="J78" s="33">
        <f>IF(H$12=0,0,H78/H$12)</f>
        <v>0</v>
      </c>
      <c r="K78" s="16"/>
      <c r="L78" s="36">
        <f>+D78-H78</f>
        <v>54529.13</v>
      </c>
      <c r="M78" s="16"/>
      <c r="N78" s="33">
        <f>IF(H78=0,0,L78/H78)</f>
        <v>-0.80248809125758203</v>
      </c>
      <c r="O78" s="29"/>
      <c r="P78" s="36">
        <f>SUM(P75:P77)</f>
        <v>-345009.05</v>
      </c>
      <c r="Q78" s="14"/>
      <c r="R78" s="33">
        <f>IF(P$12=0,0,P78/P$12)</f>
        <v>0</v>
      </c>
      <c r="S78" s="14"/>
      <c r="T78" s="36">
        <f>SUM(T75:T77)</f>
        <v>-312635.42000000004</v>
      </c>
      <c r="U78" s="14"/>
      <c r="V78" s="33">
        <f>IF(T$12=0,0,T78/T$12)</f>
        <v>0</v>
      </c>
      <c r="W78" s="16"/>
      <c r="X78" s="36">
        <f>+P78-T78</f>
        <v>-32373.629999999946</v>
      </c>
      <c r="Y78" s="16"/>
      <c r="Z78" s="33">
        <f>IF(T78=0,0,X78/T78)</f>
        <v>0.10355074290686558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61">
        <v>43791.355047881945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6" t="s">
        <v>313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7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","202", " - ", "Accounting")</f>
        <v>Department 202 - Accounting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64025.77</v>
      </c>
      <c r="E18" s="20"/>
      <c r="F18" s="35">
        <f t="shared" ref="F18:F27" si="0">IF(D$12=0,0,D18/D$12)</f>
        <v>0</v>
      </c>
      <c r="G18" s="20"/>
      <c r="H18" s="20">
        <f>SUM(OSRRefH22x_0)</f>
        <v>66301.319999999992</v>
      </c>
      <c r="I18" s="20"/>
      <c r="J18" s="35">
        <f t="shared" ref="J18:J27" si="1">IF(H$12=0,0,H18/H$12)</f>
        <v>0</v>
      </c>
      <c r="K18" s="4"/>
      <c r="L18" s="20">
        <f t="shared" ref="L18:L27" si="2">+D18-H18</f>
        <v>-2275.5499999999956</v>
      </c>
      <c r="M18" s="4"/>
      <c r="N18" s="35">
        <f t="shared" ref="N18:N27" si="3">IF(H18=0,0,L18/H18)</f>
        <v>-3.4321337795386216E-2</v>
      </c>
      <c r="O18" s="10"/>
      <c r="P18" s="20">
        <f>SUM(OSRRefP22x_0)</f>
        <v>214294.67999999996</v>
      </c>
      <c r="Q18" s="20"/>
      <c r="R18" s="35">
        <f t="shared" ref="R18:R27" si="4">IF(P$12=0,0,P18/P$12)</f>
        <v>0</v>
      </c>
      <c r="S18" s="20"/>
      <c r="T18" s="20">
        <f>SUM(OSRRefT22x_0)</f>
        <v>206092.77</v>
      </c>
      <c r="U18" s="20"/>
      <c r="V18" s="35">
        <f t="shared" ref="V18:V27" si="5">IF(T$12=0,0,T18/T$12)</f>
        <v>0</v>
      </c>
      <c r="W18" s="4"/>
      <c r="X18" s="20">
        <f t="shared" ref="X18:X27" si="6">+P18-T18</f>
        <v>8201.9099999999744</v>
      </c>
      <c r="Y18" s="4"/>
      <c r="Z18" s="35">
        <f t="shared" ref="Z18:Z27" si="7">IF(T18=0,0,X18/T18)</f>
        <v>3.9797174835390754E-2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20078.59</v>
      </c>
      <c r="E19" s="1"/>
      <c r="F19" s="5">
        <f t="shared" si="0"/>
        <v>0</v>
      </c>
      <c r="G19" s="1"/>
      <c r="H19" s="1">
        <f>SUM(OSRRefH22_0x_0)</f>
        <v>25741.94</v>
      </c>
      <c r="I19" s="1"/>
      <c r="J19" s="5">
        <f t="shared" si="1"/>
        <v>0</v>
      </c>
      <c r="K19" s="1"/>
      <c r="L19" s="1">
        <f t="shared" si="2"/>
        <v>-5663.3499999999985</v>
      </c>
      <c r="M19" s="1"/>
      <c r="N19" s="5">
        <f t="shared" si="3"/>
        <v>-0.22000478596407258</v>
      </c>
      <c r="O19" s="13"/>
      <c r="P19" s="1">
        <f>SUM(OSRRefP22_0x_0)</f>
        <v>66220.02</v>
      </c>
      <c r="Q19" s="1"/>
      <c r="R19" s="5">
        <f t="shared" si="4"/>
        <v>0</v>
      </c>
      <c r="S19" s="1"/>
      <c r="T19" s="1">
        <f>SUM(OSRRefT22_0x_0)</f>
        <v>68652.83</v>
      </c>
      <c r="U19" s="1"/>
      <c r="V19" s="5">
        <f t="shared" si="5"/>
        <v>0</v>
      </c>
      <c r="W19" s="1"/>
      <c r="X19" s="1">
        <f t="shared" si="6"/>
        <v>-2432.8099999999977</v>
      </c>
      <c r="Y19" s="1"/>
      <c r="Z19" s="5">
        <f t="shared" si="7"/>
        <v>-3.5436412453791019E-2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5148.4799999999996</v>
      </c>
      <c r="E20" s="2"/>
      <c r="F20" s="7">
        <f t="shared" si="0"/>
        <v>0</v>
      </c>
      <c r="G20" s="2"/>
      <c r="H20" s="6">
        <v>4881.91</v>
      </c>
      <c r="I20" s="2"/>
      <c r="J20" s="7">
        <f t="shared" si="1"/>
        <v>0</v>
      </c>
      <c r="K20" s="2"/>
      <c r="L20" s="6">
        <f t="shared" si="2"/>
        <v>266.56999999999971</v>
      </c>
      <c r="M20" s="2"/>
      <c r="N20" s="7">
        <f t="shared" si="3"/>
        <v>5.4603628497862461E-2</v>
      </c>
      <c r="O20" s="11"/>
      <c r="P20" s="6">
        <v>11340.31</v>
      </c>
      <c r="Q20" s="2"/>
      <c r="R20" s="7">
        <f t="shared" si="4"/>
        <v>0</v>
      </c>
      <c r="S20" s="2"/>
      <c r="T20" s="6">
        <v>10855.08</v>
      </c>
      <c r="U20" s="2"/>
      <c r="V20" s="7">
        <f t="shared" si="5"/>
        <v>0</v>
      </c>
      <c r="W20" s="2"/>
      <c r="X20" s="6">
        <f t="shared" si="6"/>
        <v>485.22999999999956</v>
      </c>
      <c r="Y20" s="2"/>
      <c r="Z20" s="7">
        <f t="shared" si="7"/>
        <v>4.4700729980801573E-2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13.32</v>
      </c>
      <c r="E21" s="2"/>
      <c r="F21" s="7">
        <f t="shared" si="0"/>
        <v>0</v>
      </c>
      <c r="G21" s="2"/>
      <c r="H21" s="6">
        <v>259.11</v>
      </c>
      <c r="I21" s="2"/>
      <c r="J21" s="7">
        <f t="shared" si="1"/>
        <v>0</v>
      </c>
      <c r="K21" s="2"/>
      <c r="L21" s="6">
        <f t="shared" si="2"/>
        <v>-245.79000000000002</v>
      </c>
      <c r="M21" s="2"/>
      <c r="N21" s="7">
        <f t="shared" si="3"/>
        <v>-0.94859326154914902</v>
      </c>
      <c r="O21" s="11"/>
      <c r="P21" s="6">
        <v>315.63</v>
      </c>
      <c r="Q21" s="2"/>
      <c r="R21" s="7">
        <f t="shared" si="4"/>
        <v>0</v>
      </c>
      <c r="S21" s="2"/>
      <c r="T21" s="6">
        <v>466.19</v>
      </c>
      <c r="U21" s="2"/>
      <c r="V21" s="7">
        <f t="shared" si="5"/>
        <v>0</v>
      </c>
      <c r="W21" s="2"/>
      <c r="X21" s="6">
        <f t="shared" si="6"/>
        <v>-150.56</v>
      </c>
      <c r="Y21" s="2"/>
      <c r="Z21" s="7">
        <f t="shared" si="7"/>
        <v>-0.32295845041721188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5942.02</v>
      </c>
      <c r="E22" s="2"/>
      <c r="F22" s="7">
        <f t="shared" si="0"/>
        <v>0</v>
      </c>
      <c r="G22" s="2"/>
      <c r="H22" s="6">
        <v>6952.65</v>
      </c>
      <c r="I22" s="2"/>
      <c r="J22" s="7">
        <f t="shared" si="1"/>
        <v>0</v>
      </c>
      <c r="K22" s="2"/>
      <c r="L22" s="6">
        <f t="shared" si="2"/>
        <v>-1010.6299999999992</v>
      </c>
      <c r="M22" s="2"/>
      <c r="N22" s="7">
        <f t="shared" si="3"/>
        <v>-0.14535896384831673</v>
      </c>
      <c r="O22" s="11"/>
      <c r="P22" s="6">
        <v>23768.080000000002</v>
      </c>
      <c r="Q22" s="2"/>
      <c r="R22" s="7">
        <f t="shared" si="4"/>
        <v>0</v>
      </c>
      <c r="S22" s="2"/>
      <c r="T22" s="6">
        <v>23457.85</v>
      </c>
      <c r="U22" s="2"/>
      <c r="V22" s="7">
        <f t="shared" si="5"/>
        <v>0</v>
      </c>
      <c r="W22" s="2"/>
      <c r="X22" s="6">
        <f t="shared" si="6"/>
        <v>310.2300000000032</v>
      </c>
      <c r="Y22" s="2"/>
      <c r="Z22" s="7">
        <f t="shared" si="7"/>
        <v>1.3224997175785642E-2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150.94999999999999</v>
      </c>
      <c r="E23" s="2"/>
      <c r="F23" s="7">
        <f t="shared" si="0"/>
        <v>0</v>
      </c>
      <c r="G23" s="2"/>
      <c r="H23" s="6">
        <v>142.31</v>
      </c>
      <c r="I23" s="2"/>
      <c r="J23" s="7">
        <f t="shared" si="1"/>
        <v>0</v>
      </c>
      <c r="K23" s="2"/>
      <c r="L23" s="6">
        <f t="shared" si="2"/>
        <v>8.6399999999999864</v>
      </c>
      <c r="M23" s="2"/>
      <c r="N23" s="7">
        <f t="shared" si="3"/>
        <v>6.0712528986016347E-2</v>
      </c>
      <c r="O23" s="11"/>
      <c r="P23" s="6">
        <v>382.12</v>
      </c>
      <c r="Q23" s="2"/>
      <c r="R23" s="7">
        <f t="shared" si="4"/>
        <v>0</v>
      </c>
      <c r="S23" s="2"/>
      <c r="T23" s="6">
        <v>391</v>
      </c>
      <c r="U23" s="2"/>
      <c r="V23" s="7">
        <f t="shared" si="5"/>
        <v>0</v>
      </c>
      <c r="W23" s="2"/>
      <c r="X23" s="6">
        <f t="shared" si="6"/>
        <v>-8.8799999999999955</v>
      </c>
      <c r="Y23" s="2"/>
      <c r="Z23" s="7">
        <f t="shared" si="7"/>
        <v>-2.2710997442455232E-2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3424.58</v>
      </c>
      <c r="E24" s="2"/>
      <c r="F24" s="7">
        <f t="shared" si="0"/>
        <v>0</v>
      </c>
      <c r="G24" s="2"/>
      <c r="H24" s="6">
        <v>3110.05</v>
      </c>
      <c r="I24" s="2"/>
      <c r="J24" s="7">
        <f t="shared" si="1"/>
        <v>0</v>
      </c>
      <c r="K24" s="2"/>
      <c r="L24" s="6">
        <f t="shared" si="2"/>
        <v>314.52999999999975</v>
      </c>
      <c r="M24" s="2"/>
      <c r="N24" s="7">
        <f t="shared" si="3"/>
        <v>0.10113342229224602</v>
      </c>
      <c r="O24" s="11"/>
      <c r="P24" s="6">
        <v>10014.950000000001</v>
      </c>
      <c r="Q24" s="2"/>
      <c r="R24" s="7">
        <f t="shared" si="4"/>
        <v>0</v>
      </c>
      <c r="S24" s="2"/>
      <c r="T24" s="6">
        <v>9695.5300000000007</v>
      </c>
      <c r="U24" s="2"/>
      <c r="V24" s="7">
        <f t="shared" si="5"/>
        <v>0</v>
      </c>
      <c r="W24" s="2"/>
      <c r="X24" s="6">
        <f t="shared" si="6"/>
        <v>319.42000000000007</v>
      </c>
      <c r="Y24" s="2"/>
      <c r="Z24" s="7">
        <f t="shared" si="7"/>
        <v>3.2945078814670271E-2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2800.14</v>
      </c>
      <c r="E25" s="2"/>
      <c r="F25" s="7">
        <f t="shared" si="0"/>
        <v>0</v>
      </c>
      <c r="G25" s="2"/>
      <c r="H25" s="6">
        <v>3760.11</v>
      </c>
      <c r="I25" s="2"/>
      <c r="J25" s="7">
        <f t="shared" si="1"/>
        <v>0</v>
      </c>
      <c r="K25" s="2"/>
      <c r="L25" s="6">
        <f t="shared" si="2"/>
        <v>-959.97000000000025</v>
      </c>
      <c r="M25" s="2"/>
      <c r="N25" s="7">
        <f t="shared" si="3"/>
        <v>-0.25530370122150686</v>
      </c>
      <c r="O25" s="11"/>
      <c r="P25" s="6">
        <v>9274.84</v>
      </c>
      <c r="Q25" s="2"/>
      <c r="R25" s="7">
        <f t="shared" si="4"/>
        <v>0</v>
      </c>
      <c r="S25" s="2"/>
      <c r="T25" s="6">
        <v>9492.7800000000007</v>
      </c>
      <c r="U25" s="2"/>
      <c r="V25" s="7">
        <f t="shared" si="5"/>
        <v>0</v>
      </c>
      <c r="W25" s="2"/>
      <c r="X25" s="6">
        <f t="shared" si="6"/>
        <v>-217.94000000000051</v>
      </c>
      <c r="Y25" s="2"/>
      <c r="Z25" s="7">
        <f t="shared" si="7"/>
        <v>-2.2958501092409229E-2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1728.3</v>
      </c>
      <c r="E26" s="2"/>
      <c r="F26" s="7">
        <f t="shared" si="0"/>
        <v>0</v>
      </c>
      <c r="G26" s="2"/>
      <c r="H26" s="6">
        <v>5890.91</v>
      </c>
      <c r="I26" s="2"/>
      <c r="J26" s="7">
        <f t="shared" si="1"/>
        <v>0</v>
      </c>
      <c r="K26" s="2"/>
      <c r="L26" s="6">
        <f t="shared" si="2"/>
        <v>-4162.6099999999997</v>
      </c>
      <c r="M26" s="2"/>
      <c r="N26" s="7">
        <f t="shared" si="3"/>
        <v>-0.70661578601608233</v>
      </c>
      <c r="O26" s="11"/>
      <c r="P26" s="6">
        <v>7967.61</v>
      </c>
      <c r="Q26" s="2"/>
      <c r="R26" s="7">
        <f t="shared" si="4"/>
        <v>0</v>
      </c>
      <c r="S26" s="2"/>
      <c r="T26" s="6">
        <v>11319.99</v>
      </c>
      <c r="U26" s="2"/>
      <c r="V26" s="7">
        <f t="shared" si="5"/>
        <v>0</v>
      </c>
      <c r="W26" s="2"/>
      <c r="X26" s="6">
        <f t="shared" si="6"/>
        <v>-3352.38</v>
      </c>
      <c r="Y26" s="2"/>
      <c r="Z26" s="7">
        <f t="shared" si="7"/>
        <v>-0.29614690472341409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870.8</v>
      </c>
      <c r="E27" s="2"/>
      <c r="F27" s="7">
        <f t="shared" si="0"/>
        <v>0</v>
      </c>
      <c r="G27" s="2"/>
      <c r="H27" s="6">
        <v>744.89</v>
      </c>
      <c r="I27" s="2"/>
      <c r="J27" s="7">
        <f t="shared" si="1"/>
        <v>0</v>
      </c>
      <c r="K27" s="2"/>
      <c r="L27" s="6">
        <f t="shared" si="2"/>
        <v>125.90999999999997</v>
      </c>
      <c r="M27" s="2"/>
      <c r="N27" s="7">
        <f t="shared" si="3"/>
        <v>0.16903166910550546</v>
      </c>
      <c r="O27" s="11"/>
      <c r="P27" s="6">
        <v>3156.48</v>
      </c>
      <c r="Q27" s="2"/>
      <c r="R27" s="7">
        <f t="shared" si="4"/>
        <v>0</v>
      </c>
      <c r="S27" s="2"/>
      <c r="T27" s="6">
        <v>2974.41</v>
      </c>
      <c r="U27" s="2"/>
      <c r="V27" s="7">
        <f t="shared" si="5"/>
        <v>0</v>
      </c>
      <c r="W27" s="2"/>
      <c r="X27" s="6">
        <f t="shared" si="6"/>
        <v>182.07000000000016</v>
      </c>
      <c r="Y27" s="2"/>
      <c r="Z27" s="7">
        <f t="shared" si="7"/>
        <v>6.1212139550364669E-2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37140.97</v>
      </c>
      <c r="E28" s="1"/>
      <c r="F28" s="5">
        <f t="shared" ref="F28:F32" si="8">IF(D$12=0,0,D28/D$12)</f>
        <v>0</v>
      </c>
      <c r="G28" s="1"/>
      <c r="H28" s="1">
        <f>SUM(OSRRefH22_1x_0)</f>
        <v>35093.14</v>
      </c>
      <c r="I28" s="1"/>
      <c r="J28" s="5">
        <f t="shared" ref="J28:J32" si="9">IF(H$12=0,0,H28/H$12)</f>
        <v>0</v>
      </c>
      <c r="K28" s="1"/>
      <c r="L28" s="1">
        <f t="shared" ref="L28:L32" si="10">+D28-H28</f>
        <v>2047.8300000000017</v>
      </c>
      <c r="M28" s="1"/>
      <c r="N28" s="5">
        <f t="shared" ref="N28:N32" si="11">IF(H28=0,0,L28/H28)</f>
        <v>5.8354139868931697E-2</v>
      </c>
      <c r="O28" s="13"/>
      <c r="P28" s="1">
        <f>SUM(OSRRefP22_1x_0)</f>
        <v>128283.28</v>
      </c>
      <c r="Q28" s="1"/>
      <c r="R28" s="5">
        <f t="shared" ref="R28:R32" si="12">IF(P$12=0,0,P28/P$12)</f>
        <v>0</v>
      </c>
      <c r="S28" s="1"/>
      <c r="T28" s="1">
        <f>SUM(OSRRefT22_1x_0)</f>
        <v>119528.94999999998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8754.3300000000163</v>
      </c>
      <c r="Y28" s="1"/>
      <c r="Z28" s="5">
        <f t="shared" ref="Z28:Z32" si="15">IF(T28=0,0,X28/T28)</f>
        <v>7.3240248492101853E-2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>
        <v>28399.25</v>
      </c>
      <c r="E29" s="2"/>
      <c r="F29" s="7">
        <f t="shared" si="8"/>
        <v>0</v>
      </c>
      <c r="G29" s="2"/>
      <c r="H29" s="6">
        <v>26322.15</v>
      </c>
      <c r="I29" s="2"/>
      <c r="J29" s="7">
        <f t="shared" si="9"/>
        <v>0</v>
      </c>
      <c r="K29" s="2"/>
      <c r="L29" s="6">
        <f t="shared" si="10"/>
        <v>2077.0999999999985</v>
      </c>
      <c r="M29" s="2"/>
      <c r="N29" s="7">
        <f t="shared" si="11"/>
        <v>7.8910727277217041E-2</v>
      </c>
      <c r="O29" s="11"/>
      <c r="P29" s="6">
        <v>103457.35</v>
      </c>
      <c r="Q29" s="2"/>
      <c r="R29" s="7">
        <f t="shared" si="12"/>
        <v>0</v>
      </c>
      <c r="S29" s="2"/>
      <c r="T29" s="6">
        <v>94404.349999999991</v>
      </c>
      <c r="U29" s="2"/>
      <c r="V29" s="7">
        <f t="shared" si="13"/>
        <v>0</v>
      </c>
      <c r="W29" s="2"/>
      <c r="X29" s="6">
        <f t="shared" si="14"/>
        <v>9053.0000000000146</v>
      </c>
      <c r="Y29" s="2"/>
      <c r="Z29" s="7">
        <f t="shared" si="15"/>
        <v>9.5896004792152226E-2</v>
      </c>
    </row>
    <row r="30" spans="1:26" s="24" customFormat="1" hidden="1" outlineLevel="2" x14ac:dyDescent="0.25">
      <c r="A30" s="26"/>
      <c r="B30" s="11" t="str">
        <f>CONCATENATE("          ", "6005", " - ", "TEMPORARY WAGES-HOURLY")</f>
        <v xml:space="preserve">          6005 - TEMPORARY WAGES-HOURLY</v>
      </c>
      <c r="C30" s="11"/>
      <c r="D30" s="6">
        <v>3564.97</v>
      </c>
      <c r="E30" s="2"/>
      <c r="F30" s="7">
        <f t="shared" si="8"/>
        <v>0</v>
      </c>
      <c r="G30" s="2"/>
      <c r="H30" s="6">
        <v>3445.35</v>
      </c>
      <c r="I30" s="2"/>
      <c r="J30" s="7">
        <f t="shared" si="9"/>
        <v>0</v>
      </c>
      <c r="K30" s="2"/>
      <c r="L30" s="6">
        <f t="shared" si="10"/>
        <v>119.61999999999989</v>
      </c>
      <c r="M30" s="2"/>
      <c r="N30" s="7">
        <f t="shared" si="11"/>
        <v>3.4719259291508812E-2</v>
      </c>
      <c r="O30" s="11"/>
      <c r="P30" s="6">
        <v>10238.68</v>
      </c>
      <c r="Q30" s="2"/>
      <c r="R30" s="7">
        <f t="shared" si="12"/>
        <v>0</v>
      </c>
      <c r="S30" s="2"/>
      <c r="T30" s="6">
        <v>9192.75</v>
      </c>
      <c r="U30" s="2"/>
      <c r="V30" s="7">
        <f t="shared" si="13"/>
        <v>0</v>
      </c>
      <c r="W30" s="2"/>
      <c r="X30" s="6">
        <f t="shared" si="14"/>
        <v>1045.9300000000003</v>
      </c>
      <c r="Y30" s="2"/>
      <c r="Z30" s="7">
        <f t="shared" si="15"/>
        <v>0.11377770525686005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6">
        <v>4351.75</v>
      </c>
      <c r="E31" s="2"/>
      <c r="F31" s="7">
        <f t="shared" si="8"/>
        <v>0</v>
      </c>
      <c r="G31" s="2"/>
      <c r="H31" s="6">
        <v>5325.64</v>
      </c>
      <c r="I31" s="2"/>
      <c r="J31" s="7">
        <f t="shared" si="9"/>
        <v>0</v>
      </c>
      <c r="K31" s="2"/>
      <c r="L31" s="6">
        <f t="shared" si="10"/>
        <v>-973.89000000000033</v>
      </c>
      <c r="M31" s="2"/>
      <c r="N31" s="7">
        <f t="shared" si="11"/>
        <v>-0.18286816232415265</v>
      </c>
      <c r="O31" s="11"/>
      <c r="P31" s="6">
        <v>12562.25</v>
      </c>
      <c r="Q31" s="2"/>
      <c r="R31" s="7">
        <f t="shared" si="12"/>
        <v>0</v>
      </c>
      <c r="S31" s="2"/>
      <c r="T31" s="6">
        <v>15931.849999999999</v>
      </c>
      <c r="U31" s="2"/>
      <c r="V31" s="7">
        <f t="shared" si="13"/>
        <v>0</v>
      </c>
      <c r="W31" s="2"/>
      <c r="X31" s="6">
        <f t="shared" si="14"/>
        <v>-3369.5999999999985</v>
      </c>
      <c r="Y31" s="2"/>
      <c r="Z31" s="7">
        <f t="shared" si="15"/>
        <v>-0.21150086148187427</v>
      </c>
    </row>
    <row r="32" spans="1:26" s="24" customFormat="1" hidden="1" outlineLevel="2" x14ac:dyDescent="0.25">
      <c r="A32" s="26"/>
      <c r="B32" s="11" t="str">
        <f>CONCATENATE("          ", "6008", " - ", "STUDENT HOURLY-FICA EXEMPT")</f>
        <v xml:space="preserve">          6008 - STUDENT HOURLY-FICA EXEMPT</v>
      </c>
      <c r="C32" s="11"/>
      <c r="D32" s="6">
        <v>825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825</v>
      </c>
      <c r="M32" s="2"/>
      <c r="N32" s="7">
        <f t="shared" si="11"/>
        <v>0</v>
      </c>
      <c r="O32" s="11"/>
      <c r="P32" s="6">
        <v>2025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2025</v>
      </c>
      <c r="Y32" s="2"/>
      <c r="Z32" s="7">
        <f t="shared" si="15"/>
        <v>0</v>
      </c>
    </row>
    <row r="33" spans="1:26" s="27" customFormat="1" outlineLevel="1" collapsed="1" x14ac:dyDescent="0.25">
      <c r="A33" s="25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0</v>
      </c>
      <c r="E33" s="1"/>
      <c r="F33" s="5">
        <f t="shared" ref="F33:F48" si="16">IF(D$12=0,0,D33/D$12)</f>
        <v>0</v>
      </c>
      <c r="G33" s="1"/>
      <c r="H33" s="1">
        <f>SUM(OSRRefH22_2x_0)</f>
        <v>0</v>
      </c>
      <c r="I33" s="1"/>
      <c r="J33" s="5">
        <f t="shared" ref="J33:J48" si="17">IF(H$12=0,0,H33/H$12)</f>
        <v>0</v>
      </c>
      <c r="K33" s="1"/>
      <c r="L33" s="1">
        <f t="shared" ref="L33:L48" si="18">+D33-H33</f>
        <v>0</v>
      </c>
      <c r="M33" s="1"/>
      <c r="N33" s="5">
        <f t="shared" ref="N33:N48" si="19">IF(H33=0,0,L33/H33)</f>
        <v>0</v>
      </c>
      <c r="O33" s="13"/>
      <c r="P33" s="1">
        <f>SUM(OSRRefP22_2x_0)</f>
        <v>0</v>
      </c>
      <c r="Q33" s="1"/>
      <c r="R33" s="5">
        <f t="shared" ref="R33:R48" si="20">IF(P$12=0,0,P33/P$12)</f>
        <v>0</v>
      </c>
      <c r="S33" s="1"/>
      <c r="T33" s="1">
        <f>SUM(OSRRefT22_2x_0)</f>
        <v>389</v>
      </c>
      <c r="U33" s="1"/>
      <c r="V33" s="5">
        <f t="shared" ref="V33:V48" si="21">IF(T$12=0,0,T33/T$12)</f>
        <v>0</v>
      </c>
      <c r="W33" s="1"/>
      <c r="X33" s="1">
        <f t="shared" ref="X33:X48" si="22">+P33-T33</f>
        <v>-389</v>
      </c>
      <c r="Y33" s="1"/>
      <c r="Z33" s="5">
        <f t="shared" ref="Z33:Z48" si="23">IF(T33=0,0,X33/T33)</f>
        <v>-1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389</v>
      </c>
      <c r="U34" s="2"/>
      <c r="V34" s="7">
        <f t="shared" si="21"/>
        <v>0</v>
      </c>
      <c r="W34" s="2"/>
      <c r="X34" s="6">
        <f t="shared" si="22"/>
        <v>-389</v>
      </c>
      <c r="Y34" s="2"/>
      <c r="Z34" s="7">
        <f t="shared" si="23"/>
        <v>-1</v>
      </c>
    </row>
    <row r="35" spans="1:26" s="27" customFormat="1" outlineLevel="1" collapsed="1" x14ac:dyDescent="0.25">
      <c r="A35" s="25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1558.88</v>
      </c>
      <c r="E35" s="1"/>
      <c r="F35" s="5">
        <f t="shared" si="16"/>
        <v>0</v>
      </c>
      <c r="G35" s="1"/>
      <c r="H35" s="1">
        <f>SUM(OSRRefH22_3x_0)</f>
        <v>1558.88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6235.52</v>
      </c>
      <c r="Q35" s="1"/>
      <c r="R35" s="5">
        <f t="shared" si="20"/>
        <v>0</v>
      </c>
      <c r="S35" s="1"/>
      <c r="T35" s="1">
        <f>SUM(OSRRefT22_3x_0)</f>
        <v>6235.52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6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1558.88</v>
      </c>
      <c r="E36" s="2"/>
      <c r="F36" s="7">
        <f t="shared" si="16"/>
        <v>0</v>
      </c>
      <c r="G36" s="2"/>
      <c r="H36" s="6">
        <v>1558.88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6235.52</v>
      </c>
      <c r="Q36" s="2"/>
      <c r="R36" s="7">
        <f t="shared" si="20"/>
        <v>0</v>
      </c>
      <c r="S36" s="2"/>
      <c r="T36" s="6">
        <v>6235.52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7" customFormat="1" outlineLevel="1" collapsed="1" x14ac:dyDescent="0.25">
      <c r="A37" s="25"/>
      <c r="B37" s="13" t="str">
        <f>CONCATENATE("     ","Equipment Rental                                  ")</f>
        <v xml:space="preserve">     Equipment Rental                                  </v>
      </c>
      <c r="C37" s="13"/>
      <c r="D37" s="1">
        <f>SUM(OSRRefD22_4x_0)</f>
        <v>182.52</v>
      </c>
      <c r="E37" s="1"/>
      <c r="F37" s="5">
        <f t="shared" si="16"/>
        <v>0</v>
      </c>
      <c r="G37" s="1"/>
      <c r="H37" s="1">
        <f>SUM(OSRRefH22_4x_0)</f>
        <v>91.26</v>
      </c>
      <c r="I37" s="1"/>
      <c r="J37" s="5">
        <f t="shared" si="17"/>
        <v>0</v>
      </c>
      <c r="K37" s="1"/>
      <c r="L37" s="1">
        <f t="shared" si="18"/>
        <v>91.26</v>
      </c>
      <c r="M37" s="1"/>
      <c r="N37" s="5">
        <f t="shared" si="19"/>
        <v>1</v>
      </c>
      <c r="O37" s="13"/>
      <c r="P37" s="1">
        <f>SUM(OSRRefP22_4x_0)</f>
        <v>456.3</v>
      </c>
      <c r="Q37" s="1"/>
      <c r="R37" s="5">
        <f t="shared" si="20"/>
        <v>0</v>
      </c>
      <c r="S37" s="1"/>
      <c r="T37" s="1">
        <f>SUM(OSRRefT22_4x_0)</f>
        <v>365.04</v>
      </c>
      <c r="U37" s="1"/>
      <c r="V37" s="5">
        <f t="shared" si="21"/>
        <v>0</v>
      </c>
      <c r="W37" s="1"/>
      <c r="X37" s="1">
        <f t="shared" si="22"/>
        <v>91.259999999999991</v>
      </c>
      <c r="Y37" s="1"/>
      <c r="Z37" s="5">
        <f t="shared" si="23"/>
        <v>0.24999999999999997</v>
      </c>
    </row>
    <row r="38" spans="1:26" s="24" customFormat="1" hidden="1" outlineLevel="2" x14ac:dyDescent="0.25">
      <c r="A38" s="26"/>
      <c r="B38" s="11" t="str">
        <f>CONCATENATE("          ", "6351", " - ", "EQUIPMENT RENTAL")</f>
        <v xml:space="preserve">          6351 - EQUIPMENT RENTAL</v>
      </c>
      <c r="C38" s="11"/>
      <c r="D38" s="6">
        <v>182.52</v>
      </c>
      <c r="E38" s="2"/>
      <c r="F38" s="7">
        <f t="shared" si="16"/>
        <v>0</v>
      </c>
      <c r="G38" s="2"/>
      <c r="H38" s="6">
        <v>91.26</v>
      </c>
      <c r="I38" s="2"/>
      <c r="J38" s="7">
        <f t="shared" si="17"/>
        <v>0</v>
      </c>
      <c r="K38" s="2"/>
      <c r="L38" s="6">
        <f t="shared" si="18"/>
        <v>91.26</v>
      </c>
      <c r="M38" s="2"/>
      <c r="N38" s="7">
        <f t="shared" si="19"/>
        <v>1</v>
      </c>
      <c r="O38" s="11"/>
      <c r="P38" s="6">
        <v>456.3</v>
      </c>
      <c r="Q38" s="2"/>
      <c r="R38" s="7">
        <f t="shared" si="20"/>
        <v>0</v>
      </c>
      <c r="S38" s="2"/>
      <c r="T38" s="6">
        <v>365.04</v>
      </c>
      <c r="U38" s="2"/>
      <c r="V38" s="7">
        <f t="shared" si="21"/>
        <v>0</v>
      </c>
      <c r="W38" s="2"/>
      <c r="X38" s="6">
        <f t="shared" si="22"/>
        <v>91.259999999999991</v>
      </c>
      <c r="Y38" s="2"/>
      <c r="Z38" s="7">
        <f t="shared" si="23"/>
        <v>0.24999999999999997</v>
      </c>
    </row>
    <row r="39" spans="1:26" s="27" customFormat="1" outlineLevel="1" collapsed="1" x14ac:dyDescent="0.25">
      <c r="A39" s="25"/>
      <c r="B39" s="13" t="str">
        <f>CONCATENATE("     ","Freight out/Postage                               ")</f>
        <v xml:space="preserve">     Freight out/Postage                               </v>
      </c>
      <c r="C39" s="13"/>
      <c r="D39" s="1">
        <f>SUM(OSRRefD22_5x_0)</f>
        <v>141.15</v>
      </c>
      <c r="E39" s="1"/>
      <c r="F39" s="5">
        <f t="shared" si="16"/>
        <v>0</v>
      </c>
      <c r="G39" s="1"/>
      <c r="H39" s="1">
        <f>SUM(OSRRefH22_5x_0)</f>
        <v>155.76</v>
      </c>
      <c r="I39" s="1"/>
      <c r="J39" s="5">
        <f t="shared" si="17"/>
        <v>0</v>
      </c>
      <c r="K39" s="1"/>
      <c r="L39" s="1">
        <f t="shared" si="18"/>
        <v>-14.609999999999985</v>
      </c>
      <c r="M39" s="1"/>
      <c r="N39" s="5">
        <f t="shared" si="19"/>
        <v>-9.3798151001540736E-2</v>
      </c>
      <c r="O39" s="13"/>
      <c r="P39" s="1">
        <f>SUM(OSRRefP22_5x_0)</f>
        <v>539.15</v>
      </c>
      <c r="Q39" s="1"/>
      <c r="R39" s="5">
        <f t="shared" si="20"/>
        <v>0</v>
      </c>
      <c r="S39" s="1"/>
      <c r="T39" s="1">
        <f>SUM(OSRRefT22_5x_0)</f>
        <v>471.93</v>
      </c>
      <c r="U39" s="1"/>
      <c r="V39" s="5">
        <f t="shared" si="21"/>
        <v>0</v>
      </c>
      <c r="W39" s="1"/>
      <c r="X39" s="1">
        <f t="shared" si="22"/>
        <v>67.21999999999997</v>
      </c>
      <c r="Y39" s="1"/>
      <c r="Z39" s="5">
        <f t="shared" si="23"/>
        <v>0.14243637827643923</v>
      </c>
    </row>
    <row r="40" spans="1:26" s="24" customFormat="1" hidden="1" outlineLevel="2" x14ac:dyDescent="0.25">
      <c r="A40" s="26"/>
      <c r="B40" s="11" t="str">
        <f>CONCATENATE("          ", "6307", " - ", "POSTAGE")</f>
        <v xml:space="preserve">          6307 - POSTAGE</v>
      </c>
      <c r="C40" s="11"/>
      <c r="D40" s="6">
        <v>141.15</v>
      </c>
      <c r="E40" s="2"/>
      <c r="F40" s="7">
        <f t="shared" si="16"/>
        <v>0</v>
      </c>
      <c r="G40" s="2"/>
      <c r="H40" s="6">
        <v>155.76</v>
      </c>
      <c r="I40" s="2"/>
      <c r="J40" s="7">
        <f t="shared" si="17"/>
        <v>0</v>
      </c>
      <c r="K40" s="2"/>
      <c r="L40" s="6">
        <f t="shared" si="18"/>
        <v>-14.609999999999985</v>
      </c>
      <c r="M40" s="2"/>
      <c r="N40" s="7">
        <f t="shared" si="19"/>
        <v>-9.3798151001540736E-2</v>
      </c>
      <c r="O40" s="11"/>
      <c r="P40" s="6">
        <v>539.15</v>
      </c>
      <c r="Q40" s="2"/>
      <c r="R40" s="7">
        <f t="shared" si="20"/>
        <v>0</v>
      </c>
      <c r="S40" s="2"/>
      <c r="T40" s="6">
        <v>471.93</v>
      </c>
      <c r="U40" s="2"/>
      <c r="V40" s="7">
        <f t="shared" si="21"/>
        <v>0</v>
      </c>
      <c r="W40" s="2"/>
      <c r="X40" s="6">
        <f t="shared" si="22"/>
        <v>67.21999999999997</v>
      </c>
      <c r="Y40" s="2"/>
      <c r="Z40" s="7">
        <f t="shared" si="23"/>
        <v>0.14243637827643923</v>
      </c>
    </row>
    <row r="41" spans="1:26" s="27" customFormat="1" outlineLevel="1" collapsed="1" x14ac:dyDescent="0.25">
      <c r="A41" s="25"/>
      <c r="B41" s="13" t="str">
        <f>CONCATENATE("     ","Insurance                                         ")</f>
        <v xml:space="preserve">     Insurance                                         </v>
      </c>
      <c r="C41" s="13"/>
      <c r="D41" s="1">
        <f>SUM(OSRRefD22_6x_0)</f>
        <v>132.16999999999999</v>
      </c>
      <c r="E41" s="1"/>
      <c r="F41" s="5">
        <f t="shared" si="16"/>
        <v>0</v>
      </c>
      <c r="G41" s="1"/>
      <c r="H41" s="1">
        <f>SUM(OSRRefH22_6x_0)</f>
        <v>124.52</v>
      </c>
      <c r="I41" s="1"/>
      <c r="J41" s="5">
        <f t="shared" si="17"/>
        <v>0</v>
      </c>
      <c r="K41" s="1"/>
      <c r="L41" s="1">
        <f t="shared" si="18"/>
        <v>7.6499999999999915</v>
      </c>
      <c r="M41" s="1"/>
      <c r="N41" s="5">
        <f t="shared" si="19"/>
        <v>6.1435913909412075E-2</v>
      </c>
      <c r="O41" s="13"/>
      <c r="P41" s="1">
        <f>SUM(OSRRefP22_6x_0)</f>
        <v>528.67999999999995</v>
      </c>
      <c r="Q41" s="1"/>
      <c r="R41" s="5">
        <f t="shared" si="20"/>
        <v>0</v>
      </c>
      <c r="S41" s="1"/>
      <c r="T41" s="1">
        <f>SUM(OSRRefT22_6x_0)</f>
        <v>498.08</v>
      </c>
      <c r="U41" s="1"/>
      <c r="V41" s="5">
        <f t="shared" si="21"/>
        <v>0</v>
      </c>
      <c r="W41" s="1"/>
      <c r="X41" s="1">
        <f t="shared" si="22"/>
        <v>30.599999999999966</v>
      </c>
      <c r="Y41" s="1"/>
      <c r="Z41" s="5">
        <f t="shared" si="23"/>
        <v>6.1435913909412075E-2</v>
      </c>
    </row>
    <row r="42" spans="1:26" s="24" customFormat="1" hidden="1" outlineLevel="2" x14ac:dyDescent="0.25">
      <c r="A42" s="26"/>
      <c r="B42" s="11" t="str">
        <f>CONCATENATE("          ", "6314", " - ", "LIABILITY INSURANCE")</f>
        <v xml:space="preserve">          6314 - LIABILITY INSURANCE</v>
      </c>
      <c r="C42" s="11"/>
      <c r="D42" s="6">
        <v>132.16999999999999</v>
      </c>
      <c r="E42" s="2"/>
      <c r="F42" s="7">
        <f t="shared" si="16"/>
        <v>0</v>
      </c>
      <c r="G42" s="2"/>
      <c r="H42" s="6">
        <v>124.52</v>
      </c>
      <c r="I42" s="2"/>
      <c r="J42" s="7">
        <f t="shared" si="17"/>
        <v>0</v>
      </c>
      <c r="K42" s="2"/>
      <c r="L42" s="6">
        <f t="shared" si="18"/>
        <v>7.6499999999999915</v>
      </c>
      <c r="M42" s="2"/>
      <c r="N42" s="7">
        <f t="shared" si="19"/>
        <v>6.1435913909412075E-2</v>
      </c>
      <c r="O42" s="11"/>
      <c r="P42" s="6">
        <v>528.67999999999995</v>
      </c>
      <c r="Q42" s="2"/>
      <c r="R42" s="7">
        <f t="shared" si="20"/>
        <v>0</v>
      </c>
      <c r="S42" s="2"/>
      <c r="T42" s="6">
        <v>498.08</v>
      </c>
      <c r="U42" s="2"/>
      <c r="V42" s="7">
        <f t="shared" si="21"/>
        <v>0</v>
      </c>
      <c r="W42" s="2"/>
      <c r="X42" s="6">
        <f t="shared" si="22"/>
        <v>30.599999999999966</v>
      </c>
      <c r="Y42" s="2"/>
      <c r="Z42" s="7">
        <f t="shared" si="23"/>
        <v>6.1435913909412075E-2</v>
      </c>
    </row>
    <row r="43" spans="1:26" s="27" customFormat="1" outlineLevel="1" collapsed="1" x14ac:dyDescent="0.25">
      <c r="A43" s="25"/>
      <c r="B43" s="13" t="str">
        <f>CONCATENATE("     ","Professional Services                             ")</f>
        <v xml:space="preserve">     Professional Services                             </v>
      </c>
      <c r="C43" s="13"/>
      <c r="D43" s="1">
        <f>SUM(OSRRefD22_7x_0)</f>
        <v>0</v>
      </c>
      <c r="E43" s="1"/>
      <c r="F43" s="5">
        <f t="shared" si="16"/>
        <v>0</v>
      </c>
      <c r="G43" s="1"/>
      <c r="H43" s="1">
        <f>SUM(OSRRefH22_7x_0)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SUM(OSRRefP22_7x_0)</f>
        <v>82.5</v>
      </c>
      <c r="Q43" s="1"/>
      <c r="R43" s="5">
        <f t="shared" si="20"/>
        <v>0</v>
      </c>
      <c r="S43" s="1"/>
      <c r="T43" s="1">
        <f>SUM(OSRRefT22_7x_0)</f>
        <v>0</v>
      </c>
      <c r="U43" s="1"/>
      <c r="V43" s="5">
        <f t="shared" si="21"/>
        <v>0</v>
      </c>
      <c r="W43" s="1"/>
      <c r="X43" s="1">
        <f t="shared" si="22"/>
        <v>82.5</v>
      </c>
      <c r="Y43" s="1"/>
      <c r="Z43" s="5">
        <f t="shared" si="23"/>
        <v>0</v>
      </c>
    </row>
    <row r="44" spans="1:26" s="24" customFormat="1" hidden="1" outlineLevel="2" x14ac:dyDescent="0.25">
      <c r="A44" s="26"/>
      <c r="B44" s="11" t="str">
        <f>CONCATENATE("          ", "6332", " - ", "CONSULTANT FEES")</f>
        <v xml:space="preserve">          6332 - CONSULTANT FEES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82.5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82.5</v>
      </c>
      <c r="Y44" s="2"/>
      <c r="Z44" s="7">
        <f t="shared" si="23"/>
        <v>0</v>
      </c>
    </row>
    <row r="45" spans="1:26" s="27" customFormat="1" outlineLevel="1" collapsed="1" x14ac:dyDescent="0.25">
      <c r="A45" s="25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SUM(OSRRefD22_8x_0)</f>
        <v>485.46</v>
      </c>
      <c r="E45" s="1"/>
      <c r="F45" s="5">
        <f t="shared" si="16"/>
        <v>0</v>
      </c>
      <c r="G45" s="1"/>
      <c r="H45" s="1">
        <f>SUM(OSRRefH22_8x_0)</f>
        <v>22.02</v>
      </c>
      <c r="I45" s="1"/>
      <c r="J45" s="5">
        <f t="shared" si="17"/>
        <v>0</v>
      </c>
      <c r="K45" s="1"/>
      <c r="L45" s="1">
        <f t="shared" si="18"/>
        <v>463.44</v>
      </c>
      <c r="M45" s="1"/>
      <c r="N45" s="5">
        <f t="shared" si="19"/>
        <v>21.04632152588556</v>
      </c>
      <c r="O45" s="13"/>
      <c r="P45" s="1">
        <f>SUM(OSRRefP22_8x_0)</f>
        <v>554.51</v>
      </c>
      <c r="Q45" s="1"/>
      <c r="R45" s="5">
        <f t="shared" si="20"/>
        <v>0</v>
      </c>
      <c r="S45" s="1"/>
      <c r="T45" s="1">
        <f>SUM(OSRRefT22_8x_0)</f>
        <v>171.4</v>
      </c>
      <c r="U45" s="1"/>
      <c r="V45" s="5">
        <f t="shared" si="21"/>
        <v>0</v>
      </c>
      <c r="W45" s="1"/>
      <c r="X45" s="1">
        <f t="shared" si="22"/>
        <v>383.11</v>
      </c>
      <c r="Y45" s="1"/>
      <c r="Z45" s="5">
        <f t="shared" si="23"/>
        <v>2.2351808634772463</v>
      </c>
    </row>
    <row r="46" spans="1:26" s="24" customFormat="1" hidden="1" outlineLevel="2" x14ac:dyDescent="0.25">
      <c r="A46" s="26"/>
      <c r="B46" s="11" t="str">
        <f>CONCATENATE("          ", "6371", " - ", "COMPUTER SOFTWARE MAINTENANCE")</f>
        <v xml:space="preserve">          6371 - COMPUTER SOFTWARE MAINTENANCE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/>
      <c r="Q46" s="2"/>
      <c r="R46" s="7">
        <f t="shared" si="20"/>
        <v>0</v>
      </c>
      <c r="S46" s="2"/>
      <c r="T46" s="6">
        <v>75</v>
      </c>
      <c r="U46" s="2"/>
      <c r="V46" s="7">
        <f t="shared" si="21"/>
        <v>0</v>
      </c>
      <c r="W46" s="2"/>
      <c r="X46" s="6">
        <f t="shared" si="22"/>
        <v>-75</v>
      </c>
      <c r="Y46" s="2"/>
      <c r="Z46" s="7">
        <f t="shared" si="23"/>
        <v>-1</v>
      </c>
    </row>
    <row r="47" spans="1:26" s="24" customFormat="1" hidden="1" outlineLevel="2" x14ac:dyDescent="0.25">
      <c r="A47" s="26"/>
      <c r="B47" s="11" t="str">
        <f>CONCATENATE("          ", "6373", " - ", "MAINTENANCE CONTRACTS")</f>
        <v xml:space="preserve">          6373 - MAINTENANCE CONTRACTS</v>
      </c>
      <c r="C47" s="11"/>
      <c r="D47" s="6">
        <v>20.88</v>
      </c>
      <c r="E47" s="2"/>
      <c r="F47" s="7">
        <f t="shared" si="16"/>
        <v>0</v>
      </c>
      <c r="G47" s="2"/>
      <c r="H47" s="6">
        <v>22.02</v>
      </c>
      <c r="I47" s="2"/>
      <c r="J47" s="7">
        <f t="shared" si="17"/>
        <v>0</v>
      </c>
      <c r="K47" s="2"/>
      <c r="L47" s="6">
        <f t="shared" si="18"/>
        <v>-1.1400000000000006</v>
      </c>
      <c r="M47" s="2"/>
      <c r="N47" s="7">
        <f t="shared" si="19"/>
        <v>-5.1771117166212563E-2</v>
      </c>
      <c r="O47" s="11"/>
      <c r="P47" s="6">
        <v>89.93</v>
      </c>
      <c r="Q47" s="2"/>
      <c r="R47" s="7">
        <f t="shared" si="20"/>
        <v>0</v>
      </c>
      <c r="S47" s="2"/>
      <c r="T47" s="6">
        <v>96.4</v>
      </c>
      <c r="U47" s="2"/>
      <c r="V47" s="7">
        <f t="shared" si="21"/>
        <v>0</v>
      </c>
      <c r="W47" s="2"/>
      <c r="X47" s="6">
        <f t="shared" si="22"/>
        <v>-6.4699999999999989</v>
      </c>
      <c r="Y47" s="2"/>
      <c r="Z47" s="7">
        <f t="shared" si="23"/>
        <v>-6.7116182572614091E-2</v>
      </c>
    </row>
    <row r="48" spans="1:26" s="24" customFormat="1" hidden="1" outlineLevel="2" x14ac:dyDescent="0.25">
      <c r="A48" s="26"/>
      <c r="B48" s="11" t="str">
        <f>CONCATENATE("          ", "6375", " - ", "OUTSIDE REPAIRS &amp; MAINTENANCE")</f>
        <v xml:space="preserve">          6375 - OUTSIDE REPAIRS &amp; MAINTENANCE</v>
      </c>
      <c r="C48" s="11"/>
      <c r="D48" s="6">
        <v>464.58</v>
      </c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464.58</v>
      </c>
      <c r="M48" s="2"/>
      <c r="N48" s="7">
        <f t="shared" si="19"/>
        <v>0</v>
      </c>
      <c r="O48" s="11"/>
      <c r="P48" s="6">
        <v>464.58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464.58</v>
      </c>
      <c r="Y48" s="2"/>
      <c r="Z48" s="7">
        <f t="shared" si="23"/>
        <v>0</v>
      </c>
    </row>
    <row r="49" spans="1:26" s="27" customFormat="1" outlineLevel="1" collapsed="1" x14ac:dyDescent="0.25">
      <c r="A49" s="25"/>
      <c r="B49" s="13" t="str">
        <f>CONCATENATE("     ","Services                                          ")</f>
        <v xml:space="preserve">     Services                                          </v>
      </c>
      <c r="C49" s="13"/>
      <c r="D49" s="1">
        <f>SUM(OSRRefD22_9x_0)</f>
        <v>3453.76</v>
      </c>
      <c r="E49" s="1"/>
      <c r="F49" s="5">
        <f t="shared" ref="F49:F56" si="24">IF(D$12=0,0,D49/D$12)</f>
        <v>0</v>
      </c>
      <c r="G49" s="1"/>
      <c r="H49" s="1">
        <f>SUM(OSRRefH22_9x_0)</f>
        <v>0</v>
      </c>
      <c r="I49" s="1"/>
      <c r="J49" s="5">
        <f t="shared" ref="J49:J56" si="25">IF(H$12=0,0,H49/H$12)</f>
        <v>0</v>
      </c>
      <c r="K49" s="1"/>
      <c r="L49" s="1">
        <f t="shared" ref="L49:L56" si="26">+D49-H49</f>
        <v>3453.76</v>
      </c>
      <c r="M49" s="1"/>
      <c r="N49" s="5">
        <f t="shared" ref="N49:N56" si="27">IF(H49=0,0,L49/H49)</f>
        <v>0</v>
      </c>
      <c r="O49" s="13"/>
      <c r="P49" s="1">
        <f>SUM(OSRRefP22_9x_0)</f>
        <v>7167.07</v>
      </c>
      <c r="Q49" s="1"/>
      <c r="R49" s="5">
        <f t="shared" ref="R49:R56" si="28">IF(P$12=0,0,P49/P$12)</f>
        <v>0</v>
      </c>
      <c r="S49" s="1"/>
      <c r="T49" s="1">
        <f>SUM(OSRRefT22_9x_0)</f>
        <v>1982.45</v>
      </c>
      <c r="U49" s="1"/>
      <c r="V49" s="5">
        <f t="shared" ref="V49:V56" si="29">IF(T$12=0,0,T49/T$12)</f>
        <v>0</v>
      </c>
      <c r="W49" s="1"/>
      <c r="X49" s="1">
        <f t="shared" ref="X49:X56" si="30">+P49-T49</f>
        <v>5184.62</v>
      </c>
      <c r="Y49" s="1"/>
      <c r="Z49" s="5">
        <f t="shared" ref="Z49:Z56" si="31">IF(T49=0,0,X49/T49)</f>
        <v>2.6152588968195918</v>
      </c>
    </row>
    <row r="50" spans="1:26" s="24" customFormat="1" hidden="1" outlineLevel="2" x14ac:dyDescent="0.25">
      <c r="A50" s="26"/>
      <c r="B50" s="11" t="str">
        <f>CONCATENATE("          ", "6281", " - ", "STORAGE FEE")</f>
        <v xml:space="preserve">          6281 - STORAGE FEE</v>
      </c>
      <c r="C50" s="11"/>
      <c r="D50" s="6">
        <v>3453.76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3453.76</v>
      </c>
      <c r="M50" s="2"/>
      <c r="N50" s="7">
        <f t="shared" si="27"/>
        <v>0</v>
      </c>
      <c r="O50" s="11"/>
      <c r="P50" s="6">
        <v>7167.07</v>
      </c>
      <c r="Q50" s="2"/>
      <c r="R50" s="7">
        <f t="shared" si="28"/>
        <v>0</v>
      </c>
      <c r="S50" s="2"/>
      <c r="T50" s="6">
        <v>1982.45</v>
      </c>
      <c r="U50" s="2"/>
      <c r="V50" s="7">
        <f t="shared" si="29"/>
        <v>0</v>
      </c>
      <c r="W50" s="2"/>
      <c r="X50" s="6">
        <f t="shared" si="30"/>
        <v>5184.62</v>
      </c>
      <c r="Y50" s="2"/>
      <c r="Z50" s="7">
        <f t="shared" si="31"/>
        <v>2.6152588968195918</v>
      </c>
    </row>
    <row r="51" spans="1:26" s="27" customFormat="1" outlineLevel="1" collapsed="1" x14ac:dyDescent="0.25">
      <c r="A51" s="25"/>
      <c r="B51" s="13" t="str">
        <f>CONCATENATE("     ","Subscriptions &amp; Dues                              ")</f>
        <v xml:space="preserve">     Subscriptions &amp; Dues                              </v>
      </c>
      <c r="C51" s="13"/>
      <c r="D51" s="1">
        <f>SUM(OSRRefD22_10x_0)</f>
        <v>0</v>
      </c>
      <c r="E51" s="1"/>
      <c r="F51" s="5">
        <f t="shared" si="24"/>
        <v>0</v>
      </c>
      <c r="G51" s="1"/>
      <c r="H51" s="1">
        <f>SUM(OSRRefH22_10x_0)</f>
        <v>0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3"/>
      <c r="P51" s="1">
        <f>SUM(OSRRefP22_10x_0)</f>
        <v>39</v>
      </c>
      <c r="Q51" s="1"/>
      <c r="R51" s="5">
        <f t="shared" si="28"/>
        <v>0</v>
      </c>
      <c r="S51" s="1"/>
      <c r="T51" s="1">
        <f>SUM(OSRRefT22_10x_0)</f>
        <v>0</v>
      </c>
      <c r="U51" s="1"/>
      <c r="V51" s="5">
        <f t="shared" si="29"/>
        <v>0</v>
      </c>
      <c r="W51" s="1"/>
      <c r="X51" s="1">
        <f t="shared" si="30"/>
        <v>39</v>
      </c>
      <c r="Y51" s="1"/>
      <c r="Z51" s="5">
        <f t="shared" si="31"/>
        <v>0</v>
      </c>
    </row>
    <row r="52" spans="1:26" s="24" customFormat="1" hidden="1" outlineLevel="2" x14ac:dyDescent="0.25">
      <c r="A52" s="26"/>
      <c r="B52" s="11" t="str">
        <f>CONCATENATE("          ", "6258", " - ", "MEMBERSHIP DUES")</f>
        <v xml:space="preserve">          6258 - MEMBERSHIP DUES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>
        <v>39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39</v>
      </c>
      <c r="Y52" s="2"/>
      <c r="Z52" s="7">
        <f t="shared" si="31"/>
        <v>0</v>
      </c>
    </row>
    <row r="53" spans="1:26" s="27" customFormat="1" outlineLevel="1" collapsed="1" x14ac:dyDescent="0.25">
      <c r="A53" s="25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SUM(OSRRefD22_11x_0)</f>
        <v>388.66</v>
      </c>
      <c r="E53" s="1"/>
      <c r="F53" s="5">
        <f t="shared" si="24"/>
        <v>0</v>
      </c>
      <c r="G53" s="1"/>
      <c r="H53" s="1">
        <f>SUM(OSRRefH22_11x_0)</f>
        <v>2546.9</v>
      </c>
      <c r="I53" s="1"/>
      <c r="J53" s="5">
        <f t="shared" si="25"/>
        <v>0</v>
      </c>
      <c r="K53" s="1"/>
      <c r="L53" s="1">
        <f t="shared" si="26"/>
        <v>-2158.2400000000002</v>
      </c>
      <c r="M53" s="1"/>
      <c r="N53" s="5">
        <f t="shared" si="27"/>
        <v>-0.84739879853940092</v>
      </c>
      <c r="O53" s="13"/>
      <c r="P53" s="1">
        <f>SUM(OSRRefP22_11x_0)</f>
        <v>2607.89</v>
      </c>
      <c r="Q53" s="1"/>
      <c r="R53" s="5">
        <f t="shared" si="28"/>
        <v>0</v>
      </c>
      <c r="S53" s="1"/>
      <c r="T53" s="1">
        <f>SUM(OSRRefT22_11x_0)</f>
        <v>3074.12</v>
      </c>
      <c r="U53" s="1"/>
      <c r="V53" s="5">
        <f t="shared" si="29"/>
        <v>0</v>
      </c>
      <c r="W53" s="1"/>
      <c r="X53" s="1">
        <f t="shared" si="30"/>
        <v>-466.23</v>
      </c>
      <c r="Y53" s="1"/>
      <c r="Z53" s="5">
        <f t="shared" si="31"/>
        <v>-0.15166291491548803</v>
      </c>
    </row>
    <row r="54" spans="1:26" s="24" customFormat="1" hidden="1" outlineLevel="2" x14ac:dyDescent="0.25">
      <c r="A54" s="26"/>
      <c r="B54" s="11" t="str">
        <f>CONCATENATE("          ", "6234", " - ", "EXPENDABLE SUPPLIES &amp; EQUIPMEN")</f>
        <v xml:space="preserve">          6234 - EXPENDABLE SUPPLIES &amp; EQUIPMEN</v>
      </c>
      <c r="C54" s="11"/>
      <c r="D54" s="6"/>
      <c r="E54" s="2"/>
      <c r="F54" s="7">
        <f t="shared" si="24"/>
        <v>0</v>
      </c>
      <c r="G54" s="2"/>
      <c r="H54" s="6">
        <v>2355.94</v>
      </c>
      <c r="I54" s="2"/>
      <c r="J54" s="7">
        <f t="shared" si="25"/>
        <v>0</v>
      </c>
      <c r="K54" s="2"/>
      <c r="L54" s="6">
        <f t="shared" si="26"/>
        <v>-2355.94</v>
      </c>
      <c r="M54" s="2"/>
      <c r="N54" s="7">
        <f t="shared" si="27"/>
        <v>-1</v>
      </c>
      <c r="O54" s="11"/>
      <c r="P54" s="6"/>
      <c r="Q54" s="2"/>
      <c r="R54" s="7">
        <f t="shared" si="28"/>
        <v>0</v>
      </c>
      <c r="S54" s="2"/>
      <c r="T54" s="6">
        <v>2355.94</v>
      </c>
      <c r="U54" s="2"/>
      <c r="V54" s="7">
        <f t="shared" si="29"/>
        <v>0</v>
      </c>
      <c r="W54" s="2"/>
      <c r="X54" s="6">
        <f t="shared" si="30"/>
        <v>-2355.94</v>
      </c>
      <c r="Y54" s="2"/>
      <c r="Z54" s="7">
        <f t="shared" si="31"/>
        <v>-1</v>
      </c>
    </row>
    <row r="55" spans="1:26" s="24" customFormat="1" hidden="1" outlineLevel="2" x14ac:dyDescent="0.25">
      <c r="A55" s="26"/>
      <c r="B55" s="11" t="str">
        <f>CONCATENATE("          ", "6241", " - ", "OFFICE EXPENSE")</f>
        <v xml:space="preserve">          6241 - OFFICE EXPENSE</v>
      </c>
      <c r="C55" s="11"/>
      <c r="D55" s="6">
        <v>387.25</v>
      </c>
      <c r="E55" s="2"/>
      <c r="F55" s="7">
        <f t="shared" si="24"/>
        <v>0</v>
      </c>
      <c r="G55" s="2"/>
      <c r="H55" s="6">
        <v>190.96</v>
      </c>
      <c r="I55" s="2"/>
      <c r="J55" s="7">
        <f t="shared" si="25"/>
        <v>0</v>
      </c>
      <c r="K55" s="2"/>
      <c r="L55" s="6">
        <f t="shared" si="26"/>
        <v>196.29</v>
      </c>
      <c r="M55" s="2"/>
      <c r="N55" s="7">
        <f t="shared" si="27"/>
        <v>1.0279116045245076</v>
      </c>
      <c r="O55" s="11"/>
      <c r="P55" s="6">
        <v>1944.98</v>
      </c>
      <c r="Q55" s="2"/>
      <c r="R55" s="7">
        <f t="shared" si="28"/>
        <v>0</v>
      </c>
      <c r="S55" s="2"/>
      <c r="T55" s="6">
        <v>718.18</v>
      </c>
      <c r="U55" s="2"/>
      <c r="V55" s="7">
        <f t="shared" si="29"/>
        <v>0</v>
      </c>
      <c r="W55" s="2"/>
      <c r="X55" s="6">
        <f t="shared" si="30"/>
        <v>1226.8000000000002</v>
      </c>
      <c r="Y55" s="2"/>
      <c r="Z55" s="7">
        <f t="shared" si="31"/>
        <v>1.7082068562198895</v>
      </c>
    </row>
    <row r="56" spans="1:26" s="24" customFormat="1" hidden="1" outlineLevel="2" x14ac:dyDescent="0.25">
      <c r="A56" s="26"/>
      <c r="B56" s="11" t="str">
        <f>CONCATENATE("          ", "6245", " - ", "PRINTING")</f>
        <v xml:space="preserve">          6245 - PRINTING</v>
      </c>
      <c r="C56" s="11"/>
      <c r="D56" s="6">
        <v>1.41</v>
      </c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1.41</v>
      </c>
      <c r="M56" s="2"/>
      <c r="N56" s="7">
        <f t="shared" si="27"/>
        <v>0</v>
      </c>
      <c r="O56" s="11"/>
      <c r="P56" s="6">
        <v>662.91</v>
      </c>
      <c r="Q56" s="2"/>
      <c r="R56" s="7">
        <f t="shared" si="28"/>
        <v>0</v>
      </c>
      <c r="S56" s="2"/>
      <c r="T56" s="6"/>
      <c r="U56" s="2"/>
      <c r="V56" s="7">
        <f t="shared" si="29"/>
        <v>0</v>
      </c>
      <c r="W56" s="2"/>
      <c r="X56" s="6">
        <f t="shared" si="30"/>
        <v>662.91</v>
      </c>
      <c r="Y56" s="2"/>
      <c r="Z56" s="7">
        <f t="shared" si="31"/>
        <v>0</v>
      </c>
    </row>
    <row r="57" spans="1:26" s="27" customFormat="1" outlineLevel="1" collapsed="1" x14ac:dyDescent="0.25">
      <c r="A57" s="25"/>
      <c r="B57" s="13" t="str">
        <f>CONCATENATE("     ","Telephone/Data Lines                              ")</f>
        <v xml:space="preserve">     Telephone/Data Lines                              </v>
      </c>
      <c r="C57" s="13"/>
      <c r="D57" s="1">
        <f>SUM(OSRRefD22_12x_0)</f>
        <v>443.08</v>
      </c>
      <c r="E57" s="1"/>
      <c r="F57" s="5">
        <f t="shared" ref="F57:F60" si="32">IF(D$12=0,0,D57/D$12)</f>
        <v>0</v>
      </c>
      <c r="G57" s="1"/>
      <c r="H57" s="1">
        <f>SUM(OSRRefH22_12x_0)</f>
        <v>371.9</v>
      </c>
      <c r="I57" s="1"/>
      <c r="J57" s="5">
        <f t="shared" ref="J57:J60" si="33">IF(H$12=0,0,H57/H$12)</f>
        <v>0</v>
      </c>
      <c r="K57" s="1"/>
      <c r="L57" s="1">
        <f t="shared" ref="L57:L60" si="34">+D57-H57</f>
        <v>71.180000000000007</v>
      </c>
      <c r="M57" s="1"/>
      <c r="N57" s="5">
        <f t="shared" ref="N57:N60" si="35">IF(H57=0,0,L57/H57)</f>
        <v>0.19139553643452545</v>
      </c>
      <c r="O57" s="13"/>
      <c r="P57" s="1">
        <f>SUM(OSRRefP22_12x_0)</f>
        <v>1560.23</v>
      </c>
      <c r="Q57" s="1"/>
      <c r="R57" s="5">
        <f t="shared" ref="R57:R60" si="36">IF(P$12=0,0,P57/P$12)</f>
        <v>0</v>
      </c>
      <c r="S57" s="1"/>
      <c r="T57" s="1">
        <f>SUM(OSRRefT22_12x_0)</f>
        <v>1471.2</v>
      </c>
      <c r="U57" s="1"/>
      <c r="V57" s="5">
        <f t="shared" ref="V57:V60" si="37">IF(T$12=0,0,T57/T$12)</f>
        <v>0</v>
      </c>
      <c r="W57" s="1"/>
      <c r="X57" s="1">
        <f t="shared" ref="X57:X60" si="38">+P57-T57</f>
        <v>89.029999999999973</v>
      </c>
      <c r="Y57" s="1"/>
      <c r="Z57" s="5">
        <f t="shared" ref="Z57:Z60" si="39">IF(T57=0,0,X57/T57)</f>
        <v>6.0515225666122871E-2</v>
      </c>
    </row>
    <row r="58" spans="1:26" s="24" customFormat="1" hidden="1" outlineLevel="2" x14ac:dyDescent="0.25">
      <c r="A58" s="26"/>
      <c r="B58" s="11" t="str">
        <f>CONCATENATE("          ", "6309", " - ", "TELEPHONE")</f>
        <v xml:space="preserve">          6309 - TELEPHONE</v>
      </c>
      <c r="C58" s="11"/>
      <c r="D58" s="6">
        <v>443.08</v>
      </c>
      <c r="E58" s="2"/>
      <c r="F58" s="7">
        <f t="shared" si="32"/>
        <v>0</v>
      </c>
      <c r="G58" s="2"/>
      <c r="H58" s="6">
        <v>371.9</v>
      </c>
      <c r="I58" s="2"/>
      <c r="J58" s="7">
        <f t="shared" si="33"/>
        <v>0</v>
      </c>
      <c r="K58" s="2"/>
      <c r="L58" s="6">
        <f t="shared" si="34"/>
        <v>71.180000000000007</v>
      </c>
      <c r="M58" s="2"/>
      <c r="N58" s="7">
        <f t="shared" si="35"/>
        <v>0.19139553643452545</v>
      </c>
      <c r="O58" s="11"/>
      <c r="P58" s="6">
        <v>1560.23</v>
      </c>
      <c r="Q58" s="2"/>
      <c r="R58" s="7">
        <f t="shared" si="36"/>
        <v>0</v>
      </c>
      <c r="S58" s="2"/>
      <c r="T58" s="6">
        <v>1471.2</v>
      </c>
      <c r="U58" s="2"/>
      <c r="V58" s="7">
        <f t="shared" si="37"/>
        <v>0</v>
      </c>
      <c r="W58" s="2"/>
      <c r="X58" s="6">
        <f t="shared" si="38"/>
        <v>89.029999999999973</v>
      </c>
      <c r="Y58" s="2"/>
      <c r="Z58" s="7">
        <f t="shared" si="39"/>
        <v>6.0515225666122871E-2</v>
      </c>
    </row>
    <row r="59" spans="1:26" s="27" customFormat="1" outlineLevel="1" collapsed="1" x14ac:dyDescent="0.25">
      <c r="A59" s="25"/>
      <c r="B59" s="13" t="str">
        <f>CONCATENATE("     ","Training                                          ")</f>
        <v xml:space="preserve">     Training                                          </v>
      </c>
      <c r="C59" s="13"/>
      <c r="D59" s="1">
        <f>SUM(OSRRefD22_13x_0)</f>
        <v>20.53</v>
      </c>
      <c r="E59" s="1"/>
      <c r="F59" s="5">
        <f t="shared" si="32"/>
        <v>0</v>
      </c>
      <c r="G59" s="1"/>
      <c r="H59" s="1">
        <f>SUM(OSRRefH22_13x_0)</f>
        <v>595</v>
      </c>
      <c r="I59" s="1"/>
      <c r="J59" s="5">
        <f t="shared" si="33"/>
        <v>0</v>
      </c>
      <c r="K59" s="1"/>
      <c r="L59" s="1">
        <f t="shared" si="34"/>
        <v>-574.47</v>
      </c>
      <c r="M59" s="1"/>
      <c r="N59" s="5">
        <f t="shared" si="35"/>
        <v>-0.96549579831932775</v>
      </c>
      <c r="O59" s="13"/>
      <c r="P59" s="1">
        <f>SUM(OSRRefP22_13x_0)</f>
        <v>20.53</v>
      </c>
      <c r="Q59" s="1"/>
      <c r="R59" s="5">
        <f t="shared" si="36"/>
        <v>0</v>
      </c>
      <c r="S59" s="1"/>
      <c r="T59" s="1">
        <f>SUM(OSRRefT22_13x_0)</f>
        <v>3252.25</v>
      </c>
      <c r="U59" s="1"/>
      <c r="V59" s="5">
        <f t="shared" si="37"/>
        <v>0</v>
      </c>
      <c r="W59" s="1"/>
      <c r="X59" s="1">
        <f t="shared" si="38"/>
        <v>-3231.72</v>
      </c>
      <c r="Y59" s="1"/>
      <c r="Z59" s="5">
        <f t="shared" si="39"/>
        <v>-0.99368744715197166</v>
      </c>
    </row>
    <row r="60" spans="1:26" s="24" customFormat="1" hidden="1" outlineLevel="2" x14ac:dyDescent="0.25">
      <c r="A60" s="26"/>
      <c r="B60" s="11" t="str">
        <f>CONCATENATE("          ", "6376", " - ", "TRAINING")</f>
        <v xml:space="preserve">          6376 - TRAINING</v>
      </c>
      <c r="C60" s="11"/>
      <c r="D60" s="6">
        <v>20.53</v>
      </c>
      <c r="E60" s="2"/>
      <c r="F60" s="7">
        <f t="shared" si="32"/>
        <v>0</v>
      </c>
      <c r="G60" s="2"/>
      <c r="H60" s="6">
        <v>595</v>
      </c>
      <c r="I60" s="2"/>
      <c r="J60" s="7">
        <f t="shared" si="33"/>
        <v>0</v>
      </c>
      <c r="K60" s="2"/>
      <c r="L60" s="6">
        <f t="shared" si="34"/>
        <v>-574.47</v>
      </c>
      <c r="M60" s="2"/>
      <c r="N60" s="7">
        <f t="shared" si="35"/>
        <v>-0.96549579831932775</v>
      </c>
      <c r="O60" s="11"/>
      <c r="P60" s="6">
        <v>20.53</v>
      </c>
      <c r="Q60" s="2"/>
      <c r="R60" s="7">
        <f t="shared" si="36"/>
        <v>0</v>
      </c>
      <c r="S60" s="2"/>
      <c r="T60" s="6">
        <v>3252.25</v>
      </c>
      <c r="U60" s="2"/>
      <c r="V60" s="7">
        <f t="shared" si="37"/>
        <v>0</v>
      </c>
      <c r="W60" s="2"/>
      <c r="X60" s="6">
        <f t="shared" si="38"/>
        <v>-3231.72</v>
      </c>
      <c r="Y60" s="2"/>
      <c r="Z60" s="7">
        <f t="shared" si="39"/>
        <v>-0.99368744715197166</v>
      </c>
    </row>
    <row r="61" spans="1:26" s="55" customFormat="1" x14ac:dyDescent="0.25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9" t="s">
        <v>0</v>
      </c>
      <c r="C62" s="10"/>
      <c r="D62" s="4">
        <f>SUM(0)</f>
        <v>0</v>
      </c>
      <c r="E62" s="4"/>
      <c r="F62" s="12">
        <f>IF(D$12=0,0,D62/D$12)</f>
        <v>0</v>
      </c>
      <c r="G62" s="4"/>
      <c r="H62" s="4">
        <f>SUM(0)</f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>
        <f>SUM(0)</f>
        <v>0</v>
      </c>
      <c r="Q62" s="4"/>
      <c r="R62" s="12">
        <f>IF(P$12=0,0,P62/P$12)</f>
        <v>0</v>
      </c>
      <c r="S62" s="4"/>
      <c r="T62" s="4">
        <f>SUM(0)</f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8" t="s">
        <v>3</v>
      </c>
      <c r="C64" s="28"/>
      <c r="D64" s="21">
        <f>+D16-D18+D62</f>
        <v>-64025.77</v>
      </c>
      <c r="E64" s="14"/>
      <c r="F64" s="22">
        <f>IF(D$12=0,0,D64/D$12)</f>
        <v>0</v>
      </c>
      <c r="G64" s="14"/>
      <c r="H64" s="21">
        <f>+H16-H18+H62</f>
        <v>-66301.319999999992</v>
      </c>
      <c r="I64" s="14"/>
      <c r="J64" s="22">
        <f>IF(H$12=0,0,H64/H$12)</f>
        <v>0</v>
      </c>
      <c r="K64" s="16"/>
      <c r="L64" s="21">
        <f>+D64-H64</f>
        <v>2275.5499999999956</v>
      </c>
      <c r="M64" s="16"/>
      <c r="N64" s="22">
        <f>IF(H64=0,0,L64/H64)</f>
        <v>-3.4321337795386216E-2</v>
      </c>
      <c r="O64" s="29"/>
      <c r="P64" s="21">
        <f>+P16-P18+P62</f>
        <v>-214294.67999999996</v>
      </c>
      <c r="Q64" s="14"/>
      <c r="R64" s="22">
        <f>IF(P$12=0,0,P64/P$12)</f>
        <v>0</v>
      </c>
      <c r="S64" s="14"/>
      <c r="T64" s="21">
        <f>+T16-T18+T62</f>
        <v>-206092.77</v>
      </c>
      <c r="U64" s="14"/>
      <c r="V64" s="22">
        <f>IF(T$12=0,0,T64/T$12)</f>
        <v>0</v>
      </c>
      <c r="W64" s="16"/>
      <c r="X64" s="21">
        <f>+P64-T64</f>
        <v>-8201.9099999999744</v>
      </c>
      <c r="Y64" s="16"/>
      <c r="Z64" s="22">
        <f>IF(T64=0,0,X64/T64)</f>
        <v>3.9797174835390754E-2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13</v>
      </c>
      <c r="C66" s="10"/>
      <c r="D66" s="4"/>
      <c r="E66" s="4"/>
      <c r="F66" s="12">
        <f>IF(D$12=0,0,D66/D$12)</f>
        <v>0</v>
      </c>
      <c r="G66" s="4"/>
      <c r="H66" s="4"/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/>
      <c r="Q66" s="4"/>
      <c r="R66" s="12">
        <f>IF(P$12=0,0,P66/P$12)</f>
        <v>0</v>
      </c>
      <c r="S66" s="4"/>
      <c r="T66" s="4"/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4</v>
      </c>
      <c r="C68" s="28"/>
      <c r="D68" s="31">
        <f>+D64-D66</f>
        <v>-64025.77</v>
      </c>
      <c r="E68" s="14"/>
      <c r="F68" s="34">
        <f>IF(D$12=0,0,D68/D$12)</f>
        <v>0</v>
      </c>
      <c r="G68" s="14"/>
      <c r="H68" s="31">
        <f>+H64-H66</f>
        <v>-66301.319999999992</v>
      </c>
      <c r="I68" s="14"/>
      <c r="J68" s="34">
        <f>IF(H$12=0,0,H68/H$12)</f>
        <v>0</v>
      </c>
      <c r="K68" s="16"/>
      <c r="L68" s="31">
        <f>D68-H68</f>
        <v>2275.5499999999956</v>
      </c>
      <c r="M68" s="16"/>
      <c r="N68" s="34">
        <f>IF(H68=0,0,L68/H68)</f>
        <v>-3.4321337795386216E-2</v>
      </c>
      <c r="O68" s="29"/>
      <c r="P68" s="31">
        <f>+P64-P66</f>
        <v>-214294.67999999996</v>
      </c>
      <c r="Q68" s="14"/>
      <c r="R68" s="34">
        <f>IF(P$12=0,0,P68/P$12)</f>
        <v>0</v>
      </c>
      <c r="S68" s="14"/>
      <c r="T68" s="31">
        <f>+T64-T66</f>
        <v>-206092.77</v>
      </c>
      <c r="U68" s="14"/>
      <c r="V68" s="34">
        <f>IF(T$12=0,0,T68/T$12)</f>
        <v>0</v>
      </c>
      <c r="W68" s="16"/>
      <c r="X68" s="31">
        <f>P68-T68</f>
        <v>-8201.9099999999744</v>
      </c>
      <c r="Y68" s="16"/>
      <c r="Z68" s="34">
        <f>IF(T68=0,0,X68/T68)</f>
        <v>3.9797174835390754E-2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5</v>
      </c>
      <c r="C71" s="28"/>
      <c r="D71" s="36">
        <f>SUM(D68:D70)</f>
        <v>-64025.77</v>
      </c>
      <c r="E71" s="14"/>
      <c r="F71" s="33">
        <f>IF(D$12=0,0,D71/D$12)</f>
        <v>0</v>
      </c>
      <c r="G71" s="14"/>
      <c r="H71" s="36">
        <f>SUM(H68:H70)</f>
        <v>-66301.319999999992</v>
      </c>
      <c r="I71" s="14"/>
      <c r="J71" s="33">
        <f>IF(H$12=0,0,H71/H$12)</f>
        <v>0</v>
      </c>
      <c r="K71" s="16"/>
      <c r="L71" s="36">
        <f>+D71-H71</f>
        <v>2275.5499999999956</v>
      </c>
      <c r="M71" s="16"/>
      <c r="N71" s="33">
        <f>IF(H71=0,0,L71/H71)</f>
        <v>-3.4321337795386216E-2</v>
      </c>
      <c r="O71" s="29"/>
      <c r="P71" s="36">
        <f>SUM(P68:P70)</f>
        <v>-214294.67999999996</v>
      </c>
      <c r="Q71" s="14"/>
      <c r="R71" s="33">
        <f>IF(P$12=0,0,P71/P$12)</f>
        <v>0</v>
      </c>
      <c r="S71" s="14"/>
      <c r="T71" s="36">
        <f>SUM(T68:T70)</f>
        <v>-206092.77</v>
      </c>
      <c r="U71" s="14"/>
      <c r="V71" s="33">
        <f>IF(T$12=0,0,T71/T$12)</f>
        <v>0</v>
      </c>
      <c r="W71" s="16"/>
      <c r="X71" s="36">
        <f>+P71-T71</f>
        <v>-8201.9099999999744</v>
      </c>
      <c r="Y71" s="16"/>
      <c r="Z71" s="33">
        <f>IF(T71=0,0,X71/T71)</f>
        <v>3.9797174835390754E-2</v>
      </c>
    </row>
    <row r="72" spans="1:26" ht="15.75" thickTop="1" x14ac:dyDescent="0.25">
      <c r="A72" s="9"/>
      <c r="C72" s="9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61">
        <v>43791.355064814816</v>
      </c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6" t="s">
        <v>313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7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","203", " - ", "Human Resources")</f>
        <v>Department 203 - Human Resources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87993.24</v>
      </c>
      <c r="E18" s="20"/>
      <c r="F18" s="35">
        <f t="shared" ref="F18:F29" si="0">IF(D$12=0,0,D18/D$12)</f>
        <v>0</v>
      </c>
      <c r="G18" s="20"/>
      <c r="H18" s="20">
        <f>SUM(OSRRefH22x_0)</f>
        <v>71287.26999999999</v>
      </c>
      <c r="I18" s="20"/>
      <c r="J18" s="35">
        <f t="shared" ref="J18:J29" si="1">IF(H$12=0,0,H18/H$12)</f>
        <v>0</v>
      </c>
      <c r="K18" s="4"/>
      <c r="L18" s="20">
        <f t="shared" ref="L18:L29" si="2">+D18-H18</f>
        <v>16705.970000000016</v>
      </c>
      <c r="M18" s="4"/>
      <c r="N18" s="35">
        <f t="shared" ref="N18:N29" si="3">IF(H18=0,0,L18/H18)</f>
        <v>0.23434717025915031</v>
      </c>
      <c r="O18" s="10"/>
      <c r="P18" s="20">
        <f>SUM(OSRRefP22x_0)</f>
        <v>289587.59000000003</v>
      </c>
      <c r="Q18" s="20"/>
      <c r="R18" s="35">
        <f t="shared" ref="R18:R29" si="4">IF(P$12=0,0,P18/P$12)</f>
        <v>0</v>
      </c>
      <c r="S18" s="20"/>
      <c r="T18" s="20">
        <f>SUM(OSRRefT22x_0)</f>
        <v>236146.71000000002</v>
      </c>
      <c r="U18" s="20"/>
      <c r="V18" s="35">
        <f t="shared" ref="V18:V29" si="5">IF(T$12=0,0,T18/T$12)</f>
        <v>0</v>
      </c>
      <c r="W18" s="4"/>
      <c r="X18" s="20">
        <f t="shared" ref="X18:X29" si="6">+P18-T18</f>
        <v>53440.880000000005</v>
      </c>
      <c r="Y18" s="4"/>
      <c r="Z18" s="35">
        <f t="shared" ref="Z18:Z29" si="7">IF(T18=0,0,X18/T18)</f>
        <v>0.22630372449398087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16253.940000000002</v>
      </c>
      <c r="E19" s="1"/>
      <c r="F19" s="5">
        <f t="shared" si="0"/>
        <v>0</v>
      </c>
      <c r="G19" s="1"/>
      <c r="H19" s="1">
        <f>SUM(OSRRefH22_0x_0)</f>
        <v>15270.489999999998</v>
      </c>
      <c r="I19" s="1"/>
      <c r="J19" s="5">
        <f t="shared" si="1"/>
        <v>0</v>
      </c>
      <c r="K19" s="1"/>
      <c r="L19" s="1">
        <f t="shared" si="2"/>
        <v>983.45000000000437</v>
      </c>
      <c r="M19" s="1"/>
      <c r="N19" s="5">
        <f t="shared" si="3"/>
        <v>6.4401993649189027E-2</v>
      </c>
      <c r="O19" s="13"/>
      <c r="P19" s="1">
        <f>SUM(OSRRefP22_0x_0)</f>
        <v>57380.279999999984</v>
      </c>
      <c r="Q19" s="1"/>
      <c r="R19" s="5">
        <f t="shared" si="4"/>
        <v>0</v>
      </c>
      <c r="S19" s="1"/>
      <c r="T19" s="1">
        <f>SUM(OSRRefT22_0x_0)</f>
        <v>44654.100000000006</v>
      </c>
      <c r="U19" s="1"/>
      <c r="V19" s="5">
        <f t="shared" si="5"/>
        <v>0</v>
      </c>
      <c r="W19" s="1"/>
      <c r="X19" s="1">
        <f t="shared" si="6"/>
        <v>12726.179999999978</v>
      </c>
      <c r="Y19" s="1"/>
      <c r="Z19" s="5">
        <f t="shared" si="7"/>
        <v>0.28499465894509074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3897.64</v>
      </c>
      <c r="E20" s="2"/>
      <c r="F20" s="7">
        <f t="shared" si="0"/>
        <v>0</v>
      </c>
      <c r="G20" s="2"/>
      <c r="H20" s="6">
        <v>3399.08</v>
      </c>
      <c r="I20" s="2"/>
      <c r="J20" s="7">
        <f t="shared" si="1"/>
        <v>0</v>
      </c>
      <c r="K20" s="2"/>
      <c r="L20" s="6">
        <f t="shared" si="2"/>
        <v>498.55999999999995</v>
      </c>
      <c r="M20" s="2"/>
      <c r="N20" s="7">
        <f t="shared" si="3"/>
        <v>0.14667498264236203</v>
      </c>
      <c r="O20" s="11"/>
      <c r="P20" s="6">
        <v>9118.1299999999992</v>
      </c>
      <c r="Q20" s="2"/>
      <c r="R20" s="7">
        <f t="shared" si="4"/>
        <v>0</v>
      </c>
      <c r="S20" s="2"/>
      <c r="T20" s="6">
        <v>8170.84</v>
      </c>
      <c r="U20" s="2"/>
      <c r="V20" s="7">
        <f t="shared" si="5"/>
        <v>0</v>
      </c>
      <c r="W20" s="2"/>
      <c r="X20" s="6">
        <f t="shared" si="6"/>
        <v>947.28999999999905</v>
      </c>
      <c r="Y20" s="2"/>
      <c r="Z20" s="7">
        <f t="shared" si="7"/>
        <v>0.11593544849733919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3.57</v>
      </c>
      <c r="E21" s="2"/>
      <c r="F21" s="7">
        <f t="shared" si="0"/>
        <v>0</v>
      </c>
      <c r="G21" s="2"/>
      <c r="H21" s="6">
        <v>169.27</v>
      </c>
      <c r="I21" s="2"/>
      <c r="J21" s="7">
        <f t="shared" si="1"/>
        <v>0</v>
      </c>
      <c r="K21" s="2"/>
      <c r="L21" s="6">
        <f t="shared" si="2"/>
        <v>-165.70000000000002</v>
      </c>
      <c r="M21" s="2"/>
      <c r="N21" s="7">
        <f t="shared" si="3"/>
        <v>-0.97890943463106284</v>
      </c>
      <c r="O21" s="11"/>
      <c r="P21" s="6">
        <v>234.94</v>
      </c>
      <c r="Q21" s="2"/>
      <c r="R21" s="7">
        <f t="shared" si="4"/>
        <v>0</v>
      </c>
      <c r="S21" s="2"/>
      <c r="T21" s="6">
        <v>336.52</v>
      </c>
      <c r="U21" s="2"/>
      <c r="V21" s="7">
        <f t="shared" si="5"/>
        <v>0</v>
      </c>
      <c r="W21" s="2"/>
      <c r="X21" s="6">
        <f t="shared" si="6"/>
        <v>-101.57999999999998</v>
      </c>
      <c r="Y21" s="2"/>
      <c r="Z21" s="7">
        <f t="shared" si="7"/>
        <v>-0.30185427314869839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5861.63</v>
      </c>
      <c r="E22" s="2"/>
      <c r="F22" s="7">
        <f t="shared" si="0"/>
        <v>0</v>
      </c>
      <c r="G22" s="2"/>
      <c r="H22" s="6">
        <v>6224.81</v>
      </c>
      <c r="I22" s="2"/>
      <c r="J22" s="7">
        <f t="shared" si="1"/>
        <v>0</v>
      </c>
      <c r="K22" s="2"/>
      <c r="L22" s="6">
        <f t="shared" si="2"/>
        <v>-363.18000000000029</v>
      </c>
      <c r="M22" s="2"/>
      <c r="N22" s="7">
        <f t="shared" si="3"/>
        <v>-5.8343949453878954E-2</v>
      </c>
      <c r="O22" s="11"/>
      <c r="P22" s="6">
        <v>23447.27</v>
      </c>
      <c r="Q22" s="2"/>
      <c r="R22" s="7">
        <f t="shared" si="4"/>
        <v>0</v>
      </c>
      <c r="S22" s="2"/>
      <c r="T22" s="6">
        <v>20283.62</v>
      </c>
      <c r="U22" s="2"/>
      <c r="V22" s="7">
        <f t="shared" si="5"/>
        <v>0</v>
      </c>
      <c r="W22" s="2"/>
      <c r="X22" s="6">
        <f t="shared" si="6"/>
        <v>3163.6500000000015</v>
      </c>
      <c r="Y22" s="2"/>
      <c r="Z22" s="7">
        <f t="shared" si="7"/>
        <v>0.15597067978989951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101.43</v>
      </c>
      <c r="E23" s="2"/>
      <c r="F23" s="7">
        <f t="shared" si="0"/>
        <v>0</v>
      </c>
      <c r="G23" s="2"/>
      <c r="H23" s="6">
        <v>91.93</v>
      </c>
      <c r="I23" s="2"/>
      <c r="J23" s="7">
        <f t="shared" si="1"/>
        <v>0</v>
      </c>
      <c r="K23" s="2"/>
      <c r="L23" s="6">
        <f t="shared" si="2"/>
        <v>9.5</v>
      </c>
      <c r="M23" s="2"/>
      <c r="N23" s="7">
        <f t="shared" si="3"/>
        <v>0.10333949744370716</v>
      </c>
      <c r="O23" s="11"/>
      <c r="P23" s="6">
        <v>278.36</v>
      </c>
      <c r="Q23" s="2"/>
      <c r="R23" s="7">
        <f t="shared" si="4"/>
        <v>0</v>
      </c>
      <c r="S23" s="2"/>
      <c r="T23" s="6">
        <v>282.24</v>
      </c>
      <c r="U23" s="2"/>
      <c r="V23" s="7">
        <f t="shared" si="5"/>
        <v>0</v>
      </c>
      <c r="W23" s="2"/>
      <c r="X23" s="6">
        <f t="shared" si="6"/>
        <v>-3.8799999999999955</v>
      </c>
      <c r="Y23" s="2"/>
      <c r="Z23" s="7">
        <f t="shared" si="7"/>
        <v>-1.3747165532879801E-2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2443.29</v>
      </c>
      <c r="E24" s="2"/>
      <c r="F24" s="7">
        <f t="shared" si="0"/>
        <v>0</v>
      </c>
      <c r="G24" s="2"/>
      <c r="H24" s="6">
        <v>2145.15</v>
      </c>
      <c r="I24" s="2"/>
      <c r="J24" s="7">
        <f t="shared" si="1"/>
        <v>0</v>
      </c>
      <c r="K24" s="2"/>
      <c r="L24" s="6">
        <f t="shared" si="2"/>
        <v>298.13999999999987</v>
      </c>
      <c r="M24" s="2"/>
      <c r="N24" s="7">
        <f t="shared" si="3"/>
        <v>0.13898328788196623</v>
      </c>
      <c r="O24" s="11"/>
      <c r="P24" s="6">
        <v>5201.49</v>
      </c>
      <c r="Q24" s="2"/>
      <c r="R24" s="7">
        <f t="shared" si="4"/>
        <v>0</v>
      </c>
      <c r="S24" s="2"/>
      <c r="T24" s="6">
        <v>4679.66</v>
      </c>
      <c r="U24" s="2"/>
      <c r="V24" s="7">
        <f t="shared" si="5"/>
        <v>0</v>
      </c>
      <c r="W24" s="2"/>
      <c r="X24" s="6">
        <f t="shared" si="6"/>
        <v>521.82999999999993</v>
      </c>
      <c r="Y24" s="2"/>
      <c r="Z24" s="7">
        <f t="shared" si="7"/>
        <v>0.11151023792326792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1971.94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1971.94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480.59</v>
      </c>
      <c r="E26" s="2"/>
      <c r="F26" s="7">
        <f t="shared" si="0"/>
        <v>0</v>
      </c>
      <c r="G26" s="2"/>
      <c r="H26" s="6">
        <v>217.38</v>
      </c>
      <c r="I26" s="2"/>
      <c r="J26" s="7">
        <f t="shared" si="1"/>
        <v>0</v>
      </c>
      <c r="K26" s="2"/>
      <c r="L26" s="6">
        <f t="shared" si="2"/>
        <v>263.20999999999998</v>
      </c>
      <c r="M26" s="2"/>
      <c r="N26" s="7">
        <f t="shared" si="3"/>
        <v>1.2108289631060813</v>
      </c>
      <c r="O26" s="11"/>
      <c r="P26" s="6">
        <v>1979.52</v>
      </c>
      <c r="Q26" s="2"/>
      <c r="R26" s="7">
        <f t="shared" si="4"/>
        <v>0</v>
      </c>
      <c r="S26" s="2"/>
      <c r="T26" s="6">
        <v>980.94</v>
      </c>
      <c r="U26" s="2"/>
      <c r="V26" s="7">
        <f t="shared" si="5"/>
        <v>0</v>
      </c>
      <c r="W26" s="2"/>
      <c r="X26" s="6">
        <f t="shared" si="6"/>
        <v>998.57999999999993</v>
      </c>
      <c r="Y26" s="2"/>
      <c r="Z26" s="7">
        <f t="shared" si="7"/>
        <v>1.0179827512386077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1802.73</v>
      </c>
      <c r="E27" s="2"/>
      <c r="F27" s="7">
        <f t="shared" si="0"/>
        <v>0</v>
      </c>
      <c r="G27" s="2"/>
      <c r="H27" s="6">
        <v>1535.64</v>
      </c>
      <c r="I27" s="2"/>
      <c r="J27" s="7">
        <f t="shared" si="1"/>
        <v>0</v>
      </c>
      <c r="K27" s="2"/>
      <c r="L27" s="6">
        <f t="shared" si="2"/>
        <v>267.08999999999992</v>
      </c>
      <c r="M27" s="2"/>
      <c r="N27" s="7">
        <f t="shared" si="3"/>
        <v>0.17392748300382896</v>
      </c>
      <c r="O27" s="11"/>
      <c r="P27" s="6">
        <v>8606.2000000000007</v>
      </c>
      <c r="Q27" s="2"/>
      <c r="R27" s="7">
        <f t="shared" si="4"/>
        <v>0</v>
      </c>
      <c r="S27" s="2"/>
      <c r="T27" s="6">
        <v>5035.8100000000004</v>
      </c>
      <c r="U27" s="2"/>
      <c r="V27" s="7">
        <f t="shared" si="5"/>
        <v>0</v>
      </c>
      <c r="W27" s="2"/>
      <c r="X27" s="6">
        <f t="shared" si="6"/>
        <v>3570.3900000000003</v>
      </c>
      <c r="Y27" s="2"/>
      <c r="Z27" s="7">
        <f t="shared" si="7"/>
        <v>0.70900014099022801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1288.8599999999999</v>
      </c>
      <c r="E28" s="2"/>
      <c r="F28" s="7">
        <f t="shared" si="0"/>
        <v>0</v>
      </c>
      <c r="G28" s="2"/>
      <c r="H28" s="6">
        <v>1091.55</v>
      </c>
      <c r="I28" s="2"/>
      <c r="J28" s="7">
        <f t="shared" si="1"/>
        <v>0</v>
      </c>
      <c r="K28" s="2"/>
      <c r="L28" s="6">
        <f t="shared" si="2"/>
        <v>197.30999999999995</v>
      </c>
      <c r="M28" s="2"/>
      <c r="N28" s="7">
        <f t="shared" si="3"/>
        <v>0.18076130273464336</v>
      </c>
      <c r="O28" s="11"/>
      <c r="P28" s="6">
        <v>5036.2299999999996</v>
      </c>
      <c r="Q28" s="2"/>
      <c r="R28" s="7">
        <f t="shared" si="4"/>
        <v>0</v>
      </c>
      <c r="S28" s="2"/>
      <c r="T28" s="6">
        <v>3419.91</v>
      </c>
      <c r="U28" s="2"/>
      <c r="V28" s="7">
        <f t="shared" si="5"/>
        <v>0</v>
      </c>
      <c r="W28" s="2"/>
      <c r="X28" s="6">
        <f t="shared" si="6"/>
        <v>1616.3199999999997</v>
      </c>
      <c r="Y28" s="2"/>
      <c r="Z28" s="7">
        <f t="shared" si="7"/>
        <v>0.47262062451935866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374.2</v>
      </c>
      <c r="E29" s="2"/>
      <c r="F29" s="7">
        <f t="shared" si="0"/>
        <v>0</v>
      </c>
      <c r="G29" s="2"/>
      <c r="H29" s="6">
        <v>395.68</v>
      </c>
      <c r="I29" s="2"/>
      <c r="J29" s="7">
        <f t="shared" si="1"/>
        <v>0</v>
      </c>
      <c r="K29" s="2"/>
      <c r="L29" s="6">
        <f t="shared" si="2"/>
        <v>-21.480000000000018</v>
      </c>
      <c r="M29" s="2"/>
      <c r="N29" s="7">
        <f t="shared" si="3"/>
        <v>-5.4286291953093452E-2</v>
      </c>
      <c r="O29" s="11"/>
      <c r="P29" s="6">
        <v>1506.2</v>
      </c>
      <c r="Q29" s="2"/>
      <c r="R29" s="7">
        <f t="shared" si="4"/>
        <v>0</v>
      </c>
      <c r="S29" s="2"/>
      <c r="T29" s="6">
        <v>1464.56</v>
      </c>
      <c r="U29" s="2"/>
      <c r="V29" s="7">
        <f t="shared" si="5"/>
        <v>0</v>
      </c>
      <c r="W29" s="2"/>
      <c r="X29" s="6">
        <f t="shared" si="6"/>
        <v>41.6400000000001</v>
      </c>
      <c r="Y29" s="2"/>
      <c r="Z29" s="7">
        <f t="shared" si="7"/>
        <v>2.8431747419020117E-2</v>
      </c>
    </row>
    <row r="30" spans="1:26" s="27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27948.199999999997</v>
      </c>
      <c r="E30" s="1"/>
      <c r="F30" s="5">
        <f t="shared" ref="F30:F34" si="8">IF(D$12=0,0,D30/D$12)</f>
        <v>0</v>
      </c>
      <c r="G30" s="1"/>
      <c r="H30" s="1">
        <f>SUM(OSRRefH22_1x_0)</f>
        <v>26139.739999999998</v>
      </c>
      <c r="I30" s="1"/>
      <c r="J30" s="5">
        <f t="shared" ref="J30:J34" si="9">IF(H$12=0,0,H30/H$12)</f>
        <v>0</v>
      </c>
      <c r="K30" s="1"/>
      <c r="L30" s="1">
        <f t="shared" ref="L30:L34" si="10">+D30-H30</f>
        <v>1808.4599999999991</v>
      </c>
      <c r="M30" s="1"/>
      <c r="N30" s="5">
        <f t="shared" ref="N30:N34" si="11">IF(H30=0,0,L30/H30)</f>
        <v>6.9184314763651028E-2</v>
      </c>
      <c r="O30" s="13"/>
      <c r="P30" s="1">
        <f>SUM(OSRRefP22_1x_0)</f>
        <v>97909.51999999999</v>
      </c>
      <c r="Q30" s="1"/>
      <c r="R30" s="5">
        <f t="shared" ref="R30:R34" si="12">IF(P$12=0,0,P30/P$12)</f>
        <v>0</v>
      </c>
      <c r="S30" s="1"/>
      <c r="T30" s="1">
        <f>SUM(OSRRefT22_1x_0)</f>
        <v>92966.52</v>
      </c>
      <c r="U30" s="1"/>
      <c r="V30" s="5">
        <f t="shared" ref="V30:V34" si="13">IF(T$12=0,0,T30/T$12)</f>
        <v>0</v>
      </c>
      <c r="W30" s="1"/>
      <c r="X30" s="1">
        <f t="shared" ref="X30:X34" si="14">+P30-T30</f>
        <v>4942.9999999999854</v>
      </c>
      <c r="Y30" s="1"/>
      <c r="Z30" s="5">
        <f t="shared" ref="Z30:Z34" si="15">IF(T30=0,0,X30/T30)</f>
        <v>5.3169678718747192E-2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9894.4599999999991</v>
      </c>
      <c r="E31" s="2"/>
      <c r="F31" s="7">
        <f t="shared" si="8"/>
        <v>0</v>
      </c>
      <c r="G31" s="2"/>
      <c r="H31" s="6">
        <v>9274.27</v>
      </c>
      <c r="I31" s="2"/>
      <c r="J31" s="7">
        <f t="shared" si="9"/>
        <v>0</v>
      </c>
      <c r="K31" s="2"/>
      <c r="L31" s="6">
        <f t="shared" si="10"/>
        <v>620.18999999999869</v>
      </c>
      <c r="M31" s="2"/>
      <c r="N31" s="7">
        <f t="shared" si="11"/>
        <v>6.6872109610783242E-2</v>
      </c>
      <c r="O31" s="11"/>
      <c r="P31" s="6">
        <v>35980.639999999999</v>
      </c>
      <c r="Q31" s="2"/>
      <c r="R31" s="7">
        <f t="shared" si="12"/>
        <v>0</v>
      </c>
      <c r="S31" s="2"/>
      <c r="T31" s="6">
        <v>33618.800000000003</v>
      </c>
      <c r="U31" s="2"/>
      <c r="V31" s="7">
        <f t="shared" si="13"/>
        <v>0</v>
      </c>
      <c r="W31" s="2"/>
      <c r="X31" s="6">
        <f t="shared" si="14"/>
        <v>2361.8399999999965</v>
      </c>
      <c r="Y31" s="2"/>
      <c r="Z31" s="7">
        <f t="shared" si="15"/>
        <v>7.0253548609706368E-2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>
        <v>14041.64</v>
      </c>
      <c r="E32" s="2"/>
      <c r="F32" s="7">
        <f t="shared" si="8"/>
        <v>0</v>
      </c>
      <c r="G32" s="2"/>
      <c r="H32" s="6">
        <v>12060.55</v>
      </c>
      <c r="I32" s="2"/>
      <c r="J32" s="7">
        <f t="shared" si="9"/>
        <v>0</v>
      </c>
      <c r="K32" s="2"/>
      <c r="L32" s="6">
        <f t="shared" si="10"/>
        <v>1981.0900000000001</v>
      </c>
      <c r="M32" s="2"/>
      <c r="N32" s="7">
        <f t="shared" si="11"/>
        <v>0.16426199468515121</v>
      </c>
      <c r="O32" s="11"/>
      <c r="P32" s="6">
        <v>39560.559999999998</v>
      </c>
      <c r="Q32" s="2"/>
      <c r="R32" s="7">
        <f t="shared" si="12"/>
        <v>0</v>
      </c>
      <c r="S32" s="2"/>
      <c r="T32" s="6">
        <v>35993.5</v>
      </c>
      <c r="U32" s="2"/>
      <c r="V32" s="7">
        <f t="shared" si="13"/>
        <v>0</v>
      </c>
      <c r="W32" s="2"/>
      <c r="X32" s="6">
        <f t="shared" si="14"/>
        <v>3567.0599999999977</v>
      </c>
      <c r="Y32" s="2"/>
      <c r="Z32" s="7">
        <f t="shared" si="15"/>
        <v>9.910289357800707E-2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>
        <v>7854.1</v>
      </c>
      <c r="E33" s="2"/>
      <c r="F33" s="7">
        <f t="shared" si="8"/>
        <v>0</v>
      </c>
      <c r="G33" s="2"/>
      <c r="H33" s="6">
        <v>5833.89</v>
      </c>
      <c r="I33" s="2"/>
      <c r="J33" s="7">
        <f t="shared" si="9"/>
        <v>0</v>
      </c>
      <c r="K33" s="2"/>
      <c r="L33" s="6">
        <f t="shared" si="10"/>
        <v>2020.21</v>
      </c>
      <c r="M33" s="2"/>
      <c r="N33" s="7">
        <f t="shared" si="11"/>
        <v>0.34628866845278194</v>
      </c>
      <c r="O33" s="11"/>
      <c r="P33" s="6">
        <v>22368.32</v>
      </c>
      <c r="Q33" s="2"/>
      <c r="R33" s="7">
        <f t="shared" si="12"/>
        <v>0</v>
      </c>
      <c r="S33" s="2"/>
      <c r="T33" s="6">
        <v>15961.28</v>
      </c>
      <c r="U33" s="2"/>
      <c r="V33" s="7">
        <f t="shared" si="13"/>
        <v>0</v>
      </c>
      <c r="W33" s="2"/>
      <c r="X33" s="6">
        <f t="shared" si="14"/>
        <v>6407.0399999999991</v>
      </c>
      <c r="Y33" s="2"/>
      <c r="Z33" s="7">
        <f t="shared" si="15"/>
        <v>0.40141141562581439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-3842</v>
      </c>
      <c r="E34" s="2"/>
      <c r="F34" s="7">
        <f t="shared" si="8"/>
        <v>0</v>
      </c>
      <c r="G34" s="2"/>
      <c r="H34" s="6">
        <v>-1028.97</v>
      </c>
      <c r="I34" s="2"/>
      <c r="J34" s="7">
        <f t="shared" si="9"/>
        <v>0</v>
      </c>
      <c r="K34" s="2"/>
      <c r="L34" s="6">
        <f t="shared" si="10"/>
        <v>-2813.0299999999997</v>
      </c>
      <c r="M34" s="2"/>
      <c r="N34" s="7">
        <f t="shared" si="11"/>
        <v>2.7338309182969374</v>
      </c>
      <c r="O34" s="11"/>
      <c r="P34" s="6">
        <v>0</v>
      </c>
      <c r="Q34" s="2"/>
      <c r="R34" s="7">
        <f t="shared" si="12"/>
        <v>0</v>
      </c>
      <c r="S34" s="2"/>
      <c r="T34" s="6">
        <v>7392.94</v>
      </c>
      <c r="U34" s="2"/>
      <c r="V34" s="7">
        <f t="shared" si="13"/>
        <v>0</v>
      </c>
      <c r="W34" s="2"/>
      <c r="X34" s="6">
        <f t="shared" si="14"/>
        <v>-7392.94</v>
      </c>
      <c r="Y34" s="2"/>
      <c r="Z34" s="7">
        <f t="shared" si="15"/>
        <v>-1</v>
      </c>
    </row>
    <row r="35" spans="1:26" s="27" customFormat="1" outlineLevel="1" collapsed="1" x14ac:dyDescent="0.25">
      <c r="A35" s="25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461.5</v>
      </c>
      <c r="E35" s="1"/>
      <c r="F35" s="5">
        <f t="shared" ref="F35:F52" si="16">IF(D$12=0,0,D35/D$12)</f>
        <v>0</v>
      </c>
      <c r="G35" s="1"/>
      <c r="H35" s="1">
        <f>SUM(OSRRefH22_2x_0)</f>
        <v>122.09</v>
      </c>
      <c r="I35" s="1"/>
      <c r="J35" s="5">
        <f t="shared" ref="J35:J52" si="17">IF(H$12=0,0,H35/H$12)</f>
        <v>0</v>
      </c>
      <c r="K35" s="1"/>
      <c r="L35" s="1">
        <f t="shared" ref="L35:L52" si="18">+D35-H35</f>
        <v>339.40999999999997</v>
      </c>
      <c r="M35" s="1"/>
      <c r="N35" s="5">
        <f t="shared" ref="N35:N52" si="19">IF(H35=0,0,L35/H35)</f>
        <v>2.7799983618641981</v>
      </c>
      <c r="O35" s="13"/>
      <c r="P35" s="1">
        <f>SUM(OSRRefP22_2x_0)</f>
        <v>1050.24</v>
      </c>
      <c r="Q35" s="1"/>
      <c r="R35" s="5">
        <f t="shared" ref="R35:R52" si="20">IF(P$12=0,0,P35/P$12)</f>
        <v>0</v>
      </c>
      <c r="S35" s="1"/>
      <c r="T35" s="1">
        <f>SUM(OSRRefT22_2x_0)</f>
        <v>1877.98</v>
      </c>
      <c r="U35" s="1"/>
      <c r="V35" s="5">
        <f t="shared" ref="V35:V52" si="21">IF(T$12=0,0,T35/T$12)</f>
        <v>0</v>
      </c>
      <c r="W35" s="1"/>
      <c r="X35" s="1">
        <f t="shared" ref="X35:X52" si="22">+P35-T35</f>
        <v>-827.74</v>
      </c>
      <c r="Y35" s="1"/>
      <c r="Z35" s="5">
        <f t="shared" ref="Z35:Z52" si="23">IF(T35=0,0,X35/T35)</f>
        <v>-0.44076081747409451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>
        <v>461.5</v>
      </c>
      <c r="E36" s="2"/>
      <c r="F36" s="7">
        <f t="shared" si="16"/>
        <v>0</v>
      </c>
      <c r="G36" s="2"/>
      <c r="H36" s="6">
        <v>122.09</v>
      </c>
      <c r="I36" s="2"/>
      <c r="J36" s="7">
        <f t="shared" si="17"/>
        <v>0</v>
      </c>
      <c r="K36" s="2"/>
      <c r="L36" s="6">
        <f t="shared" si="18"/>
        <v>339.40999999999997</v>
      </c>
      <c r="M36" s="2"/>
      <c r="N36" s="7">
        <f t="shared" si="19"/>
        <v>2.7799983618641981</v>
      </c>
      <c r="O36" s="11"/>
      <c r="P36" s="6">
        <v>1050.24</v>
      </c>
      <c r="Q36" s="2"/>
      <c r="R36" s="7">
        <f t="shared" si="20"/>
        <v>0</v>
      </c>
      <c r="S36" s="2"/>
      <c r="T36" s="6">
        <v>1877.98</v>
      </c>
      <c r="U36" s="2"/>
      <c r="V36" s="7">
        <f t="shared" si="21"/>
        <v>0</v>
      </c>
      <c r="W36" s="2"/>
      <c r="X36" s="6">
        <f t="shared" si="22"/>
        <v>-827.74</v>
      </c>
      <c r="Y36" s="2"/>
      <c r="Z36" s="7">
        <f t="shared" si="23"/>
        <v>-0.44076081747409451</v>
      </c>
    </row>
    <row r="37" spans="1:26" s="27" customFormat="1" outlineLevel="1" collapsed="1" x14ac:dyDescent="0.25">
      <c r="A37" s="25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224.18</v>
      </c>
      <c r="E37" s="1"/>
      <c r="F37" s="5">
        <f t="shared" si="16"/>
        <v>0</v>
      </c>
      <c r="G37" s="1"/>
      <c r="H37" s="1">
        <f>SUM(OSRRefH22_3x_0)</f>
        <v>224.17</v>
      </c>
      <c r="I37" s="1"/>
      <c r="J37" s="5">
        <f t="shared" si="17"/>
        <v>0</v>
      </c>
      <c r="K37" s="1"/>
      <c r="L37" s="1">
        <f t="shared" si="18"/>
        <v>1.0000000000019327E-2</v>
      </c>
      <c r="M37" s="1"/>
      <c r="N37" s="5">
        <f t="shared" si="19"/>
        <v>4.4609002096709314E-5</v>
      </c>
      <c r="O37" s="13"/>
      <c r="P37" s="1">
        <f>SUM(OSRRefP22_3x_0)</f>
        <v>896.72</v>
      </c>
      <c r="Q37" s="1"/>
      <c r="R37" s="5">
        <f t="shared" si="20"/>
        <v>0</v>
      </c>
      <c r="S37" s="1"/>
      <c r="T37" s="1">
        <f>SUM(OSRRefT22_3x_0)</f>
        <v>896.68</v>
      </c>
      <c r="U37" s="1"/>
      <c r="V37" s="5">
        <f t="shared" si="21"/>
        <v>0</v>
      </c>
      <c r="W37" s="1"/>
      <c r="X37" s="1">
        <f t="shared" si="22"/>
        <v>4.0000000000077307E-2</v>
      </c>
      <c r="Y37" s="1"/>
      <c r="Z37" s="5">
        <f t="shared" si="23"/>
        <v>4.4609002096709314E-5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224.18</v>
      </c>
      <c r="E38" s="2"/>
      <c r="F38" s="7">
        <f t="shared" si="16"/>
        <v>0</v>
      </c>
      <c r="G38" s="2"/>
      <c r="H38" s="6">
        <v>224.17</v>
      </c>
      <c r="I38" s="2"/>
      <c r="J38" s="7">
        <f t="shared" si="17"/>
        <v>0</v>
      </c>
      <c r="K38" s="2"/>
      <c r="L38" s="6">
        <f t="shared" si="18"/>
        <v>1.0000000000019327E-2</v>
      </c>
      <c r="M38" s="2"/>
      <c r="N38" s="7">
        <f t="shared" si="19"/>
        <v>4.4609002096709314E-5</v>
      </c>
      <c r="O38" s="11"/>
      <c r="P38" s="6">
        <v>896.72</v>
      </c>
      <c r="Q38" s="2"/>
      <c r="R38" s="7">
        <f t="shared" si="20"/>
        <v>0</v>
      </c>
      <c r="S38" s="2"/>
      <c r="T38" s="6">
        <v>896.68</v>
      </c>
      <c r="U38" s="2"/>
      <c r="V38" s="7">
        <f t="shared" si="21"/>
        <v>0</v>
      </c>
      <c r="W38" s="2"/>
      <c r="X38" s="6">
        <f t="shared" si="22"/>
        <v>4.0000000000077307E-2</v>
      </c>
      <c r="Y38" s="2"/>
      <c r="Z38" s="7">
        <f t="shared" si="23"/>
        <v>4.4609002096709314E-5</v>
      </c>
    </row>
    <row r="39" spans="1:26" s="27" customFormat="1" outlineLevel="1" collapsed="1" x14ac:dyDescent="0.25">
      <c r="A39" s="25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SUM(OSRRefD22_4x_0)</f>
        <v>264</v>
      </c>
      <c r="E39" s="1"/>
      <c r="F39" s="5">
        <f t="shared" si="16"/>
        <v>0</v>
      </c>
      <c r="G39" s="1"/>
      <c r="H39" s="1">
        <f>SUM(OSRRefH22_4x_0)</f>
        <v>290</v>
      </c>
      <c r="I39" s="1"/>
      <c r="J39" s="5">
        <f t="shared" si="17"/>
        <v>0</v>
      </c>
      <c r="K39" s="1"/>
      <c r="L39" s="1">
        <f t="shared" si="18"/>
        <v>-26</v>
      </c>
      <c r="M39" s="1"/>
      <c r="N39" s="5">
        <f t="shared" si="19"/>
        <v>-8.9655172413793102E-2</v>
      </c>
      <c r="O39" s="13"/>
      <c r="P39" s="1">
        <f>SUM(OSRRefP22_4x_0)</f>
        <v>11829.12</v>
      </c>
      <c r="Q39" s="1"/>
      <c r="R39" s="5">
        <f t="shared" si="20"/>
        <v>0</v>
      </c>
      <c r="S39" s="1"/>
      <c r="T39" s="1">
        <f>SUM(OSRRefT22_4x_0)</f>
        <v>7945.07</v>
      </c>
      <c r="U39" s="1"/>
      <c r="V39" s="5">
        <f t="shared" si="21"/>
        <v>0</v>
      </c>
      <c r="W39" s="1"/>
      <c r="X39" s="1">
        <f t="shared" si="22"/>
        <v>3884.0500000000011</v>
      </c>
      <c r="Y39" s="1"/>
      <c r="Z39" s="5">
        <f t="shared" si="23"/>
        <v>0.48886290492091339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6">
        <v>264</v>
      </c>
      <c r="E40" s="2"/>
      <c r="F40" s="7">
        <f t="shared" si="16"/>
        <v>0</v>
      </c>
      <c r="G40" s="2"/>
      <c r="H40" s="6">
        <v>290</v>
      </c>
      <c r="I40" s="2"/>
      <c r="J40" s="7">
        <f t="shared" si="17"/>
        <v>0</v>
      </c>
      <c r="K40" s="2"/>
      <c r="L40" s="6">
        <f t="shared" si="18"/>
        <v>-26</v>
      </c>
      <c r="M40" s="2"/>
      <c r="N40" s="7">
        <f t="shared" si="19"/>
        <v>-8.9655172413793102E-2</v>
      </c>
      <c r="O40" s="11"/>
      <c r="P40" s="6">
        <v>11829.12</v>
      </c>
      <c r="Q40" s="2"/>
      <c r="R40" s="7">
        <f t="shared" si="20"/>
        <v>0</v>
      </c>
      <c r="S40" s="2"/>
      <c r="T40" s="6">
        <v>7945.07</v>
      </c>
      <c r="U40" s="2"/>
      <c r="V40" s="7">
        <f t="shared" si="21"/>
        <v>0</v>
      </c>
      <c r="W40" s="2"/>
      <c r="X40" s="6">
        <f t="shared" si="22"/>
        <v>3884.0500000000011</v>
      </c>
      <c r="Y40" s="2"/>
      <c r="Z40" s="7">
        <f t="shared" si="23"/>
        <v>0.48886290492091339</v>
      </c>
    </row>
    <row r="41" spans="1:26" s="27" customFormat="1" outlineLevel="1" collapsed="1" x14ac:dyDescent="0.25">
      <c r="A41" s="25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SUM(OSRRefD22_5x_0)</f>
        <v>0</v>
      </c>
      <c r="E41" s="1"/>
      <c r="F41" s="5">
        <f t="shared" si="16"/>
        <v>0</v>
      </c>
      <c r="G41" s="1"/>
      <c r="H41" s="1">
        <f>SUM(OSRRefH22_5x_0)</f>
        <v>91.26</v>
      </c>
      <c r="I41" s="1"/>
      <c r="J41" s="5">
        <f t="shared" si="17"/>
        <v>0</v>
      </c>
      <c r="K41" s="1"/>
      <c r="L41" s="1">
        <f t="shared" si="18"/>
        <v>-91.26</v>
      </c>
      <c r="M41" s="1"/>
      <c r="N41" s="5">
        <f t="shared" si="19"/>
        <v>-1</v>
      </c>
      <c r="O41" s="13"/>
      <c r="P41" s="1">
        <f>SUM(OSRRefP22_5x_0)</f>
        <v>273.77999999999997</v>
      </c>
      <c r="Q41" s="1"/>
      <c r="R41" s="5">
        <f t="shared" si="20"/>
        <v>0</v>
      </c>
      <c r="S41" s="1"/>
      <c r="T41" s="1">
        <f>SUM(OSRRefT22_5x_0)</f>
        <v>365.04</v>
      </c>
      <c r="U41" s="1"/>
      <c r="V41" s="5">
        <f t="shared" si="21"/>
        <v>0</v>
      </c>
      <c r="W41" s="1"/>
      <c r="X41" s="1">
        <f t="shared" si="22"/>
        <v>-91.260000000000048</v>
      </c>
      <c r="Y41" s="1"/>
      <c r="Z41" s="5">
        <f t="shared" si="23"/>
        <v>-0.25000000000000011</v>
      </c>
    </row>
    <row r="42" spans="1:26" s="24" customFormat="1" hidden="1" outlineLevel="2" x14ac:dyDescent="0.25">
      <c r="A42" s="26"/>
      <c r="B42" s="11" t="str">
        <f>CONCATENATE("          ", "6351", " - ", "EQUIPMENT RENTAL")</f>
        <v xml:space="preserve">          6351 - EQUIPMENT RENTAL</v>
      </c>
      <c r="C42" s="11"/>
      <c r="D42" s="6"/>
      <c r="E42" s="2"/>
      <c r="F42" s="7">
        <f t="shared" si="16"/>
        <v>0</v>
      </c>
      <c r="G42" s="2"/>
      <c r="H42" s="6">
        <v>91.26</v>
      </c>
      <c r="I42" s="2"/>
      <c r="J42" s="7">
        <f t="shared" si="17"/>
        <v>0</v>
      </c>
      <c r="K42" s="2"/>
      <c r="L42" s="6">
        <f t="shared" si="18"/>
        <v>-91.26</v>
      </c>
      <c r="M42" s="2"/>
      <c r="N42" s="7">
        <f t="shared" si="19"/>
        <v>-1</v>
      </c>
      <c r="O42" s="11"/>
      <c r="P42" s="6">
        <v>273.77999999999997</v>
      </c>
      <c r="Q42" s="2"/>
      <c r="R42" s="7">
        <f t="shared" si="20"/>
        <v>0</v>
      </c>
      <c r="S42" s="2"/>
      <c r="T42" s="6">
        <v>365.04</v>
      </c>
      <c r="U42" s="2"/>
      <c r="V42" s="7">
        <f t="shared" si="21"/>
        <v>0</v>
      </c>
      <c r="W42" s="2"/>
      <c r="X42" s="6">
        <f t="shared" si="22"/>
        <v>-91.260000000000048</v>
      </c>
      <c r="Y42" s="2"/>
      <c r="Z42" s="7">
        <f t="shared" si="23"/>
        <v>-0.25000000000000011</v>
      </c>
    </row>
    <row r="43" spans="1:26" s="27" customFormat="1" outlineLevel="1" collapsed="1" x14ac:dyDescent="0.25">
      <c r="A43" s="25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SUM(OSRRefD22_6x_0)</f>
        <v>25.15</v>
      </c>
      <c r="E43" s="1"/>
      <c r="F43" s="5">
        <f t="shared" si="16"/>
        <v>0</v>
      </c>
      <c r="G43" s="1"/>
      <c r="H43" s="1">
        <f>SUM(OSRRefH22_6x_0)</f>
        <v>116.65</v>
      </c>
      <c r="I43" s="1"/>
      <c r="J43" s="5">
        <f t="shared" si="17"/>
        <v>0</v>
      </c>
      <c r="K43" s="1"/>
      <c r="L43" s="1">
        <f t="shared" si="18"/>
        <v>-91.5</v>
      </c>
      <c r="M43" s="1"/>
      <c r="N43" s="5">
        <f t="shared" si="19"/>
        <v>-0.78439777111015851</v>
      </c>
      <c r="O43" s="13"/>
      <c r="P43" s="1">
        <f>SUM(OSRRefP22_6x_0)</f>
        <v>237.6</v>
      </c>
      <c r="Q43" s="1"/>
      <c r="R43" s="5">
        <f t="shared" si="20"/>
        <v>0</v>
      </c>
      <c r="S43" s="1"/>
      <c r="T43" s="1">
        <f>SUM(OSRRefT22_6x_0)</f>
        <v>377.46</v>
      </c>
      <c r="U43" s="1"/>
      <c r="V43" s="5">
        <f t="shared" si="21"/>
        <v>0</v>
      </c>
      <c r="W43" s="1"/>
      <c r="X43" s="1">
        <f t="shared" si="22"/>
        <v>-139.85999999999999</v>
      </c>
      <c r="Y43" s="1"/>
      <c r="Z43" s="5">
        <f t="shared" si="23"/>
        <v>-0.37052932761087265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>
        <v>25.15</v>
      </c>
      <c r="E44" s="2"/>
      <c r="F44" s="7">
        <f t="shared" si="16"/>
        <v>0</v>
      </c>
      <c r="G44" s="2"/>
      <c r="H44" s="6">
        <v>116.65</v>
      </c>
      <c r="I44" s="2"/>
      <c r="J44" s="7">
        <f t="shared" si="17"/>
        <v>0</v>
      </c>
      <c r="K44" s="2"/>
      <c r="L44" s="6">
        <f t="shared" si="18"/>
        <v>-91.5</v>
      </c>
      <c r="M44" s="2"/>
      <c r="N44" s="7">
        <f t="shared" si="19"/>
        <v>-0.78439777111015851</v>
      </c>
      <c r="O44" s="11"/>
      <c r="P44" s="6">
        <v>237.6</v>
      </c>
      <c r="Q44" s="2"/>
      <c r="R44" s="7">
        <f t="shared" si="20"/>
        <v>0</v>
      </c>
      <c r="S44" s="2"/>
      <c r="T44" s="6">
        <v>377.46</v>
      </c>
      <c r="U44" s="2"/>
      <c r="V44" s="7">
        <f t="shared" si="21"/>
        <v>0</v>
      </c>
      <c r="W44" s="2"/>
      <c r="X44" s="6">
        <f t="shared" si="22"/>
        <v>-139.85999999999999</v>
      </c>
      <c r="Y44" s="2"/>
      <c r="Z44" s="7">
        <f t="shared" si="23"/>
        <v>-0.37052932761087265</v>
      </c>
    </row>
    <row r="45" spans="1:26" s="27" customFormat="1" outlineLevel="1" collapsed="1" x14ac:dyDescent="0.25">
      <c r="A45" s="25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SUM(OSRRefD22_7x_0)</f>
        <v>0</v>
      </c>
      <c r="E45" s="1"/>
      <c r="F45" s="5">
        <f t="shared" si="16"/>
        <v>0</v>
      </c>
      <c r="G45" s="1"/>
      <c r="H45" s="1">
        <f>SUM(OSRRefH22_7x_0)</f>
        <v>700</v>
      </c>
      <c r="I45" s="1"/>
      <c r="J45" s="5">
        <f t="shared" si="17"/>
        <v>0</v>
      </c>
      <c r="K45" s="1"/>
      <c r="L45" s="1">
        <f t="shared" si="18"/>
        <v>-700</v>
      </c>
      <c r="M45" s="1"/>
      <c r="N45" s="5">
        <f t="shared" si="19"/>
        <v>-1</v>
      </c>
      <c r="O45" s="13"/>
      <c r="P45" s="1">
        <f>SUM(OSRRefP22_7x_0)</f>
        <v>700</v>
      </c>
      <c r="Q45" s="1"/>
      <c r="R45" s="5">
        <f t="shared" si="20"/>
        <v>0</v>
      </c>
      <c r="S45" s="1"/>
      <c r="T45" s="1">
        <f>SUM(OSRRefT22_7x_0)</f>
        <v>700</v>
      </c>
      <c r="U45" s="1"/>
      <c r="V45" s="5">
        <f t="shared" si="21"/>
        <v>0</v>
      </c>
      <c r="W45" s="1"/>
      <c r="X45" s="1">
        <f t="shared" si="22"/>
        <v>0</v>
      </c>
      <c r="Y45" s="1"/>
      <c r="Z45" s="5">
        <f t="shared" si="23"/>
        <v>0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>
        <v>700</v>
      </c>
      <c r="I46" s="2"/>
      <c r="J46" s="7">
        <f t="shared" si="17"/>
        <v>0</v>
      </c>
      <c r="K46" s="2"/>
      <c r="L46" s="6">
        <f t="shared" si="18"/>
        <v>-700</v>
      </c>
      <c r="M46" s="2"/>
      <c r="N46" s="7">
        <f t="shared" si="19"/>
        <v>-1</v>
      </c>
      <c r="O46" s="11"/>
      <c r="P46" s="6">
        <v>700</v>
      </c>
      <c r="Q46" s="2"/>
      <c r="R46" s="7">
        <f t="shared" si="20"/>
        <v>0</v>
      </c>
      <c r="S46" s="2"/>
      <c r="T46" s="6">
        <v>700</v>
      </c>
      <c r="U46" s="2"/>
      <c r="V46" s="7">
        <f t="shared" si="21"/>
        <v>0</v>
      </c>
      <c r="W46" s="2"/>
      <c r="X46" s="6">
        <f t="shared" si="22"/>
        <v>0</v>
      </c>
      <c r="Y46" s="2"/>
      <c r="Z46" s="7">
        <f t="shared" si="23"/>
        <v>0</v>
      </c>
    </row>
    <row r="47" spans="1:26" s="27" customFormat="1" outlineLevel="1" collapsed="1" x14ac:dyDescent="0.25">
      <c r="A47" s="25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SUM(OSRRefD22_8x_0)</f>
        <v>65.47</v>
      </c>
      <c r="E47" s="1"/>
      <c r="F47" s="5">
        <f t="shared" si="16"/>
        <v>0</v>
      </c>
      <c r="G47" s="1"/>
      <c r="H47" s="1">
        <f>SUM(OSRRefH22_8x_0)</f>
        <v>61.68</v>
      </c>
      <c r="I47" s="1"/>
      <c r="J47" s="5">
        <f t="shared" si="17"/>
        <v>0</v>
      </c>
      <c r="K47" s="1"/>
      <c r="L47" s="1">
        <f t="shared" si="18"/>
        <v>3.7899999999999991</v>
      </c>
      <c r="M47" s="1"/>
      <c r="N47" s="5">
        <f t="shared" si="19"/>
        <v>6.1446173800259393E-2</v>
      </c>
      <c r="O47" s="13"/>
      <c r="P47" s="1">
        <f>SUM(OSRRefP22_8x_0)</f>
        <v>261.88</v>
      </c>
      <c r="Q47" s="1"/>
      <c r="R47" s="5">
        <f t="shared" si="20"/>
        <v>0</v>
      </c>
      <c r="S47" s="1"/>
      <c r="T47" s="1">
        <f>SUM(OSRRefT22_8x_0)</f>
        <v>246.72</v>
      </c>
      <c r="U47" s="1"/>
      <c r="V47" s="5">
        <f t="shared" si="21"/>
        <v>0</v>
      </c>
      <c r="W47" s="1"/>
      <c r="X47" s="1">
        <f t="shared" si="22"/>
        <v>15.159999999999997</v>
      </c>
      <c r="Y47" s="1"/>
      <c r="Z47" s="5">
        <f t="shared" si="23"/>
        <v>6.1446173800259393E-2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65.47</v>
      </c>
      <c r="E48" s="2"/>
      <c r="F48" s="7">
        <f t="shared" si="16"/>
        <v>0</v>
      </c>
      <c r="G48" s="2"/>
      <c r="H48" s="6">
        <v>61.68</v>
      </c>
      <c r="I48" s="2"/>
      <c r="J48" s="7">
        <f t="shared" si="17"/>
        <v>0</v>
      </c>
      <c r="K48" s="2"/>
      <c r="L48" s="6">
        <f t="shared" si="18"/>
        <v>3.7899999999999991</v>
      </c>
      <c r="M48" s="2"/>
      <c r="N48" s="7">
        <f t="shared" si="19"/>
        <v>6.1446173800259393E-2</v>
      </c>
      <c r="O48" s="11"/>
      <c r="P48" s="6">
        <v>261.88</v>
      </c>
      <c r="Q48" s="2"/>
      <c r="R48" s="7">
        <f t="shared" si="20"/>
        <v>0</v>
      </c>
      <c r="S48" s="2"/>
      <c r="T48" s="6">
        <v>246.72</v>
      </c>
      <c r="U48" s="2"/>
      <c r="V48" s="7">
        <f t="shared" si="21"/>
        <v>0</v>
      </c>
      <c r="W48" s="2"/>
      <c r="X48" s="6">
        <f t="shared" si="22"/>
        <v>15.159999999999997</v>
      </c>
      <c r="Y48" s="2"/>
      <c r="Z48" s="7">
        <f t="shared" si="23"/>
        <v>6.1446173800259393E-2</v>
      </c>
    </row>
    <row r="49" spans="1:26" s="27" customFormat="1" outlineLevel="1" collapsed="1" x14ac:dyDescent="0.25">
      <c r="A49" s="25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SUM(OSRRefD22_9x_0)</f>
        <v>26818</v>
      </c>
      <c r="E49" s="1"/>
      <c r="F49" s="5">
        <f t="shared" si="16"/>
        <v>0</v>
      </c>
      <c r="G49" s="1"/>
      <c r="H49" s="1">
        <f>SUM(OSRRefH22_9x_0)</f>
        <v>11110</v>
      </c>
      <c r="I49" s="1"/>
      <c r="J49" s="5">
        <f t="shared" si="17"/>
        <v>0</v>
      </c>
      <c r="K49" s="1"/>
      <c r="L49" s="1">
        <f t="shared" si="18"/>
        <v>15708</v>
      </c>
      <c r="M49" s="1"/>
      <c r="N49" s="5">
        <f t="shared" si="19"/>
        <v>1.4138613861386138</v>
      </c>
      <c r="O49" s="13"/>
      <c r="P49" s="1">
        <f>SUM(OSRRefP22_9x_0)</f>
        <v>54232.18</v>
      </c>
      <c r="Q49" s="1"/>
      <c r="R49" s="5">
        <f t="shared" si="20"/>
        <v>0</v>
      </c>
      <c r="S49" s="1"/>
      <c r="T49" s="1">
        <f>SUM(OSRRefT22_9x_0)</f>
        <v>17022.75</v>
      </c>
      <c r="U49" s="1"/>
      <c r="V49" s="5">
        <f t="shared" si="21"/>
        <v>0</v>
      </c>
      <c r="W49" s="1"/>
      <c r="X49" s="1">
        <f t="shared" si="22"/>
        <v>37209.43</v>
      </c>
      <c r="Y49" s="1"/>
      <c r="Z49" s="5">
        <f t="shared" si="23"/>
        <v>2.1858647985783732</v>
      </c>
    </row>
    <row r="50" spans="1:26" s="24" customFormat="1" hidden="1" outlineLevel="2" x14ac:dyDescent="0.25">
      <c r="A50" s="26"/>
      <c r="B50" s="11" t="str">
        <f>CONCATENATE("          ", "6332", " - ", "CONSULTANT FEES")</f>
        <v xml:space="preserve">          6332 - CONSULTANT FEES</v>
      </c>
      <c r="C50" s="11"/>
      <c r="D50" s="6"/>
      <c r="E50" s="2"/>
      <c r="F50" s="7">
        <f t="shared" si="16"/>
        <v>0</v>
      </c>
      <c r="G50" s="2"/>
      <c r="H50" s="6">
        <v>8850</v>
      </c>
      <c r="I50" s="2"/>
      <c r="J50" s="7">
        <f t="shared" si="17"/>
        <v>0</v>
      </c>
      <c r="K50" s="2"/>
      <c r="L50" s="6">
        <f t="shared" si="18"/>
        <v>-8850</v>
      </c>
      <c r="M50" s="2"/>
      <c r="N50" s="7">
        <f t="shared" si="19"/>
        <v>-1</v>
      </c>
      <c r="O50" s="11"/>
      <c r="P50" s="6"/>
      <c r="Q50" s="2"/>
      <c r="R50" s="7">
        <f t="shared" si="20"/>
        <v>0</v>
      </c>
      <c r="S50" s="2"/>
      <c r="T50" s="6">
        <v>14450</v>
      </c>
      <c r="U50" s="2"/>
      <c r="V50" s="7">
        <f t="shared" si="21"/>
        <v>0</v>
      </c>
      <c r="W50" s="2"/>
      <c r="X50" s="6">
        <f t="shared" si="22"/>
        <v>-14450</v>
      </c>
      <c r="Y50" s="2"/>
      <c r="Z50" s="7">
        <f t="shared" si="23"/>
        <v>-1</v>
      </c>
    </row>
    <row r="51" spans="1:26" s="24" customFormat="1" hidden="1" outlineLevel="2" x14ac:dyDescent="0.25">
      <c r="A51" s="26"/>
      <c r="B51" s="11" t="str">
        <f>CONCATENATE("          ", "6334", " - ", "LEGAL COUNCIL EXPENSE")</f>
        <v xml:space="preserve">          6334 - LEGAL COUNCIL EXPENSE</v>
      </c>
      <c r="C51" s="11"/>
      <c r="D51" s="6">
        <v>19285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19285</v>
      </c>
      <c r="M51" s="2"/>
      <c r="N51" s="7">
        <f t="shared" si="19"/>
        <v>0</v>
      </c>
      <c r="O51" s="11"/>
      <c r="P51" s="6">
        <v>37870</v>
      </c>
      <c r="Q51" s="2"/>
      <c r="R51" s="7">
        <f t="shared" si="20"/>
        <v>0</v>
      </c>
      <c r="S51" s="2"/>
      <c r="T51" s="6"/>
      <c r="U51" s="2"/>
      <c r="V51" s="7">
        <f t="shared" si="21"/>
        <v>0</v>
      </c>
      <c r="W51" s="2"/>
      <c r="X51" s="6">
        <f t="shared" si="22"/>
        <v>37870</v>
      </c>
      <c r="Y51" s="2"/>
      <c r="Z51" s="7">
        <f t="shared" si="23"/>
        <v>0</v>
      </c>
    </row>
    <row r="52" spans="1:26" s="24" customFormat="1" hidden="1" outlineLevel="2" x14ac:dyDescent="0.25">
      <c r="A52" s="26"/>
      <c r="B52" s="11" t="str">
        <f>CONCATENATE("          ", "6336", " - ", "PROFESSIONAL SERVICES")</f>
        <v xml:space="preserve">          6336 - PROFESSIONAL SERVICES</v>
      </c>
      <c r="C52" s="11"/>
      <c r="D52" s="6">
        <v>7533</v>
      </c>
      <c r="E52" s="2"/>
      <c r="F52" s="7">
        <f t="shared" si="16"/>
        <v>0</v>
      </c>
      <c r="G52" s="2"/>
      <c r="H52" s="6">
        <v>2260</v>
      </c>
      <c r="I52" s="2"/>
      <c r="J52" s="7">
        <f t="shared" si="17"/>
        <v>0</v>
      </c>
      <c r="K52" s="2"/>
      <c r="L52" s="6">
        <f t="shared" si="18"/>
        <v>5273</v>
      </c>
      <c r="M52" s="2"/>
      <c r="N52" s="7">
        <f t="shared" si="19"/>
        <v>2.3331858407079644</v>
      </c>
      <c r="O52" s="11"/>
      <c r="P52" s="6">
        <v>16362.18</v>
      </c>
      <c r="Q52" s="2"/>
      <c r="R52" s="7">
        <f t="shared" si="20"/>
        <v>0</v>
      </c>
      <c r="S52" s="2"/>
      <c r="T52" s="6">
        <v>2572.75</v>
      </c>
      <c r="U52" s="2"/>
      <c r="V52" s="7">
        <f t="shared" si="21"/>
        <v>0</v>
      </c>
      <c r="W52" s="2"/>
      <c r="X52" s="6">
        <f t="shared" si="22"/>
        <v>13789.43</v>
      </c>
      <c r="Y52" s="2"/>
      <c r="Z52" s="7">
        <f t="shared" si="23"/>
        <v>5.3598017685356139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13307.13</v>
      </c>
      <c r="E53" s="1"/>
      <c r="F53" s="5">
        <f t="shared" ref="F53:F55" si="24">IF(D$12=0,0,D53/D$12)</f>
        <v>0</v>
      </c>
      <c r="G53" s="1"/>
      <c r="H53" s="1">
        <f>SUM(OSRRefH22_10x_0)</f>
        <v>12927.36</v>
      </c>
      <c r="I53" s="1"/>
      <c r="J53" s="5">
        <f t="shared" ref="J53:J55" si="25">IF(H$12=0,0,H53/H$12)</f>
        <v>0</v>
      </c>
      <c r="K53" s="1"/>
      <c r="L53" s="1">
        <f t="shared" ref="L53:L55" si="26">+D53-H53</f>
        <v>379.76999999999862</v>
      </c>
      <c r="M53" s="1"/>
      <c r="N53" s="5">
        <f t="shared" ref="N53:N55" si="27">IF(H53=0,0,L53/H53)</f>
        <v>2.9377227833060935E-2</v>
      </c>
      <c r="O53" s="13"/>
      <c r="P53" s="1">
        <f>SUM(OSRRefP22_10x_0)</f>
        <v>44561.27</v>
      </c>
      <c r="Q53" s="1"/>
      <c r="R53" s="5">
        <f t="shared" ref="R53:R55" si="28">IF(P$12=0,0,P53/P$12)</f>
        <v>0</v>
      </c>
      <c r="S53" s="1"/>
      <c r="T53" s="1">
        <f>SUM(OSRRefT22_10x_0)</f>
        <v>45134.38</v>
      </c>
      <c r="U53" s="1"/>
      <c r="V53" s="5">
        <f t="shared" ref="V53:V55" si="29">IF(T$12=0,0,T53/T$12)</f>
        <v>0</v>
      </c>
      <c r="W53" s="1"/>
      <c r="X53" s="1">
        <f t="shared" ref="X53:X55" si="30">+P53-T53</f>
        <v>-573.11000000000058</v>
      </c>
      <c r="Y53" s="1"/>
      <c r="Z53" s="5">
        <f t="shared" ref="Z53:Z55" si="31">IF(T53=0,0,X53/T53)</f>
        <v>-1.2697859148613554E-2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13307.13</v>
      </c>
      <c r="E54" s="2"/>
      <c r="F54" s="7">
        <f t="shared" si="24"/>
        <v>0</v>
      </c>
      <c r="G54" s="2"/>
      <c r="H54" s="6">
        <v>12895.92</v>
      </c>
      <c r="I54" s="2"/>
      <c r="J54" s="7">
        <f t="shared" si="25"/>
        <v>0</v>
      </c>
      <c r="K54" s="2"/>
      <c r="L54" s="6">
        <f t="shared" si="26"/>
        <v>411.20999999999913</v>
      </c>
      <c r="M54" s="2"/>
      <c r="N54" s="7">
        <f t="shared" si="27"/>
        <v>3.1886829322762482E-2</v>
      </c>
      <c r="O54" s="11"/>
      <c r="P54" s="6">
        <v>44507.81</v>
      </c>
      <c r="Q54" s="2"/>
      <c r="R54" s="7">
        <f t="shared" si="28"/>
        <v>0</v>
      </c>
      <c r="S54" s="2"/>
      <c r="T54" s="6">
        <v>44998.07</v>
      </c>
      <c r="U54" s="2"/>
      <c r="V54" s="7">
        <f t="shared" si="29"/>
        <v>0</v>
      </c>
      <c r="W54" s="2"/>
      <c r="X54" s="6">
        <f t="shared" si="30"/>
        <v>-490.26000000000204</v>
      </c>
      <c r="Y54" s="2"/>
      <c r="Z54" s="7">
        <f t="shared" si="31"/>
        <v>-1.0895133946855989E-2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4"/>
        <v>0</v>
      </c>
      <c r="G55" s="2"/>
      <c r="H55" s="6">
        <v>31.44</v>
      </c>
      <c r="I55" s="2"/>
      <c r="J55" s="7">
        <f t="shared" si="25"/>
        <v>0</v>
      </c>
      <c r="K55" s="2"/>
      <c r="L55" s="6">
        <f t="shared" si="26"/>
        <v>-31.44</v>
      </c>
      <c r="M55" s="2"/>
      <c r="N55" s="7">
        <f t="shared" si="27"/>
        <v>-1</v>
      </c>
      <c r="O55" s="11"/>
      <c r="P55" s="6">
        <v>53.46</v>
      </c>
      <c r="Q55" s="2"/>
      <c r="R55" s="7">
        <f t="shared" si="28"/>
        <v>0</v>
      </c>
      <c r="S55" s="2"/>
      <c r="T55" s="6">
        <v>136.31</v>
      </c>
      <c r="U55" s="2"/>
      <c r="V55" s="7">
        <f t="shared" si="29"/>
        <v>0</v>
      </c>
      <c r="W55" s="2"/>
      <c r="X55" s="6">
        <f t="shared" si="30"/>
        <v>-82.85</v>
      </c>
      <c r="Y55" s="2"/>
      <c r="Z55" s="7">
        <f t="shared" si="31"/>
        <v>-0.60780573692318973</v>
      </c>
    </row>
    <row r="56" spans="1:26" s="27" customFormat="1" outlineLevel="1" collapsed="1" x14ac:dyDescent="0.25">
      <c r="A56" s="25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SUM(OSRRefD22_11x_0)</f>
        <v>0</v>
      </c>
      <c r="E56" s="1"/>
      <c r="F56" s="5">
        <f t="shared" ref="F56:F61" si="32">IF(D$12=0,0,D56/D$12)</f>
        <v>0</v>
      </c>
      <c r="G56" s="1"/>
      <c r="H56" s="1">
        <f>SUM(OSRRefH22_11x_0)</f>
        <v>0</v>
      </c>
      <c r="I56" s="1"/>
      <c r="J56" s="5">
        <f t="shared" ref="J56:J61" si="33">IF(H$12=0,0,H56/H$12)</f>
        <v>0</v>
      </c>
      <c r="K56" s="1"/>
      <c r="L56" s="1">
        <f t="shared" ref="L56:L61" si="34">+D56-H56</f>
        <v>0</v>
      </c>
      <c r="M56" s="1"/>
      <c r="N56" s="5">
        <f t="shared" ref="N56:N61" si="35">IF(H56=0,0,L56/H56)</f>
        <v>0</v>
      </c>
      <c r="O56" s="13"/>
      <c r="P56" s="1">
        <f>SUM(OSRRefP22_11x_0)</f>
        <v>587</v>
      </c>
      <c r="Q56" s="1"/>
      <c r="R56" s="5">
        <f t="shared" ref="R56:R61" si="36">IF(P$12=0,0,P56/P$12)</f>
        <v>0</v>
      </c>
      <c r="S56" s="1"/>
      <c r="T56" s="1">
        <f>SUM(OSRRefT22_11x_0)</f>
        <v>587</v>
      </c>
      <c r="U56" s="1"/>
      <c r="V56" s="5">
        <f t="shared" ref="V56:V61" si="37">IF(T$12=0,0,T56/T$12)</f>
        <v>0</v>
      </c>
      <c r="W56" s="1"/>
      <c r="X56" s="1">
        <f t="shared" ref="X56:X61" si="38">+P56-T56</f>
        <v>0</v>
      </c>
      <c r="Y56" s="1"/>
      <c r="Z56" s="5">
        <f t="shared" ref="Z56:Z61" si="39">IF(T56=0,0,X56/T56)</f>
        <v>0</v>
      </c>
    </row>
    <row r="57" spans="1:26" s="24" customFormat="1" hidden="1" outlineLevel="2" x14ac:dyDescent="0.25">
      <c r="A57" s="26"/>
      <c r="B57" s="11" t="str">
        <f>CONCATENATE("          ", "6258", " - ", "MEMBERSHIP DUES")</f>
        <v xml:space="preserve">          6258 - MEMBERSHIP DUES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587</v>
      </c>
      <c r="Q57" s="2"/>
      <c r="R57" s="7">
        <f t="shared" si="36"/>
        <v>0</v>
      </c>
      <c r="S57" s="2"/>
      <c r="T57" s="6">
        <v>587</v>
      </c>
      <c r="U57" s="2"/>
      <c r="V57" s="7">
        <f t="shared" si="37"/>
        <v>0</v>
      </c>
      <c r="W57" s="2"/>
      <c r="X57" s="6">
        <f t="shared" si="38"/>
        <v>0</v>
      </c>
      <c r="Y57" s="2"/>
      <c r="Z57" s="7">
        <f t="shared" si="39"/>
        <v>0</v>
      </c>
    </row>
    <row r="58" spans="1:26" s="27" customFormat="1" outlineLevel="1" collapsed="1" x14ac:dyDescent="0.25">
      <c r="A58" s="25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SUM(OSRRefD22_12x_0)</f>
        <v>2315.4699999999998</v>
      </c>
      <c r="E58" s="1"/>
      <c r="F58" s="5">
        <f t="shared" si="32"/>
        <v>0</v>
      </c>
      <c r="G58" s="1"/>
      <c r="H58" s="1">
        <f>SUM(OSRRefH22_12x_0)</f>
        <v>1490.0500000000002</v>
      </c>
      <c r="I58" s="1"/>
      <c r="J58" s="5">
        <f t="shared" si="33"/>
        <v>0</v>
      </c>
      <c r="K58" s="1"/>
      <c r="L58" s="1">
        <f t="shared" si="34"/>
        <v>825.41999999999962</v>
      </c>
      <c r="M58" s="1"/>
      <c r="N58" s="5">
        <f t="shared" si="35"/>
        <v>0.55395456528304388</v>
      </c>
      <c r="O58" s="13"/>
      <c r="P58" s="1">
        <f>SUM(OSRRefP22_12x_0)</f>
        <v>11579.29</v>
      </c>
      <c r="Q58" s="1"/>
      <c r="R58" s="5">
        <f t="shared" si="36"/>
        <v>0</v>
      </c>
      <c r="S58" s="1"/>
      <c r="T58" s="1">
        <f>SUM(OSRRefT22_12x_0)</f>
        <v>9912.61</v>
      </c>
      <c r="U58" s="1"/>
      <c r="V58" s="5">
        <f t="shared" si="37"/>
        <v>0</v>
      </c>
      <c r="W58" s="1"/>
      <c r="X58" s="1">
        <f t="shared" si="38"/>
        <v>1666.6800000000003</v>
      </c>
      <c r="Y58" s="1"/>
      <c r="Z58" s="5">
        <f t="shared" si="39"/>
        <v>0.16813735232194146</v>
      </c>
    </row>
    <row r="59" spans="1:26" s="24" customFormat="1" hidden="1" outlineLevel="2" x14ac:dyDescent="0.25">
      <c r="A59" s="26"/>
      <c r="B59" s="11" t="str">
        <f>CONCATENATE("          ", "6241", " - ", "OFFICE EXPENSE")</f>
        <v xml:space="preserve">          6241 - OFFICE EXPENSE</v>
      </c>
      <c r="C59" s="11"/>
      <c r="D59" s="6">
        <v>1977.37</v>
      </c>
      <c r="E59" s="2"/>
      <c r="F59" s="7">
        <f t="shared" si="32"/>
        <v>0</v>
      </c>
      <c r="G59" s="2"/>
      <c r="H59" s="6">
        <v>1049.18</v>
      </c>
      <c r="I59" s="2"/>
      <c r="J59" s="7">
        <f t="shared" si="33"/>
        <v>0</v>
      </c>
      <c r="K59" s="2"/>
      <c r="L59" s="6">
        <f t="shared" si="34"/>
        <v>928.18999999999983</v>
      </c>
      <c r="M59" s="2"/>
      <c r="N59" s="7">
        <f t="shared" si="35"/>
        <v>0.88468137021292792</v>
      </c>
      <c r="O59" s="11"/>
      <c r="P59" s="6">
        <v>8269.4500000000007</v>
      </c>
      <c r="Q59" s="2"/>
      <c r="R59" s="7">
        <f t="shared" si="36"/>
        <v>0</v>
      </c>
      <c r="S59" s="2"/>
      <c r="T59" s="6">
        <v>7058.47</v>
      </c>
      <c r="U59" s="2"/>
      <c r="V59" s="7">
        <f t="shared" si="37"/>
        <v>0</v>
      </c>
      <c r="W59" s="2"/>
      <c r="X59" s="6">
        <f t="shared" si="38"/>
        <v>1210.9800000000005</v>
      </c>
      <c r="Y59" s="2"/>
      <c r="Z59" s="7">
        <f t="shared" si="39"/>
        <v>0.17156409250163285</v>
      </c>
    </row>
    <row r="60" spans="1:26" s="24" customFormat="1" hidden="1" outlineLevel="2" x14ac:dyDescent="0.25">
      <c r="A60" s="26"/>
      <c r="B60" s="11" t="str">
        <f>CONCATENATE("          ", "6244", " - ", "SAFETY SUPPLY EXPENSE")</f>
        <v xml:space="preserve">          6244 - SAFETY SUPPLY EXPENSE</v>
      </c>
      <c r="C60" s="11"/>
      <c r="D60" s="6">
        <v>175</v>
      </c>
      <c r="E60" s="2"/>
      <c r="F60" s="7">
        <f t="shared" si="32"/>
        <v>0</v>
      </c>
      <c r="G60" s="2"/>
      <c r="H60" s="6">
        <v>350</v>
      </c>
      <c r="I60" s="2"/>
      <c r="J60" s="7">
        <f t="shared" si="33"/>
        <v>0</v>
      </c>
      <c r="K60" s="2"/>
      <c r="L60" s="6">
        <f t="shared" si="34"/>
        <v>-175</v>
      </c>
      <c r="M60" s="2"/>
      <c r="N60" s="7">
        <f t="shared" si="35"/>
        <v>-0.5</v>
      </c>
      <c r="O60" s="11"/>
      <c r="P60" s="6">
        <v>1407.33</v>
      </c>
      <c r="Q60" s="2"/>
      <c r="R60" s="7">
        <f t="shared" si="36"/>
        <v>0</v>
      </c>
      <c r="S60" s="2"/>
      <c r="T60" s="6">
        <v>2078.21</v>
      </c>
      <c r="U60" s="2"/>
      <c r="V60" s="7">
        <f t="shared" si="37"/>
        <v>0</v>
      </c>
      <c r="W60" s="2"/>
      <c r="X60" s="6">
        <f t="shared" si="38"/>
        <v>-670.88000000000011</v>
      </c>
      <c r="Y60" s="2"/>
      <c r="Z60" s="7">
        <f t="shared" si="39"/>
        <v>-0.32281626977061995</v>
      </c>
    </row>
    <row r="61" spans="1:26" s="24" customFormat="1" hidden="1" outlineLevel="2" x14ac:dyDescent="0.25">
      <c r="A61" s="26"/>
      <c r="B61" s="11" t="str">
        <f>CONCATENATE("          ", "6245", " - ", "PRINTING")</f>
        <v xml:space="preserve">          6245 - PRINTING</v>
      </c>
      <c r="C61" s="11"/>
      <c r="D61" s="6">
        <v>163.1</v>
      </c>
      <c r="E61" s="2"/>
      <c r="F61" s="7">
        <f t="shared" si="32"/>
        <v>0</v>
      </c>
      <c r="G61" s="2"/>
      <c r="H61" s="6">
        <v>90.87</v>
      </c>
      <c r="I61" s="2"/>
      <c r="J61" s="7">
        <f t="shared" si="33"/>
        <v>0</v>
      </c>
      <c r="K61" s="2"/>
      <c r="L61" s="6">
        <f t="shared" si="34"/>
        <v>72.22999999999999</v>
      </c>
      <c r="M61" s="2"/>
      <c r="N61" s="7">
        <f t="shared" si="35"/>
        <v>0.79487179487179471</v>
      </c>
      <c r="O61" s="11"/>
      <c r="P61" s="6">
        <v>1902.51</v>
      </c>
      <c r="Q61" s="2"/>
      <c r="R61" s="7">
        <f t="shared" si="36"/>
        <v>0</v>
      </c>
      <c r="S61" s="2"/>
      <c r="T61" s="6">
        <v>775.93</v>
      </c>
      <c r="U61" s="2"/>
      <c r="V61" s="7">
        <f t="shared" si="37"/>
        <v>0</v>
      </c>
      <c r="W61" s="2"/>
      <c r="X61" s="6">
        <f t="shared" si="38"/>
        <v>1126.58</v>
      </c>
      <c r="Y61" s="2"/>
      <c r="Z61" s="7">
        <f t="shared" si="39"/>
        <v>1.4519093217171652</v>
      </c>
    </row>
    <row r="62" spans="1:26" s="27" customFormat="1" outlineLevel="1" collapsed="1" x14ac:dyDescent="0.25">
      <c r="A62" s="25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SUM(OSRRefD22_13x_0)</f>
        <v>310.2</v>
      </c>
      <c r="E62" s="1"/>
      <c r="F62" s="5">
        <f t="shared" ref="F62:F67" si="40">IF(D$12=0,0,D62/D$12)</f>
        <v>0</v>
      </c>
      <c r="G62" s="1"/>
      <c r="H62" s="1">
        <f>SUM(OSRRefH22_13x_0)</f>
        <v>312</v>
      </c>
      <c r="I62" s="1"/>
      <c r="J62" s="5">
        <f t="shared" ref="J62:J67" si="41">IF(H$12=0,0,H62/H$12)</f>
        <v>0</v>
      </c>
      <c r="K62" s="1"/>
      <c r="L62" s="1">
        <f t="shared" ref="L62:L67" si="42">+D62-H62</f>
        <v>-1.8000000000000114</v>
      </c>
      <c r="M62" s="1"/>
      <c r="N62" s="5">
        <f t="shared" ref="N62:N67" si="43">IF(H62=0,0,L62/H62)</f>
        <v>-5.769230769230806E-3</v>
      </c>
      <c r="O62" s="13"/>
      <c r="P62" s="1">
        <f>SUM(OSRRefP22_13x_0)</f>
        <v>1337.85</v>
      </c>
      <c r="Q62" s="1"/>
      <c r="R62" s="5">
        <f t="shared" ref="R62:R67" si="44">IF(P$12=0,0,P62/P$12)</f>
        <v>0</v>
      </c>
      <c r="S62" s="1"/>
      <c r="T62" s="1">
        <f>SUM(OSRRefT22_13x_0)</f>
        <v>1435.2</v>
      </c>
      <c r="U62" s="1"/>
      <c r="V62" s="5">
        <f t="shared" ref="V62:V67" si="45">IF(T$12=0,0,T62/T$12)</f>
        <v>0</v>
      </c>
      <c r="W62" s="1"/>
      <c r="X62" s="1">
        <f t="shared" ref="X62:X67" si="46">+P62-T62</f>
        <v>-97.350000000000136</v>
      </c>
      <c r="Y62" s="1"/>
      <c r="Z62" s="5">
        <f t="shared" ref="Z62:Z67" si="47">IF(T62=0,0,X62/T62)</f>
        <v>-6.7830267558528515E-2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6">
        <v>310.2</v>
      </c>
      <c r="E63" s="2"/>
      <c r="F63" s="7">
        <f t="shared" si="40"/>
        <v>0</v>
      </c>
      <c r="G63" s="2"/>
      <c r="H63" s="6">
        <v>312</v>
      </c>
      <c r="I63" s="2"/>
      <c r="J63" s="7">
        <f t="shared" si="41"/>
        <v>0</v>
      </c>
      <c r="K63" s="2"/>
      <c r="L63" s="6">
        <f t="shared" si="42"/>
        <v>-1.8000000000000114</v>
      </c>
      <c r="M63" s="2"/>
      <c r="N63" s="7">
        <f t="shared" si="43"/>
        <v>-5.769230769230806E-3</v>
      </c>
      <c r="O63" s="11"/>
      <c r="P63" s="6">
        <v>1337.85</v>
      </c>
      <c r="Q63" s="2"/>
      <c r="R63" s="7">
        <f t="shared" si="44"/>
        <v>0</v>
      </c>
      <c r="S63" s="2"/>
      <c r="T63" s="6">
        <v>1435.2</v>
      </c>
      <c r="U63" s="2"/>
      <c r="V63" s="7">
        <f t="shared" si="45"/>
        <v>0</v>
      </c>
      <c r="W63" s="2"/>
      <c r="X63" s="6">
        <f t="shared" si="46"/>
        <v>-97.350000000000136</v>
      </c>
      <c r="Y63" s="2"/>
      <c r="Z63" s="7">
        <f t="shared" si="47"/>
        <v>-6.7830267558528515E-2</v>
      </c>
    </row>
    <row r="64" spans="1:26" s="27" customFormat="1" outlineLevel="1" collapsed="1" x14ac:dyDescent="0.25">
      <c r="A64" s="25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SUM(OSRRefD22_14x_0)</f>
        <v>0</v>
      </c>
      <c r="E64" s="1"/>
      <c r="F64" s="5">
        <f t="shared" si="40"/>
        <v>0</v>
      </c>
      <c r="G64" s="1"/>
      <c r="H64" s="1">
        <f>SUM(OSRRefH22_14x_0)</f>
        <v>961.78</v>
      </c>
      <c r="I64" s="1"/>
      <c r="J64" s="5">
        <f t="shared" si="41"/>
        <v>0</v>
      </c>
      <c r="K64" s="1"/>
      <c r="L64" s="1">
        <f t="shared" si="42"/>
        <v>-961.78</v>
      </c>
      <c r="M64" s="1"/>
      <c r="N64" s="5">
        <f t="shared" si="43"/>
        <v>-1</v>
      </c>
      <c r="O64" s="13"/>
      <c r="P64" s="1">
        <f>SUM(OSRRefP22_14x_0)</f>
        <v>5314.98</v>
      </c>
      <c r="Q64" s="1"/>
      <c r="R64" s="5">
        <f t="shared" si="44"/>
        <v>0</v>
      </c>
      <c r="S64" s="1"/>
      <c r="T64" s="1">
        <f>SUM(OSRRefT22_14x_0)</f>
        <v>8594.76</v>
      </c>
      <c r="U64" s="1"/>
      <c r="V64" s="5">
        <f t="shared" si="45"/>
        <v>0</v>
      </c>
      <c r="W64" s="1"/>
      <c r="X64" s="1">
        <f t="shared" si="46"/>
        <v>-3279.7800000000007</v>
      </c>
      <c r="Y64" s="1"/>
      <c r="Z64" s="5">
        <f t="shared" si="47"/>
        <v>-0.38160227859765722</v>
      </c>
    </row>
    <row r="65" spans="1:26" s="24" customFormat="1" hidden="1" outlineLevel="2" x14ac:dyDescent="0.25">
      <c r="A65" s="26"/>
      <c r="B65" s="11" t="str">
        <f>CONCATENATE("          ", "6376", " - ", "TRAINING")</f>
        <v xml:space="preserve">          6376 - TRAINING</v>
      </c>
      <c r="C65" s="11"/>
      <c r="D65" s="6"/>
      <c r="E65" s="2"/>
      <c r="F65" s="7">
        <f t="shared" si="40"/>
        <v>0</v>
      </c>
      <c r="G65" s="2"/>
      <c r="H65" s="6">
        <v>961.78</v>
      </c>
      <c r="I65" s="2"/>
      <c r="J65" s="7">
        <f t="shared" si="41"/>
        <v>0</v>
      </c>
      <c r="K65" s="2"/>
      <c r="L65" s="6">
        <f t="shared" si="42"/>
        <v>-961.78</v>
      </c>
      <c r="M65" s="2"/>
      <c r="N65" s="7">
        <f t="shared" si="43"/>
        <v>-1</v>
      </c>
      <c r="O65" s="11"/>
      <c r="P65" s="6">
        <v>5314.98</v>
      </c>
      <c r="Q65" s="2"/>
      <c r="R65" s="7">
        <f t="shared" si="44"/>
        <v>0</v>
      </c>
      <c r="S65" s="2"/>
      <c r="T65" s="6">
        <v>8594.76</v>
      </c>
      <c r="U65" s="2"/>
      <c r="V65" s="7">
        <f t="shared" si="45"/>
        <v>0</v>
      </c>
      <c r="W65" s="2"/>
      <c r="X65" s="6">
        <f t="shared" si="46"/>
        <v>-3279.7800000000007</v>
      </c>
      <c r="Y65" s="2"/>
      <c r="Z65" s="7">
        <f t="shared" si="47"/>
        <v>-0.38160227859765722</v>
      </c>
    </row>
    <row r="66" spans="1:26" s="27" customFormat="1" outlineLevel="1" collapsed="1" x14ac:dyDescent="0.25">
      <c r="A66" s="25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SUM(OSRRefD22_15x_0)</f>
        <v>0</v>
      </c>
      <c r="E66" s="1"/>
      <c r="F66" s="5">
        <f t="shared" si="40"/>
        <v>0</v>
      </c>
      <c r="G66" s="1"/>
      <c r="H66" s="1">
        <f>SUM(OSRRefH22_15x_0)</f>
        <v>1470</v>
      </c>
      <c r="I66" s="1"/>
      <c r="J66" s="5">
        <f t="shared" si="41"/>
        <v>0</v>
      </c>
      <c r="K66" s="1"/>
      <c r="L66" s="1">
        <f t="shared" si="42"/>
        <v>-1470</v>
      </c>
      <c r="M66" s="1"/>
      <c r="N66" s="5">
        <f t="shared" si="43"/>
        <v>-1</v>
      </c>
      <c r="O66" s="13"/>
      <c r="P66" s="1">
        <f>SUM(OSRRefP22_15x_0)</f>
        <v>1435.88</v>
      </c>
      <c r="Q66" s="1"/>
      <c r="R66" s="5">
        <f t="shared" si="44"/>
        <v>0</v>
      </c>
      <c r="S66" s="1"/>
      <c r="T66" s="1">
        <f>SUM(OSRRefT22_15x_0)</f>
        <v>3430.44</v>
      </c>
      <c r="U66" s="1"/>
      <c r="V66" s="5">
        <f t="shared" si="45"/>
        <v>0</v>
      </c>
      <c r="W66" s="1"/>
      <c r="X66" s="1">
        <f t="shared" si="46"/>
        <v>-1994.56</v>
      </c>
      <c r="Y66" s="1"/>
      <c r="Z66" s="5">
        <f t="shared" si="47"/>
        <v>-0.58142978743251594</v>
      </c>
    </row>
    <row r="67" spans="1:26" s="24" customFormat="1" hidden="1" outlineLevel="2" x14ac:dyDescent="0.25">
      <c r="A67" s="26"/>
      <c r="B67" s="11" t="str">
        <f>CONCATENATE("          ", "6292", " - ", "TRAVEL/CONFERENCE")</f>
        <v xml:space="preserve">          6292 - TRAVEL/CONFERENCE</v>
      </c>
      <c r="C67" s="11"/>
      <c r="D67" s="6"/>
      <c r="E67" s="2"/>
      <c r="F67" s="7">
        <f t="shared" si="40"/>
        <v>0</v>
      </c>
      <c r="G67" s="2"/>
      <c r="H67" s="6">
        <v>1470</v>
      </c>
      <c r="I67" s="2"/>
      <c r="J67" s="7">
        <f t="shared" si="41"/>
        <v>0</v>
      </c>
      <c r="K67" s="2"/>
      <c r="L67" s="6">
        <f t="shared" si="42"/>
        <v>-1470</v>
      </c>
      <c r="M67" s="2"/>
      <c r="N67" s="7">
        <f t="shared" si="43"/>
        <v>-1</v>
      </c>
      <c r="O67" s="11"/>
      <c r="P67" s="6">
        <v>1435.88</v>
      </c>
      <c r="Q67" s="2"/>
      <c r="R67" s="7">
        <f t="shared" si="44"/>
        <v>0</v>
      </c>
      <c r="S67" s="2"/>
      <c r="T67" s="6">
        <v>3430.44</v>
      </c>
      <c r="U67" s="2"/>
      <c r="V67" s="7">
        <f t="shared" si="45"/>
        <v>0</v>
      </c>
      <c r="W67" s="2"/>
      <c r="X67" s="6">
        <f t="shared" si="46"/>
        <v>-1994.56</v>
      </c>
      <c r="Y67" s="2"/>
      <c r="Z67" s="7">
        <f t="shared" si="47"/>
        <v>-0.58142978743251594</v>
      </c>
    </row>
    <row r="68" spans="1:26" s="55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1">
        <f>+D16-D18+D69</f>
        <v>-87993.24</v>
      </c>
      <c r="E71" s="14"/>
      <c r="F71" s="22">
        <f>IF(D$12=0,0,D71/D$12)</f>
        <v>0</v>
      </c>
      <c r="G71" s="14"/>
      <c r="H71" s="21">
        <f>+H16-H18+H69</f>
        <v>-71287.26999999999</v>
      </c>
      <c r="I71" s="14"/>
      <c r="J71" s="22">
        <f>IF(H$12=0,0,H71/H$12)</f>
        <v>0</v>
      </c>
      <c r="K71" s="16"/>
      <c r="L71" s="21">
        <f>+D71-H71</f>
        <v>-16705.970000000016</v>
      </c>
      <c r="M71" s="16"/>
      <c r="N71" s="22">
        <f>IF(H71=0,0,L71/H71)</f>
        <v>0.23434717025915031</v>
      </c>
      <c r="O71" s="29"/>
      <c r="P71" s="21">
        <f>+P16-P18+P69</f>
        <v>-289587.59000000003</v>
      </c>
      <c r="Q71" s="14"/>
      <c r="R71" s="22">
        <f>IF(P$12=0,0,P71/P$12)</f>
        <v>0</v>
      </c>
      <c r="S71" s="14"/>
      <c r="T71" s="21">
        <f>+T16-T18+T69</f>
        <v>-236146.71000000002</v>
      </c>
      <c r="U71" s="14"/>
      <c r="V71" s="22">
        <f>IF(T$12=0,0,T71/T$12)</f>
        <v>0</v>
      </c>
      <c r="W71" s="16"/>
      <c r="X71" s="21">
        <f>+P71-T71</f>
        <v>-53440.880000000005</v>
      </c>
      <c r="Y71" s="16"/>
      <c r="Z71" s="22">
        <f>IF(T71=0,0,X71/T71)</f>
        <v>0.22630372449398087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1">
        <f>+D71-D73</f>
        <v>-87993.24</v>
      </c>
      <c r="E75" s="14"/>
      <c r="F75" s="34">
        <f>IF(D$12=0,0,D75/D$12)</f>
        <v>0</v>
      </c>
      <c r="G75" s="14"/>
      <c r="H75" s="31">
        <f>+H71-H73</f>
        <v>-71287.26999999999</v>
      </c>
      <c r="I75" s="14"/>
      <c r="J75" s="34">
        <f>IF(H$12=0,0,H75/H$12)</f>
        <v>0</v>
      </c>
      <c r="K75" s="16"/>
      <c r="L75" s="31">
        <f>D75-H75</f>
        <v>-16705.970000000016</v>
      </c>
      <c r="M75" s="16"/>
      <c r="N75" s="34">
        <f>IF(H75=0,0,L75/H75)</f>
        <v>0.23434717025915031</v>
      </c>
      <c r="O75" s="29"/>
      <c r="P75" s="31">
        <f>+P71-P73</f>
        <v>-289587.59000000003</v>
      </c>
      <c r="Q75" s="14"/>
      <c r="R75" s="34">
        <f>IF(P$12=0,0,P75/P$12)</f>
        <v>0</v>
      </c>
      <c r="S75" s="14"/>
      <c r="T75" s="31">
        <f>+T71-T73</f>
        <v>-236146.71000000002</v>
      </c>
      <c r="U75" s="14"/>
      <c r="V75" s="34">
        <f>IF(T$12=0,0,T75/T$12)</f>
        <v>0</v>
      </c>
      <c r="W75" s="16"/>
      <c r="X75" s="31">
        <f>P75-T75</f>
        <v>-53440.880000000005</v>
      </c>
      <c r="Y75" s="16"/>
      <c r="Z75" s="34">
        <f>IF(T75=0,0,X75/T75)</f>
        <v>0.22630372449398087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6">
        <f>SUM(D75:D77)</f>
        <v>-87993.24</v>
      </c>
      <c r="E78" s="14"/>
      <c r="F78" s="33">
        <f>IF(D$12=0,0,D78/D$12)</f>
        <v>0</v>
      </c>
      <c r="G78" s="14"/>
      <c r="H78" s="36">
        <f>SUM(H75:H77)</f>
        <v>-71287.26999999999</v>
      </c>
      <c r="I78" s="14"/>
      <c r="J78" s="33">
        <f>IF(H$12=0,0,H78/H$12)</f>
        <v>0</v>
      </c>
      <c r="K78" s="16"/>
      <c r="L78" s="36">
        <f>+D78-H78</f>
        <v>-16705.970000000016</v>
      </c>
      <c r="M78" s="16"/>
      <c r="N78" s="33">
        <f>IF(H78=0,0,L78/H78)</f>
        <v>0.23434717025915031</v>
      </c>
      <c r="O78" s="29"/>
      <c r="P78" s="36">
        <f>SUM(P75:P77)</f>
        <v>-289587.59000000003</v>
      </c>
      <c r="Q78" s="14"/>
      <c r="R78" s="33">
        <f>IF(P$12=0,0,P78/P$12)</f>
        <v>0</v>
      </c>
      <c r="S78" s="14"/>
      <c r="T78" s="36">
        <f>SUM(T75:T77)</f>
        <v>-236146.71000000002</v>
      </c>
      <c r="U78" s="14"/>
      <c r="V78" s="33">
        <f>IF(T$12=0,0,T78/T$12)</f>
        <v>0</v>
      </c>
      <c r="W78" s="16"/>
      <c r="X78" s="36">
        <f>+P78-T78</f>
        <v>-53440.880000000005</v>
      </c>
      <c r="Y78" s="16"/>
      <c r="Z78" s="33">
        <f>IF(T78=0,0,X78/T78)</f>
        <v>0.22630372449398087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61">
        <v>43791.355079548608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6" t="s">
        <v>313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7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","204", " - ", "Information Technology")</f>
        <v>Department 204 - Information Technology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70163.089999999982</v>
      </c>
      <c r="E18" s="20"/>
      <c r="F18" s="35">
        <f t="shared" ref="F18:F28" si="0">IF(D$12=0,0,D18/D$12)</f>
        <v>0</v>
      </c>
      <c r="G18" s="20"/>
      <c r="H18" s="20">
        <f>SUM(OSRRefH22x_0)</f>
        <v>78966.599999999977</v>
      </c>
      <c r="I18" s="20"/>
      <c r="J18" s="35">
        <f t="shared" ref="J18:J28" si="1">IF(H$12=0,0,H18/H$12)</f>
        <v>0</v>
      </c>
      <c r="K18" s="4"/>
      <c r="L18" s="20">
        <f t="shared" ref="L18:L28" si="2">+D18-H18</f>
        <v>-8803.5099999999948</v>
      </c>
      <c r="M18" s="4"/>
      <c r="N18" s="35">
        <f t="shared" ref="N18:N28" si="3">IF(H18=0,0,L18/H18)</f>
        <v>-0.11148396917177639</v>
      </c>
      <c r="O18" s="10"/>
      <c r="P18" s="20">
        <f>SUM(OSRRefP22x_0)</f>
        <v>252829.10999999996</v>
      </c>
      <c r="Q18" s="20"/>
      <c r="R18" s="35">
        <f t="shared" ref="R18:R28" si="4">IF(P$12=0,0,P18/P$12)</f>
        <v>0</v>
      </c>
      <c r="S18" s="20"/>
      <c r="T18" s="20">
        <f>SUM(OSRRefT22x_0)</f>
        <v>250200.53000000003</v>
      </c>
      <c r="U18" s="20"/>
      <c r="V18" s="35">
        <f t="shared" ref="V18:V28" si="5">IF(T$12=0,0,T18/T$12)</f>
        <v>0</v>
      </c>
      <c r="W18" s="4"/>
      <c r="X18" s="20">
        <f t="shared" ref="X18:X28" si="6">+P18-T18</f>
        <v>2628.579999999929</v>
      </c>
      <c r="Y18" s="4"/>
      <c r="Z18" s="35">
        <f t="shared" ref="Z18:Z28" si="7">IF(T18=0,0,X18/T18)</f>
        <v>1.0505893013096051E-2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16996.349999999999</v>
      </c>
      <c r="E19" s="1"/>
      <c r="F19" s="5">
        <f t="shared" si="0"/>
        <v>0</v>
      </c>
      <c r="G19" s="1"/>
      <c r="H19" s="1">
        <f>SUM(OSRRefH22_0x_0)</f>
        <v>20439.439999999999</v>
      </c>
      <c r="I19" s="1"/>
      <c r="J19" s="5">
        <f t="shared" si="1"/>
        <v>0</v>
      </c>
      <c r="K19" s="1"/>
      <c r="L19" s="1">
        <f t="shared" si="2"/>
        <v>-3443.09</v>
      </c>
      <c r="M19" s="1"/>
      <c r="N19" s="5">
        <f t="shared" si="3"/>
        <v>-0.16845324529439165</v>
      </c>
      <c r="O19" s="13"/>
      <c r="P19" s="1">
        <f>SUM(OSRRefP22_0x_0)</f>
        <v>53905.67</v>
      </c>
      <c r="Q19" s="1"/>
      <c r="R19" s="5">
        <f t="shared" si="4"/>
        <v>0</v>
      </c>
      <c r="S19" s="1"/>
      <c r="T19" s="1">
        <f>SUM(OSRRefT22_0x_0)</f>
        <v>59250.07</v>
      </c>
      <c r="U19" s="1"/>
      <c r="V19" s="5">
        <f t="shared" si="5"/>
        <v>0</v>
      </c>
      <c r="W19" s="1"/>
      <c r="X19" s="1">
        <f t="shared" si="6"/>
        <v>-5344.4000000000015</v>
      </c>
      <c r="Y19" s="1"/>
      <c r="Z19" s="5">
        <f t="shared" si="7"/>
        <v>-9.0200737315584631E-2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3989.36</v>
      </c>
      <c r="E20" s="2"/>
      <c r="F20" s="7">
        <f t="shared" si="0"/>
        <v>0</v>
      </c>
      <c r="G20" s="2"/>
      <c r="H20" s="6">
        <v>3290.65</v>
      </c>
      <c r="I20" s="2"/>
      <c r="J20" s="7">
        <f t="shared" si="1"/>
        <v>0</v>
      </c>
      <c r="K20" s="2"/>
      <c r="L20" s="6">
        <f t="shared" si="2"/>
        <v>698.71</v>
      </c>
      <c r="M20" s="2"/>
      <c r="N20" s="7">
        <f t="shared" si="3"/>
        <v>0.21233191010894506</v>
      </c>
      <c r="O20" s="11"/>
      <c r="P20" s="6">
        <v>9544.2099999999991</v>
      </c>
      <c r="Q20" s="2"/>
      <c r="R20" s="7">
        <f t="shared" si="4"/>
        <v>0</v>
      </c>
      <c r="S20" s="2"/>
      <c r="T20" s="6">
        <v>8990.65</v>
      </c>
      <c r="U20" s="2"/>
      <c r="V20" s="7">
        <f t="shared" si="5"/>
        <v>0</v>
      </c>
      <c r="W20" s="2"/>
      <c r="X20" s="6">
        <f t="shared" si="6"/>
        <v>553.55999999999949</v>
      </c>
      <c r="Y20" s="2"/>
      <c r="Z20" s="7">
        <f t="shared" si="7"/>
        <v>6.1570631711833905E-2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-16.63</v>
      </c>
      <c r="E21" s="2"/>
      <c r="F21" s="7">
        <f t="shared" si="0"/>
        <v>0</v>
      </c>
      <c r="G21" s="2"/>
      <c r="H21" s="6">
        <v>164.35</v>
      </c>
      <c r="I21" s="2"/>
      <c r="J21" s="7">
        <f t="shared" si="1"/>
        <v>0</v>
      </c>
      <c r="K21" s="2"/>
      <c r="L21" s="6">
        <f t="shared" si="2"/>
        <v>-180.98</v>
      </c>
      <c r="M21" s="2"/>
      <c r="N21" s="7">
        <f t="shared" si="3"/>
        <v>-1.1011864922421661</v>
      </c>
      <c r="O21" s="11"/>
      <c r="P21" s="6">
        <v>245.96</v>
      </c>
      <c r="Q21" s="2"/>
      <c r="R21" s="7">
        <f t="shared" si="4"/>
        <v>0</v>
      </c>
      <c r="S21" s="2"/>
      <c r="T21" s="6">
        <v>364.89</v>
      </c>
      <c r="U21" s="2"/>
      <c r="V21" s="7">
        <f t="shared" si="5"/>
        <v>0</v>
      </c>
      <c r="W21" s="2"/>
      <c r="X21" s="6">
        <f t="shared" si="6"/>
        <v>-118.92999999999998</v>
      </c>
      <c r="Y21" s="2"/>
      <c r="Z21" s="7">
        <f t="shared" si="7"/>
        <v>-0.32593384307599543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5268.48</v>
      </c>
      <c r="E22" s="2"/>
      <c r="F22" s="7">
        <f t="shared" si="0"/>
        <v>0</v>
      </c>
      <c r="G22" s="2"/>
      <c r="H22" s="6">
        <v>6782.96</v>
      </c>
      <c r="I22" s="2"/>
      <c r="J22" s="7">
        <f t="shared" si="1"/>
        <v>0</v>
      </c>
      <c r="K22" s="2"/>
      <c r="L22" s="6">
        <f t="shared" si="2"/>
        <v>-1514.4800000000005</v>
      </c>
      <c r="M22" s="2"/>
      <c r="N22" s="7">
        <f t="shared" si="3"/>
        <v>-0.2232771533371862</v>
      </c>
      <c r="O22" s="11"/>
      <c r="P22" s="6">
        <v>20438.82</v>
      </c>
      <c r="Q22" s="2"/>
      <c r="R22" s="7">
        <f t="shared" si="4"/>
        <v>0</v>
      </c>
      <c r="S22" s="2"/>
      <c r="T22" s="6">
        <v>23223.66</v>
      </c>
      <c r="U22" s="2"/>
      <c r="V22" s="7">
        <f t="shared" si="5"/>
        <v>0</v>
      </c>
      <c r="W22" s="2"/>
      <c r="X22" s="6">
        <f t="shared" si="6"/>
        <v>-2784.84</v>
      </c>
      <c r="Y22" s="2"/>
      <c r="Z22" s="7">
        <f t="shared" si="7"/>
        <v>-0.11991391537767949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113.17</v>
      </c>
      <c r="E23" s="2"/>
      <c r="F23" s="7">
        <f t="shared" si="0"/>
        <v>0</v>
      </c>
      <c r="G23" s="2"/>
      <c r="H23" s="6">
        <v>83.22</v>
      </c>
      <c r="I23" s="2"/>
      <c r="J23" s="7">
        <f t="shared" si="1"/>
        <v>0</v>
      </c>
      <c r="K23" s="2"/>
      <c r="L23" s="6">
        <f t="shared" si="2"/>
        <v>29.950000000000003</v>
      </c>
      <c r="M23" s="2"/>
      <c r="N23" s="7">
        <f t="shared" si="3"/>
        <v>0.35988944965152614</v>
      </c>
      <c r="O23" s="11"/>
      <c r="P23" s="6">
        <v>313.97000000000003</v>
      </c>
      <c r="Q23" s="2"/>
      <c r="R23" s="7">
        <f t="shared" si="4"/>
        <v>0</v>
      </c>
      <c r="S23" s="2"/>
      <c r="T23" s="6">
        <v>306.02999999999997</v>
      </c>
      <c r="U23" s="2"/>
      <c r="V23" s="7">
        <f t="shared" si="5"/>
        <v>0</v>
      </c>
      <c r="W23" s="2"/>
      <c r="X23" s="6">
        <f t="shared" si="6"/>
        <v>7.9400000000000546</v>
      </c>
      <c r="Y23" s="2"/>
      <c r="Z23" s="7">
        <f t="shared" si="7"/>
        <v>2.5945168774303355E-2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3079.81</v>
      </c>
      <c r="E24" s="2"/>
      <c r="F24" s="7">
        <f t="shared" si="0"/>
        <v>0</v>
      </c>
      <c r="G24" s="2"/>
      <c r="H24" s="6">
        <v>1947.12</v>
      </c>
      <c r="I24" s="2"/>
      <c r="J24" s="7">
        <f t="shared" si="1"/>
        <v>0</v>
      </c>
      <c r="K24" s="2"/>
      <c r="L24" s="6">
        <f t="shared" si="2"/>
        <v>1132.69</v>
      </c>
      <c r="M24" s="2"/>
      <c r="N24" s="7">
        <f t="shared" si="3"/>
        <v>0.58172583097086983</v>
      </c>
      <c r="O24" s="11"/>
      <c r="P24" s="6">
        <v>7096.96</v>
      </c>
      <c r="Q24" s="2"/>
      <c r="R24" s="7">
        <f t="shared" si="4"/>
        <v>0</v>
      </c>
      <c r="S24" s="2"/>
      <c r="T24" s="6">
        <v>8191.86</v>
      </c>
      <c r="U24" s="2"/>
      <c r="V24" s="7">
        <f t="shared" si="5"/>
        <v>0</v>
      </c>
      <c r="W24" s="2"/>
      <c r="X24" s="6">
        <f t="shared" si="6"/>
        <v>-1094.8999999999996</v>
      </c>
      <c r="Y24" s="2"/>
      <c r="Z24" s="7">
        <f t="shared" si="7"/>
        <v>-0.13365706933468097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6">
        <v>378.28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378.28</v>
      </c>
      <c r="M25" s="2"/>
      <c r="N25" s="7">
        <f t="shared" si="3"/>
        <v>0</v>
      </c>
      <c r="O25" s="11"/>
      <c r="P25" s="6">
        <v>1514.22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1514.22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2112.9299999999998</v>
      </c>
      <c r="E26" s="2"/>
      <c r="F26" s="7">
        <f t="shared" si="0"/>
        <v>0</v>
      </c>
      <c r="G26" s="2"/>
      <c r="H26" s="6">
        <v>5643.95</v>
      </c>
      <c r="I26" s="2"/>
      <c r="J26" s="7">
        <f t="shared" si="1"/>
        <v>0</v>
      </c>
      <c r="K26" s="2"/>
      <c r="L26" s="6">
        <f t="shared" si="2"/>
        <v>-3531.02</v>
      </c>
      <c r="M26" s="2"/>
      <c r="N26" s="7">
        <f t="shared" si="3"/>
        <v>-0.62562921358268586</v>
      </c>
      <c r="O26" s="11"/>
      <c r="P26" s="6">
        <v>7353.56</v>
      </c>
      <c r="Q26" s="2"/>
      <c r="R26" s="7">
        <f t="shared" si="4"/>
        <v>0</v>
      </c>
      <c r="S26" s="2"/>
      <c r="T26" s="6">
        <v>10745.12</v>
      </c>
      <c r="U26" s="2"/>
      <c r="V26" s="7">
        <f t="shared" si="5"/>
        <v>0</v>
      </c>
      <c r="W26" s="2"/>
      <c r="X26" s="6">
        <f t="shared" si="6"/>
        <v>-3391.5600000000004</v>
      </c>
      <c r="Y26" s="2"/>
      <c r="Z26" s="7">
        <f t="shared" si="7"/>
        <v>-0.31563723811367395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1412.55</v>
      </c>
      <c r="E27" s="2"/>
      <c r="F27" s="7">
        <f t="shared" si="0"/>
        <v>0</v>
      </c>
      <c r="G27" s="2"/>
      <c r="H27" s="6">
        <v>1944.12</v>
      </c>
      <c r="I27" s="2"/>
      <c r="J27" s="7">
        <f t="shared" si="1"/>
        <v>0</v>
      </c>
      <c r="K27" s="2"/>
      <c r="L27" s="6">
        <f t="shared" si="2"/>
        <v>-531.56999999999994</v>
      </c>
      <c r="M27" s="2"/>
      <c r="N27" s="7">
        <f t="shared" si="3"/>
        <v>-0.27342447997037217</v>
      </c>
      <c r="O27" s="11"/>
      <c r="P27" s="6">
        <v>4923.26</v>
      </c>
      <c r="Q27" s="2"/>
      <c r="R27" s="7">
        <f t="shared" si="4"/>
        <v>0</v>
      </c>
      <c r="S27" s="2"/>
      <c r="T27" s="6">
        <v>5249.42</v>
      </c>
      <c r="U27" s="2"/>
      <c r="V27" s="7">
        <f t="shared" si="5"/>
        <v>0</v>
      </c>
      <c r="W27" s="2"/>
      <c r="X27" s="6">
        <f t="shared" si="6"/>
        <v>-326.15999999999985</v>
      </c>
      <c r="Y27" s="2"/>
      <c r="Z27" s="7">
        <f t="shared" si="7"/>
        <v>-6.2132578456286572E-2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658.4</v>
      </c>
      <c r="E28" s="2"/>
      <c r="F28" s="7">
        <f t="shared" si="0"/>
        <v>0</v>
      </c>
      <c r="G28" s="2"/>
      <c r="H28" s="6">
        <v>583.07000000000005</v>
      </c>
      <c r="I28" s="2"/>
      <c r="J28" s="7">
        <f t="shared" si="1"/>
        <v>0</v>
      </c>
      <c r="K28" s="2"/>
      <c r="L28" s="6">
        <f t="shared" si="2"/>
        <v>75.329999999999927</v>
      </c>
      <c r="M28" s="2"/>
      <c r="N28" s="7">
        <f t="shared" si="3"/>
        <v>0.12919546538151494</v>
      </c>
      <c r="O28" s="11"/>
      <c r="P28" s="6">
        <v>2474.71</v>
      </c>
      <c r="Q28" s="2"/>
      <c r="R28" s="7">
        <f t="shared" si="4"/>
        <v>0</v>
      </c>
      <c r="S28" s="2"/>
      <c r="T28" s="6">
        <v>2178.44</v>
      </c>
      <c r="U28" s="2"/>
      <c r="V28" s="7">
        <f t="shared" si="5"/>
        <v>0</v>
      </c>
      <c r="W28" s="2"/>
      <c r="X28" s="6">
        <f t="shared" si="6"/>
        <v>296.27</v>
      </c>
      <c r="Y28" s="2"/>
      <c r="Z28" s="7">
        <f t="shared" si="7"/>
        <v>0.13600099153522704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31366.809999999998</v>
      </c>
      <c r="E29" s="1"/>
      <c r="F29" s="5">
        <f t="shared" ref="F29:F34" si="8">IF(D$12=0,0,D29/D$12)</f>
        <v>0</v>
      </c>
      <c r="G29" s="1"/>
      <c r="H29" s="1">
        <f>SUM(OSRRefH22_1x_0)</f>
        <v>28330.16</v>
      </c>
      <c r="I29" s="1"/>
      <c r="J29" s="5">
        <f t="shared" ref="J29:J34" si="9">IF(H$12=0,0,H29/H$12)</f>
        <v>0</v>
      </c>
      <c r="K29" s="1"/>
      <c r="L29" s="1">
        <f t="shared" ref="L29:L34" si="10">+D29-H29</f>
        <v>3036.6499999999978</v>
      </c>
      <c r="M29" s="1"/>
      <c r="N29" s="5">
        <f t="shared" ref="N29:N34" si="11">IF(H29=0,0,L29/H29)</f>
        <v>0.10718788739632949</v>
      </c>
      <c r="O29" s="13"/>
      <c r="P29" s="1">
        <f>SUM(OSRRefP22_1x_0)</f>
        <v>109586.15</v>
      </c>
      <c r="Q29" s="1"/>
      <c r="R29" s="5">
        <f t="shared" ref="R29:R34" si="12">IF(P$12=0,0,P29/P$12)</f>
        <v>0</v>
      </c>
      <c r="S29" s="1"/>
      <c r="T29" s="1">
        <f>SUM(OSRRefT22_1x_0)</f>
        <v>95310.81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14275.339999999997</v>
      </c>
      <c r="Y29" s="1"/>
      <c r="Z29" s="5">
        <f t="shared" ref="Z29:Z34" si="15">IF(T29=0,0,X29/T29)</f>
        <v>0.14977671472942047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15005.529999999999</v>
      </c>
      <c r="E30" s="2"/>
      <c r="F30" s="7">
        <f t="shared" si="8"/>
        <v>0</v>
      </c>
      <c r="G30" s="2"/>
      <c r="H30" s="6">
        <v>11466.98</v>
      </c>
      <c r="I30" s="2"/>
      <c r="J30" s="7">
        <f t="shared" si="9"/>
        <v>0</v>
      </c>
      <c r="K30" s="2"/>
      <c r="L30" s="6">
        <f t="shared" si="10"/>
        <v>3538.5499999999993</v>
      </c>
      <c r="M30" s="2"/>
      <c r="N30" s="7">
        <f t="shared" si="11"/>
        <v>0.30858604445111087</v>
      </c>
      <c r="O30" s="11"/>
      <c r="P30" s="6">
        <v>52106.729999999996</v>
      </c>
      <c r="Q30" s="2"/>
      <c r="R30" s="7">
        <f t="shared" si="12"/>
        <v>0</v>
      </c>
      <c r="S30" s="2"/>
      <c r="T30" s="6">
        <v>49454.22</v>
      </c>
      <c r="U30" s="2"/>
      <c r="V30" s="7">
        <f t="shared" si="13"/>
        <v>0</v>
      </c>
      <c r="W30" s="2"/>
      <c r="X30" s="6">
        <f t="shared" si="14"/>
        <v>2652.5099999999948</v>
      </c>
      <c r="Y30" s="2"/>
      <c r="Z30" s="7">
        <f t="shared" si="15"/>
        <v>5.3635665470004271E-2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>
        <v>11011.27</v>
      </c>
      <c r="E31" s="2"/>
      <c r="F31" s="7">
        <f t="shared" si="8"/>
        <v>0</v>
      </c>
      <c r="G31" s="2"/>
      <c r="H31" s="6">
        <v>11664.98</v>
      </c>
      <c r="I31" s="2"/>
      <c r="J31" s="7">
        <f t="shared" si="9"/>
        <v>0</v>
      </c>
      <c r="K31" s="2"/>
      <c r="L31" s="6">
        <f t="shared" si="10"/>
        <v>-653.70999999999913</v>
      </c>
      <c r="M31" s="2"/>
      <c r="N31" s="7">
        <f t="shared" si="11"/>
        <v>-5.6040387553171901E-2</v>
      </c>
      <c r="O31" s="11"/>
      <c r="P31" s="6">
        <v>32325.41</v>
      </c>
      <c r="Q31" s="2"/>
      <c r="R31" s="7">
        <f t="shared" si="12"/>
        <v>0</v>
      </c>
      <c r="S31" s="2"/>
      <c r="T31" s="6">
        <v>25186.82</v>
      </c>
      <c r="U31" s="2"/>
      <c r="V31" s="7">
        <f t="shared" si="13"/>
        <v>0</v>
      </c>
      <c r="W31" s="2"/>
      <c r="X31" s="6">
        <f t="shared" si="14"/>
        <v>7138.59</v>
      </c>
      <c r="Y31" s="2"/>
      <c r="Z31" s="7">
        <f t="shared" si="15"/>
        <v>0.28342561704891689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3891.25</v>
      </c>
      <c r="E32" s="2"/>
      <c r="F32" s="7">
        <f t="shared" si="8"/>
        <v>0</v>
      </c>
      <c r="G32" s="2"/>
      <c r="H32" s="6">
        <v>3708.13</v>
      </c>
      <c r="I32" s="2"/>
      <c r="J32" s="7">
        <f t="shared" si="9"/>
        <v>0</v>
      </c>
      <c r="K32" s="2"/>
      <c r="L32" s="6">
        <f t="shared" si="10"/>
        <v>183.11999999999989</v>
      </c>
      <c r="M32" s="2"/>
      <c r="N32" s="7">
        <f t="shared" si="11"/>
        <v>4.9383381920267061E-2</v>
      </c>
      <c r="O32" s="11"/>
      <c r="P32" s="6">
        <v>10502.5</v>
      </c>
      <c r="Q32" s="2"/>
      <c r="R32" s="7">
        <f t="shared" si="12"/>
        <v>0</v>
      </c>
      <c r="S32" s="2"/>
      <c r="T32" s="6">
        <v>9609.26</v>
      </c>
      <c r="U32" s="2"/>
      <c r="V32" s="7">
        <f t="shared" si="13"/>
        <v>0</v>
      </c>
      <c r="W32" s="2"/>
      <c r="X32" s="6">
        <f t="shared" si="14"/>
        <v>893.23999999999978</v>
      </c>
      <c r="Y32" s="2"/>
      <c r="Z32" s="7">
        <f t="shared" si="15"/>
        <v>9.2956169361636559E-2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>
        <v>1458.76</v>
      </c>
      <c r="E33" s="2"/>
      <c r="F33" s="7">
        <f t="shared" si="8"/>
        <v>0</v>
      </c>
      <c r="G33" s="2"/>
      <c r="H33" s="6">
        <v>1490.07</v>
      </c>
      <c r="I33" s="2"/>
      <c r="J33" s="7">
        <f t="shared" si="9"/>
        <v>0</v>
      </c>
      <c r="K33" s="2"/>
      <c r="L33" s="6">
        <f t="shared" si="10"/>
        <v>-31.309999999999945</v>
      </c>
      <c r="M33" s="2"/>
      <c r="N33" s="7">
        <f t="shared" si="11"/>
        <v>-2.1012435657385187E-2</v>
      </c>
      <c r="O33" s="11"/>
      <c r="P33" s="6">
        <v>12131.51</v>
      </c>
      <c r="Q33" s="2"/>
      <c r="R33" s="7">
        <f t="shared" si="12"/>
        <v>0</v>
      </c>
      <c r="S33" s="2"/>
      <c r="T33" s="6">
        <v>11060.51</v>
      </c>
      <c r="U33" s="2"/>
      <c r="V33" s="7">
        <f t="shared" si="13"/>
        <v>0</v>
      </c>
      <c r="W33" s="2"/>
      <c r="X33" s="6">
        <f t="shared" si="14"/>
        <v>1071</v>
      </c>
      <c r="Y33" s="2"/>
      <c r="Z33" s="7">
        <f t="shared" si="15"/>
        <v>9.6830977956712666E-2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2520</v>
      </c>
      <c r="Q34" s="2"/>
      <c r="R34" s="7">
        <f t="shared" si="12"/>
        <v>0</v>
      </c>
      <c r="S34" s="2"/>
      <c r="T34" s="6"/>
      <c r="U34" s="2"/>
      <c r="V34" s="7">
        <f t="shared" si="13"/>
        <v>0</v>
      </c>
      <c r="W34" s="2"/>
      <c r="X34" s="6">
        <f t="shared" si="14"/>
        <v>2520</v>
      </c>
      <c r="Y34" s="2"/>
      <c r="Z34" s="7">
        <f t="shared" si="15"/>
        <v>0</v>
      </c>
    </row>
    <row r="35" spans="1:26" s="27" customFormat="1" outlineLevel="1" collapsed="1" x14ac:dyDescent="0.25">
      <c r="A35" s="25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39" si="16">IF(D$12=0,0,D35/D$12)</f>
        <v>0</v>
      </c>
      <c r="G35" s="1"/>
      <c r="H35" s="1">
        <f>SUM(OSRRefH22_2x_0)</f>
        <v>0</v>
      </c>
      <c r="I35" s="1"/>
      <c r="J35" s="5">
        <f t="shared" ref="J35:J39" si="17">IF(H$12=0,0,H35/H$12)</f>
        <v>0</v>
      </c>
      <c r="K35" s="1"/>
      <c r="L35" s="1">
        <f t="shared" ref="L35:L39" si="18">+D35-H35</f>
        <v>0</v>
      </c>
      <c r="M35" s="1"/>
      <c r="N35" s="5">
        <f t="shared" ref="N35:N39" si="19">IF(H35=0,0,L35/H35)</f>
        <v>0</v>
      </c>
      <c r="O35" s="13"/>
      <c r="P35" s="1">
        <f>SUM(OSRRefP22_2x_0)</f>
        <v>9.99</v>
      </c>
      <c r="Q35" s="1"/>
      <c r="R35" s="5">
        <f t="shared" ref="R35:R39" si="20">IF(P$12=0,0,P35/P$12)</f>
        <v>0</v>
      </c>
      <c r="S35" s="1"/>
      <c r="T35" s="1">
        <f>SUM(OSRRefT22_2x_0)</f>
        <v>6</v>
      </c>
      <c r="U35" s="1"/>
      <c r="V35" s="5">
        <f t="shared" ref="V35:V39" si="21">IF(T$12=0,0,T35/T$12)</f>
        <v>0</v>
      </c>
      <c r="W35" s="1"/>
      <c r="X35" s="1">
        <f t="shared" ref="X35:X39" si="22">+P35-T35</f>
        <v>3.99</v>
      </c>
      <c r="Y35" s="1"/>
      <c r="Z35" s="5">
        <f t="shared" ref="Z35:Z39" si="23">IF(T35=0,0,X35/T35)</f>
        <v>0.66500000000000004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9.99</v>
      </c>
      <c r="Q36" s="2"/>
      <c r="R36" s="7">
        <f t="shared" si="20"/>
        <v>0</v>
      </c>
      <c r="S36" s="2"/>
      <c r="T36" s="6">
        <v>6</v>
      </c>
      <c r="U36" s="2"/>
      <c r="V36" s="7">
        <f t="shared" si="21"/>
        <v>0</v>
      </c>
      <c r="W36" s="2"/>
      <c r="X36" s="6">
        <f t="shared" si="22"/>
        <v>3.99</v>
      </c>
      <c r="Y36" s="2"/>
      <c r="Z36" s="7">
        <f t="shared" si="23"/>
        <v>0.66500000000000004</v>
      </c>
    </row>
    <row r="37" spans="1:26" s="27" customFormat="1" outlineLevel="1" collapsed="1" x14ac:dyDescent="0.25">
      <c r="A37" s="25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6175.97</v>
      </c>
      <c r="E37" s="1"/>
      <c r="F37" s="5">
        <f t="shared" si="16"/>
        <v>0</v>
      </c>
      <c r="G37" s="1"/>
      <c r="H37" s="1">
        <f>SUM(OSRRefH22_3x_0)</f>
        <v>7869.89</v>
      </c>
      <c r="I37" s="1"/>
      <c r="J37" s="5">
        <f t="shared" si="17"/>
        <v>0</v>
      </c>
      <c r="K37" s="1"/>
      <c r="L37" s="1">
        <f t="shared" si="18"/>
        <v>-1693.92</v>
      </c>
      <c r="M37" s="1"/>
      <c r="N37" s="5">
        <f t="shared" si="19"/>
        <v>-0.21524061962746621</v>
      </c>
      <c r="O37" s="13"/>
      <c r="P37" s="1">
        <f>SUM(OSRRefP22_3x_0)</f>
        <v>24703.88</v>
      </c>
      <c r="Q37" s="1"/>
      <c r="R37" s="5">
        <f t="shared" si="20"/>
        <v>0</v>
      </c>
      <c r="S37" s="1"/>
      <c r="T37" s="1">
        <f>SUM(OSRRefT22_3x_0)</f>
        <v>31479.56</v>
      </c>
      <c r="U37" s="1"/>
      <c r="V37" s="5">
        <f t="shared" si="21"/>
        <v>0</v>
      </c>
      <c r="W37" s="1"/>
      <c r="X37" s="1">
        <f t="shared" si="22"/>
        <v>-6775.68</v>
      </c>
      <c r="Y37" s="1"/>
      <c r="Z37" s="5">
        <f t="shared" si="23"/>
        <v>-0.21524061962746621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6175.97</v>
      </c>
      <c r="E38" s="2"/>
      <c r="F38" s="7">
        <f t="shared" si="16"/>
        <v>0</v>
      </c>
      <c r="G38" s="2"/>
      <c r="H38" s="6">
        <v>7547.85</v>
      </c>
      <c r="I38" s="2"/>
      <c r="J38" s="7">
        <f t="shared" si="17"/>
        <v>0</v>
      </c>
      <c r="K38" s="2"/>
      <c r="L38" s="6">
        <f t="shared" si="18"/>
        <v>-1371.88</v>
      </c>
      <c r="M38" s="2"/>
      <c r="N38" s="7">
        <f t="shared" si="19"/>
        <v>-0.18175771908556743</v>
      </c>
      <c r="O38" s="11"/>
      <c r="P38" s="6">
        <v>24703.88</v>
      </c>
      <c r="Q38" s="2"/>
      <c r="R38" s="7">
        <f t="shared" si="20"/>
        <v>0</v>
      </c>
      <c r="S38" s="2"/>
      <c r="T38" s="6">
        <v>30191.4</v>
      </c>
      <c r="U38" s="2"/>
      <c r="V38" s="7">
        <f t="shared" si="21"/>
        <v>0</v>
      </c>
      <c r="W38" s="2"/>
      <c r="X38" s="6">
        <f t="shared" si="22"/>
        <v>-5487.52</v>
      </c>
      <c r="Y38" s="2"/>
      <c r="Z38" s="7">
        <f t="shared" si="23"/>
        <v>-0.18175771908556743</v>
      </c>
    </row>
    <row r="39" spans="1:26" s="24" customFormat="1" hidden="1" outlineLevel="2" x14ac:dyDescent="0.25">
      <c r="A39" s="26"/>
      <c r="B39" s="11" t="str">
        <f>CONCATENATE("          ", "6324", " - ", "FURNITURE + FIXT DEPRECIATION")</f>
        <v xml:space="preserve">          6324 - FURNITURE + FIXT DEPRECIATION</v>
      </c>
      <c r="C39" s="11"/>
      <c r="D39" s="6"/>
      <c r="E39" s="2"/>
      <c r="F39" s="7">
        <f t="shared" si="16"/>
        <v>0</v>
      </c>
      <c r="G39" s="2"/>
      <c r="H39" s="6">
        <v>322.04000000000002</v>
      </c>
      <c r="I39" s="2"/>
      <c r="J39" s="7">
        <f t="shared" si="17"/>
        <v>0</v>
      </c>
      <c r="K39" s="2"/>
      <c r="L39" s="6">
        <f t="shared" si="18"/>
        <v>-322.04000000000002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1288.1600000000001</v>
      </c>
      <c r="U39" s="2"/>
      <c r="V39" s="7">
        <f t="shared" si="21"/>
        <v>0</v>
      </c>
      <c r="W39" s="2"/>
      <c r="X39" s="6">
        <f t="shared" si="22"/>
        <v>-1288.1600000000001</v>
      </c>
      <c r="Y39" s="2"/>
      <c r="Z39" s="7">
        <f t="shared" si="23"/>
        <v>-1</v>
      </c>
    </row>
    <row r="40" spans="1:26" s="27" customFormat="1" outlineLevel="1" collapsed="1" x14ac:dyDescent="0.25">
      <c r="A40" s="25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ref="F40:F47" si="24">IF(D$12=0,0,D40/D$12)</f>
        <v>0</v>
      </c>
      <c r="G40" s="1"/>
      <c r="H40" s="1">
        <f>SUM(OSRRefH22_4x_0)</f>
        <v>0</v>
      </c>
      <c r="I40" s="1"/>
      <c r="J40" s="5">
        <f t="shared" ref="J40:J47" si="25">IF(H$12=0,0,H40/H$12)</f>
        <v>0</v>
      </c>
      <c r="K40" s="1"/>
      <c r="L40" s="1">
        <f t="shared" ref="L40:L47" si="26">+D40-H40</f>
        <v>0</v>
      </c>
      <c r="M40" s="1"/>
      <c r="N40" s="5">
        <f t="shared" ref="N40:N47" si="27">IF(H40=0,0,L40/H40)</f>
        <v>0</v>
      </c>
      <c r="O40" s="13"/>
      <c r="P40" s="1">
        <f>SUM(OSRRefP22_4x_0)</f>
        <v>0</v>
      </c>
      <c r="Q40" s="1"/>
      <c r="R40" s="5">
        <f t="shared" ref="R40:R47" si="28">IF(P$12=0,0,P40/P$12)</f>
        <v>0</v>
      </c>
      <c r="S40" s="1"/>
      <c r="T40" s="1">
        <f>SUM(OSRRefT22_4x_0)</f>
        <v>486.19</v>
      </c>
      <c r="U40" s="1"/>
      <c r="V40" s="5">
        <f t="shared" ref="V40:V47" si="29">IF(T$12=0,0,T40/T$12)</f>
        <v>0</v>
      </c>
      <c r="W40" s="1"/>
      <c r="X40" s="1">
        <f t="shared" ref="X40:X47" si="30">+P40-T40</f>
        <v>-486.19</v>
      </c>
      <c r="Y40" s="1"/>
      <c r="Z40" s="5">
        <f t="shared" ref="Z40:Z47" si="31">IF(T40=0,0,X40/T40)</f>
        <v>-1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4"/>
        <v>0</v>
      </c>
      <c r="G41" s="2"/>
      <c r="H41" s="6"/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1"/>
      <c r="P41" s="6"/>
      <c r="Q41" s="2"/>
      <c r="R41" s="7">
        <f t="shared" si="28"/>
        <v>0</v>
      </c>
      <c r="S41" s="2"/>
      <c r="T41" s="6">
        <v>486.19</v>
      </c>
      <c r="U41" s="2"/>
      <c r="V41" s="7">
        <f t="shared" si="29"/>
        <v>0</v>
      </c>
      <c r="W41" s="2"/>
      <c r="X41" s="6">
        <f t="shared" si="30"/>
        <v>-486.19</v>
      </c>
      <c r="Y41" s="2"/>
      <c r="Z41" s="7">
        <f t="shared" si="31"/>
        <v>-1</v>
      </c>
    </row>
    <row r="42" spans="1:26" s="27" customFormat="1" outlineLevel="1" collapsed="1" x14ac:dyDescent="0.25">
      <c r="A42" s="25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SUM(OSRRefD22_5x_0)</f>
        <v>56.34</v>
      </c>
      <c r="E42" s="1"/>
      <c r="F42" s="5">
        <f t="shared" si="24"/>
        <v>0</v>
      </c>
      <c r="G42" s="1"/>
      <c r="H42" s="1">
        <f>SUM(OSRRefH22_5x_0)</f>
        <v>53.08</v>
      </c>
      <c r="I42" s="1"/>
      <c r="J42" s="5">
        <f t="shared" si="25"/>
        <v>0</v>
      </c>
      <c r="K42" s="1"/>
      <c r="L42" s="1">
        <f t="shared" si="26"/>
        <v>3.2600000000000051</v>
      </c>
      <c r="M42" s="1"/>
      <c r="N42" s="5">
        <f t="shared" si="27"/>
        <v>6.1416729464958651E-2</v>
      </c>
      <c r="O42" s="13"/>
      <c r="P42" s="1">
        <f>SUM(OSRRefP22_5x_0)</f>
        <v>225.36</v>
      </c>
      <c r="Q42" s="1"/>
      <c r="R42" s="5">
        <f t="shared" si="28"/>
        <v>0</v>
      </c>
      <c r="S42" s="1"/>
      <c r="T42" s="1">
        <f>SUM(OSRRefT22_5x_0)</f>
        <v>212.32</v>
      </c>
      <c r="U42" s="1"/>
      <c r="V42" s="5">
        <f t="shared" si="29"/>
        <v>0</v>
      </c>
      <c r="W42" s="1"/>
      <c r="X42" s="1">
        <f t="shared" si="30"/>
        <v>13.04000000000002</v>
      </c>
      <c r="Y42" s="1"/>
      <c r="Z42" s="5">
        <f t="shared" si="31"/>
        <v>6.1416729464958651E-2</v>
      </c>
    </row>
    <row r="43" spans="1:26" s="24" customFormat="1" hidden="1" outlineLevel="2" x14ac:dyDescent="0.25">
      <c r="A43" s="26"/>
      <c r="B43" s="11" t="str">
        <f>CONCATENATE("          ", "6314", " - ", "LIABILITY INSURANCE")</f>
        <v xml:space="preserve">          6314 - LIABILITY INSURANCE</v>
      </c>
      <c r="C43" s="11"/>
      <c r="D43" s="6">
        <v>56.34</v>
      </c>
      <c r="E43" s="2"/>
      <c r="F43" s="7">
        <f t="shared" si="24"/>
        <v>0</v>
      </c>
      <c r="G43" s="2"/>
      <c r="H43" s="6">
        <v>53.08</v>
      </c>
      <c r="I43" s="2"/>
      <c r="J43" s="7">
        <f t="shared" si="25"/>
        <v>0</v>
      </c>
      <c r="K43" s="2"/>
      <c r="L43" s="6">
        <f t="shared" si="26"/>
        <v>3.2600000000000051</v>
      </c>
      <c r="M43" s="2"/>
      <c r="N43" s="7">
        <f t="shared" si="27"/>
        <v>6.1416729464958651E-2</v>
      </c>
      <c r="O43" s="11"/>
      <c r="P43" s="6">
        <v>225.36</v>
      </c>
      <c r="Q43" s="2"/>
      <c r="R43" s="7">
        <f t="shared" si="28"/>
        <v>0</v>
      </c>
      <c r="S43" s="2"/>
      <c r="T43" s="6">
        <v>212.32</v>
      </c>
      <c r="U43" s="2"/>
      <c r="V43" s="7">
        <f t="shared" si="29"/>
        <v>0</v>
      </c>
      <c r="W43" s="2"/>
      <c r="X43" s="6">
        <f t="shared" si="30"/>
        <v>13.04000000000002</v>
      </c>
      <c r="Y43" s="2"/>
      <c r="Z43" s="7">
        <f t="shared" si="31"/>
        <v>6.1416729464958651E-2</v>
      </c>
    </row>
    <row r="44" spans="1:26" s="27" customFormat="1" outlineLevel="1" collapsed="1" x14ac:dyDescent="0.25">
      <c r="A44" s="25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SUM(OSRRefD22_6x_0)</f>
        <v>9475.9500000000007</v>
      </c>
      <c r="E44" s="1"/>
      <c r="F44" s="5">
        <f t="shared" si="24"/>
        <v>0</v>
      </c>
      <c r="G44" s="1"/>
      <c r="H44" s="1">
        <f>SUM(OSRRefH22_6x_0)</f>
        <v>8713.3100000000013</v>
      </c>
      <c r="I44" s="1"/>
      <c r="J44" s="5">
        <f t="shared" si="25"/>
        <v>0</v>
      </c>
      <c r="K44" s="1"/>
      <c r="L44" s="1">
        <f t="shared" si="26"/>
        <v>762.63999999999942</v>
      </c>
      <c r="M44" s="1"/>
      <c r="N44" s="5">
        <f t="shared" si="27"/>
        <v>8.7525865601017216E-2</v>
      </c>
      <c r="O44" s="13"/>
      <c r="P44" s="1">
        <f>SUM(OSRRefP22_6x_0)</f>
        <v>38164.310000000005</v>
      </c>
      <c r="Q44" s="1"/>
      <c r="R44" s="5">
        <f t="shared" si="28"/>
        <v>0</v>
      </c>
      <c r="S44" s="1"/>
      <c r="T44" s="1">
        <f>SUM(OSRRefT22_6x_0)</f>
        <v>36002.01</v>
      </c>
      <c r="U44" s="1"/>
      <c r="V44" s="5">
        <f t="shared" si="29"/>
        <v>0</v>
      </c>
      <c r="W44" s="1"/>
      <c r="X44" s="1">
        <f t="shared" si="30"/>
        <v>2162.3000000000029</v>
      </c>
      <c r="Y44" s="1"/>
      <c r="Z44" s="5">
        <f t="shared" si="31"/>
        <v>6.0060535508989717E-2</v>
      </c>
    </row>
    <row r="45" spans="1:26" s="24" customFormat="1" hidden="1" outlineLevel="2" x14ac:dyDescent="0.25">
      <c r="A45" s="26"/>
      <c r="B45" s="11" t="str">
        <f>CONCATENATE("          ", "6371", " - ", "COMPUTER SOFTWARE MAINTENANCE")</f>
        <v xml:space="preserve">          6371 - COMPUTER SOFTWARE MAINTENANCE</v>
      </c>
      <c r="C45" s="11"/>
      <c r="D45" s="6">
        <v>90.95</v>
      </c>
      <c r="E45" s="2"/>
      <c r="F45" s="7">
        <f t="shared" si="24"/>
        <v>0</v>
      </c>
      <c r="G45" s="2"/>
      <c r="H45" s="6">
        <v>90.95</v>
      </c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>
        <v>363.8</v>
      </c>
      <c r="Q45" s="2"/>
      <c r="R45" s="7">
        <f t="shared" si="28"/>
        <v>0</v>
      </c>
      <c r="S45" s="2"/>
      <c r="T45" s="6">
        <v>890.17</v>
      </c>
      <c r="U45" s="2"/>
      <c r="V45" s="7">
        <f t="shared" si="29"/>
        <v>0</v>
      </c>
      <c r="W45" s="2"/>
      <c r="X45" s="6">
        <f t="shared" si="30"/>
        <v>-526.36999999999989</v>
      </c>
      <c r="Y45" s="2"/>
      <c r="Z45" s="7">
        <f t="shared" si="31"/>
        <v>-0.59131401867059097</v>
      </c>
    </row>
    <row r="46" spans="1:26" s="24" customFormat="1" hidden="1" outlineLevel="2" x14ac:dyDescent="0.25">
      <c r="A46" s="26"/>
      <c r="B46" s="11" t="str">
        <f>CONCATENATE("          ", "6373", " - ", "MAINTENANCE CONTRACTS")</f>
        <v xml:space="preserve">          6373 - MAINTENANCE CONTRACTS</v>
      </c>
      <c r="C46" s="11"/>
      <c r="D46" s="6">
        <v>9407</v>
      </c>
      <c r="E46" s="2"/>
      <c r="F46" s="7">
        <f t="shared" si="24"/>
        <v>0</v>
      </c>
      <c r="G46" s="2"/>
      <c r="H46" s="6">
        <v>8559</v>
      </c>
      <c r="I46" s="2"/>
      <c r="J46" s="7">
        <f t="shared" si="25"/>
        <v>0</v>
      </c>
      <c r="K46" s="2"/>
      <c r="L46" s="6">
        <f t="shared" si="26"/>
        <v>848</v>
      </c>
      <c r="M46" s="2"/>
      <c r="N46" s="7">
        <f t="shared" si="27"/>
        <v>9.9076994976048605E-2</v>
      </c>
      <c r="O46" s="11"/>
      <c r="P46" s="6">
        <v>37737.15</v>
      </c>
      <c r="Q46" s="2"/>
      <c r="R46" s="7">
        <f t="shared" si="28"/>
        <v>0</v>
      </c>
      <c r="S46" s="2"/>
      <c r="T46" s="6">
        <v>34345.15</v>
      </c>
      <c r="U46" s="2"/>
      <c r="V46" s="7">
        <f t="shared" si="29"/>
        <v>0</v>
      </c>
      <c r="W46" s="2"/>
      <c r="X46" s="6">
        <f t="shared" si="30"/>
        <v>3392</v>
      </c>
      <c r="Y46" s="2"/>
      <c r="Z46" s="7">
        <f t="shared" si="31"/>
        <v>9.8762125074428261E-2</v>
      </c>
    </row>
    <row r="47" spans="1:26" s="24" customFormat="1" hidden="1" outlineLevel="2" x14ac:dyDescent="0.25">
      <c r="A47" s="26"/>
      <c r="B47" s="11" t="str">
        <f>CONCATENATE("          ", "6375", " - ", "OUTSIDE REPAIRS &amp; MAINTENANCE")</f>
        <v xml:space="preserve">          6375 - OUTSIDE REPAIRS &amp; MAINTENANCE</v>
      </c>
      <c r="C47" s="11"/>
      <c r="D47" s="6">
        <v>-22</v>
      </c>
      <c r="E47" s="2"/>
      <c r="F47" s="7">
        <f t="shared" si="24"/>
        <v>0</v>
      </c>
      <c r="G47" s="2"/>
      <c r="H47" s="6">
        <v>63.36</v>
      </c>
      <c r="I47" s="2"/>
      <c r="J47" s="7">
        <f t="shared" si="25"/>
        <v>0</v>
      </c>
      <c r="K47" s="2"/>
      <c r="L47" s="6">
        <f t="shared" si="26"/>
        <v>-85.36</v>
      </c>
      <c r="M47" s="2"/>
      <c r="N47" s="7">
        <f t="shared" si="27"/>
        <v>-1.3472222222222223</v>
      </c>
      <c r="O47" s="11"/>
      <c r="P47" s="6">
        <v>63.36</v>
      </c>
      <c r="Q47" s="2"/>
      <c r="R47" s="7">
        <f t="shared" si="28"/>
        <v>0</v>
      </c>
      <c r="S47" s="2"/>
      <c r="T47" s="6">
        <v>766.69</v>
      </c>
      <c r="U47" s="2"/>
      <c r="V47" s="7">
        <f t="shared" si="29"/>
        <v>0</v>
      </c>
      <c r="W47" s="2"/>
      <c r="X47" s="6">
        <f t="shared" si="30"/>
        <v>-703.33</v>
      </c>
      <c r="Y47" s="2"/>
      <c r="Z47" s="7">
        <f t="shared" si="31"/>
        <v>-0.91735903689887699</v>
      </c>
    </row>
    <row r="48" spans="1:26" s="27" customFormat="1" outlineLevel="1" collapsed="1" x14ac:dyDescent="0.25">
      <c r="A48" s="25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SUM(OSRRefD22_7x_0)</f>
        <v>4812.3</v>
      </c>
      <c r="E48" s="1"/>
      <c r="F48" s="5">
        <f t="shared" ref="F48:F50" si="32">IF(D$12=0,0,D48/D$12)</f>
        <v>0</v>
      </c>
      <c r="G48" s="1"/>
      <c r="H48" s="1">
        <f>SUM(OSRRefH22_7x_0)</f>
        <v>11904.49</v>
      </c>
      <c r="I48" s="1"/>
      <c r="J48" s="5">
        <f t="shared" ref="J48:J50" si="33">IF(H$12=0,0,H48/H$12)</f>
        <v>0</v>
      </c>
      <c r="K48" s="1"/>
      <c r="L48" s="1">
        <f t="shared" ref="L48:L50" si="34">+D48-H48</f>
        <v>-7092.19</v>
      </c>
      <c r="M48" s="1"/>
      <c r="N48" s="5">
        <f t="shared" ref="N48:N50" si="35">IF(H48=0,0,L48/H48)</f>
        <v>-0.59575756710283256</v>
      </c>
      <c r="O48" s="13"/>
      <c r="P48" s="1">
        <f>SUM(OSRRefP22_7x_0)</f>
        <v>18354.939999999999</v>
      </c>
      <c r="Q48" s="1"/>
      <c r="R48" s="5">
        <f t="shared" ref="R48:R50" si="36">IF(P$12=0,0,P48/P$12)</f>
        <v>0</v>
      </c>
      <c r="S48" s="1"/>
      <c r="T48" s="1">
        <f>SUM(OSRRefT22_7x_0)</f>
        <v>18764.700000000004</v>
      </c>
      <c r="U48" s="1"/>
      <c r="V48" s="5">
        <f t="shared" ref="V48:V50" si="37">IF(T$12=0,0,T48/T$12)</f>
        <v>0</v>
      </c>
      <c r="W48" s="1"/>
      <c r="X48" s="1">
        <f t="shared" ref="X48:X50" si="38">+P48-T48</f>
        <v>-409.76000000000568</v>
      </c>
      <c r="Y48" s="1"/>
      <c r="Z48" s="5">
        <f t="shared" ref="Z48:Z50" si="39">IF(T48=0,0,X48/T48)</f>
        <v>-2.1836746657287652E-2</v>
      </c>
    </row>
    <row r="49" spans="1:26" s="24" customFormat="1" hidden="1" outlineLevel="2" x14ac:dyDescent="0.25">
      <c r="A49" s="26"/>
      <c r="B49" s="11" t="str">
        <f>CONCATENATE("          ", "6234", " - ", "EXPENDABLE SUPPLIES &amp; EQUIPMEN")</f>
        <v xml:space="preserve">          6234 - EXPENDABLE SUPPLIES &amp; EQUIPMEN</v>
      </c>
      <c r="C49" s="11"/>
      <c r="D49" s="6"/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0</v>
      </c>
      <c r="M49" s="2"/>
      <c r="N49" s="7">
        <f t="shared" si="35"/>
        <v>0</v>
      </c>
      <c r="O49" s="11"/>
      <c r="P49" s="6"/>
      <c r="Q49" s="2"/>
      <c r="R49" s="7">
        <f t="shared" si="36"/>
        <v>0</v>
      </c>
      <c r="S49" s="2"/>
      <c r="T49" s="6">
        <v>1245.83</v>
      </c>
      <c r="U49" s="2"/>
      <c r="V49" s="7">
        <f t="shared" si="37"/>
        <v>0</v>
      </c>
      <c r="W49" s="2"/>
      <c r="X49" s="6">
        <f t="shared" si="38"/>
        <v>-1245.83</v>
      </c>
      <c r="Y49" s="2"/>
      <c r="Z49" s="7">
        <f t="shared" si="39"/>
        <v>-1</v>
      </c>
    </row>
    <row r="50" spans="1:26" s="24" customFormat="1" hidden="1" outlineLevel="2" x14ac:dyDescent="0.25">
      <c r="A50" s="26"/>
      <c r="B50" s="11" t="str">
        <f>CONCATENATE("          ", "6241", " - ", "OFFICE EXPENSE")</f>
        <v xml:space="preserve">          6241 - OFFICE EXPENSE</v>
      </c>
      <c r="C50" s="11"/>
      <c r="D50" s="6">
        <v>4812.3</v>
      </c>
      <c r="E50" s="2"/>
      <c r="F50" s="7">
        <f t="shared" si="32"/>
        <v>0</v>
      </c>
      <c r="G50" s="2"/>
      <c r="H50" s="6">
        <v>11904.49</v>
      </c>
      <c r="I50" s="2"/>
      <c r="J50" s="7">
        <f t="shared" si="33"/>
        <v>0</v>
      </c>
      <c r="K50" s="2"/>
      <c r="L50" s="6">
        <f t="shared" si="34"/>
        <v>-7092.19</v>
      </c>
      <c r="M50" s="2"/>
      <c r="N50" s="7">
        <f t="shared" si="35"/>
        <v>-0.59575756710283256</v>
      </c>
      <c r="O50" s="11"/>
      <c r="P50" s="6">
        <v>18354.939999999999</v>
      </c>
      <c r="Q50" s="2"/>
      <c r="R50" s="7">
        <f t="shared" si="36"/>
        <v>0</v>
      </c>
      <c r="S50" s="2"/>
      <c r="T50" s="6">
        <v>17518.870000000003</v>
      </c>
      <c r="U50" s="2"/>
      <c r="V50" s="7">
        <f t="shared" si="37"/>
        <v>0</v>
      </c>
      <c r="W50" s="2"/>
      <c r="X50" s="6">
        <f t="shared" si="38"/>
        <v>836.06999999999607</v>
      </c>
      <c r="Y50" s="2"/>
      <c r="Z50" s="7">
        <f t="shared" si="39"/>
        <v>4.7723968497967957E-2</v>
      </c>
    </row>
    <row r="51" spans="1:26" s="27" customFormat="1" outlineLevel="1" collapsed="1" x14ac:dyDescent="0.25">
      <c r="A51" s="25"/>
      <c r="B51" s="13" t="str">
        <f>CONCATENATE("     ","Telephone/Data Lines                              ")</f>
        <v xml:space="preserve">     Telephone/Data Lines                              </v>
      </c>
      <c r="C51" s="13"/>
      <c r="D51" s="1">
        <f>SUM(OSRRefD22_8x_0)</f>
        <v>1127.1500000000001</v>
      </c>
      <c r="E51" s="1"/>
      <c r="F51" s="5">
        <f t="shared" ref="F51:F53" si="40">IF(D$12=0,0,D51/D$12)</f>
        <v>0</v>
      </c>
      <c r="G51" s="1"/>
      <c r="H51" s="1">
        <f>SUM(OSRRefH22_8x_0)</f>
        <v>999.16</v>
      </c>
      <c r="I51" s="1"/>
      <c r="J51" s="5">
        <f t="shared" ref="J51:J53" si="41">IF(H$12=0,0,H51/H$12)</f>
        <v>0</v>
      </c>
      <c r="K51" s="1"/>
      <c r="L51" s="1">
        <f t="shared" ref="L51:L53" si="42">+D51-H51</f>
        <v>127.99000000000012</v>
      </c>
      <c r="M51" s="1"/>
      <c r="N51" s="5">
        <f t="shared" ref="N51:N53" si="43">IF(H51=0,0,L51/H51)</f>
        <v>0.12809760198566808</v>
      </c>
      <c r="O51" s="13"/>
      <c r="P51" s="1">
        <f>SUM(OSRRefP22_8x_0)</f>
        <v>6960.69</v>
      </c>
      <c r="Q51" s="1"/>
      <c r="R51" s="5">
        <f t="shared" ref="R51:R53" si="44">IF(P$12=0,0,P51/P$12)</f>
        <v>0</v>
      </c>
      <c r="S51" s="1"/>
      <c r="T51" s="1">
        <f>SUM(OSRRefT22_8x_0)</f>
        <v>3213.3100000000004</v>
      </c>
      <c r="U51" s="1"/>
      <c r="V51" s="5">
        <f t="shared" ref="V51:V53" si="45">IF(T$12=0,0,T51/T$12)</f>
        <v>0</v>
      </c>
      <c r="W51" s="1"/>
      <c r="X51" s="1">
        <f t="shared" ref="X51:X53" si="46">+P51-T51</f>
        <v>3747.3799999999992</v>
      </c>
      <c r="Y51" s="1"/>
      <c r="Z51" s="5">
        <f t="shared" ref="Z51:Z53" si="47">IF(T51=0,0,X51/T51)</f>
        <v>1.1662055637333462</v>
      </c>
    </row>
    <row r="52" spans="1:26" s="24" customFormat="1" hidden="1" outlineLevel="2" x14ac:dyDescent="0.25">
      <c r="A52" s="26"/>
      <c r="B52" s="11" t="str">
        <f>CONCATENATE("          ", "6303", " - ", "DATA PHONE LINES")</f>
        <v xml:space="preserve">          6303 - DATA PHONE LINES</v>
      </c>
      <c r="C52" s="11"/>
      <c r="D52" s="6">
        <v>232.79</v>
      </c>
      <c r="E52" s="2"/>
      <c r="F52" s="7">
        <f t="shared" si="40"/>
        <v>0</v>
      </c>
      <c r="G52" s="2"/>
      <c r="H52" s="6">
        <v>174.23</v>
      </c>
      <c r="I52" s="2"/>
      <c r="J52" s="7">
        <f t="shared" si="41"/>
        <v>0</v>
      </c>
      <c r="K52" s="2"/>
      <c r="L52" s="6">
        <f t="shared" si="42"/>
        <v>58.56</v>
      </c>
      <c r="M52" s="2"/>
      <c r="N52" s="7">
        <f t="shared" si="43"/>
        <v>0.33610744418297656</v>
      </c>
      <c r="O52" s="11"/>
      <c r="P52" s="6">
        <v>740.41</v>
      </c>
      <c r="Q52" s="2"/>
      <c r="R52" s="7">
        <f t="shared" si="44"/>
        <v>0</v>
      </c>
      <c r="S52" s="2"/>
      <c r="T52" s="6">
        <v>695.99</v>
      </c>
      <c r="U52" s="2"/>
      <c r="V52" s="7">
        <f t="shared" si="45"/>
        <v>0</v>
      </c>
      <c r="W52" s="2"/>
      <c r="X52" s="6">
        <f t="shared" si="46"/>
        <v>44.419999999999959</v>
      </c>
      <c r="Y52" s="2"/>
      <c r="Z52" s="7">
        <f t="shared" si="47"/>
        <v>6.3822756074081471E-2</v>
      </c>
    </row>
    <row r="53" spans="1:26" s="24" customFormat="1" hidden="1" outlineLevel="2" x14ac:dyDescent="0.25">
      <c r="A53" s="26"/>
      <c r="B53" s="11" t="str">
        <f>CONCATENATE("          ", "6309", " - ", "TELEPHONE")</f>
        <v xml:space="preserve">          6309 - TELEPHONE</v>
      </c>
      <c r="C53" s="11"/>
      <c r="D53" s="6">
        <v>894.36</v>
      </c>
      <c r="E53" s="2"/>
      <c r="F53" s="7">
        <f t="shared" si="40"/>
        <v>0</v>
      </c>
      <c r="G53" s="2"/>
      <c r="H53" s="6">
        <v>824.93</v>
      </c>
      <c r="I53" s="2"/>
      <c r="J53" s="7">
        <f t="shared" si="41"/>
        <v>0</v>
      </c>
      <c r="K53" s="2"/>
      <c r="L53" s="6">
        <f t="shared" si="42"/>
        <v>69.430000000000064</v>
      </c>
      <c r="M53" s="2"/>
      <c r="N53" s="7">
        <f t="shared" si="43"/>
        <v>8.4164717006291523E-2</v>
      </c>
      <c r="O53" s="11"/>
      <c r="P53" s="6">
        <v>6220.28</v>
      </c>
      <c r="Q53" s="2"/>
      <c r="R53" s="7">
        <f t="shared" si="44"/>
        <v>0</v>
      </c>
      <c r="S53" s="2"/>
      <c r="T53" s="6">
        <v>2517.3200000000002</v>
      </c>
      <c r="U53" s="2"/>
      <c r="V53" s="7">
        <f t="shared" si="45"/>
        <v>0</v>
      </c>
      <c r="W53" s="2"/>
      <c r="X53" s="6">
        <f t="shared" si="46"/>
        <v>3702.9599999999996</v>
      </c>
      <c r="Y53" s="2"/>
      <c r="Z53" s="7">
        <f t="shared" si="47"/>
        <v>1.4709929607678005</v>
      </c>
    </row>
    <row r="54" spans="1:26" s="27" customFormat="1" outlineLevel="1" collapsed="1" x14ac:dyDescent="0.25">
      <c r="A54" s="25"/>
      <c r="B54" s="13" t="str">
        <f>CONCATENATE("     ","Training                                          ")</f>
        <v xml:space="preserve">     Training                                          </v>
      </c>
      <c r="C54" s="13"/>
      <c r="D54" s="1">
        <f>SUM(OSRRefD22_9x_0)</f>
        <v>152.22</v>
      </c>
      <c r="E54" s="1"/>
      <c r="F54" s="5">
        <f t="shared" ref="F54:F58" si="48">IF(D$12=0,0,D54/D$12)</f>
        <v>0</v>
      </c>
      <c r="G54" s="1"/>
      <c r="H54" s="1">
        <f>SUM(OSRRefH22_9x_0)</f>
        <v>523.73</v>
      </c>
      <c r="I54" s="1"/>
      <c r="J54" s="5">
        <f t="shared" ref="J54:J58" si="49">IF(H$12=0,0,H54/H$12)</f>
        <v>0</v>
      </c>
      <c r="K54" s="1"/>
      <c r="L54" s="1">
        <f t="shared" ref="L54:L58" si="50">+D54-H54</f>
        <v>-371.51</v>
      </c>
      <c r="M54" s="1"/>
      <c r="N54" s="5">
        <f t="shared" ref="N54:N58" si="51">IF(H54=0,0,L54/H54)</f>
        <v>-0.70935405647948369</v>
      </c>
      <c r="O54" s="13"/>
      <c r="P54" s="1">
        <f>SUM(OSRRefP22_9x_0)</f>
        <v>299.22000000000003</v>
      </c>
      <c r="Q54" s="1"/>
      <c r="R54" s="5">
        <f t="shared" ref="R54:R58" si="52">IF(P$12=0,0,P54/P$12)</f>
        <v>0</v>
      </c>
      <c r="S54" s="1"/>
      <c r="T54" s="1">
        <f>SUM(OSRRefT22_9x_0)</f>
        <v>5320.78</v>
      </c>
      <c r="U54" s="1"/>
      <c r="V54" s="5">
        <f t="shared" ref="V54:V58" si="53">IF(T$12=0,0,T54/T$12)</f>
        <v>0</v>
      </c>
      <c r="W54" s="1"/>
      <c r="X54" s="1">
        <f t="shared" ref="X54:X58" si="54">+P54-T54</f>
        <v>-5021.5599999999995</v>
      </c>
      <c r="Y54" s="1"/>
      <c r="Z54" s="5">
        <f t="shared" ref="Z54:Z58" si="55">IF(T54=0,0,X54/T54)</f>
        <v>-0.94376388424253577</v>
      </c>
    </row>
    <row r="55" spans="1:26" s="24" customFormat="1" hidden="1" outlineLevel="2" x14ac:dyDescent="0.25">
      <c r="A55" s="26"/>
      <c r="B55" s="11" t="str">
        <f>CONCATENATE("          ", "6376", " - ", "TRAINING")</f>
        <v xml:space="preserve">          6376 - TRAINING</v>
      </c>
      <c r="C55" s="11"/>
      <c r="D55" s="6">
        <v>152.22</v>
      </c>
      <c r="E55" s="2"/>
      <c r="F55" s="7">
        <f t="shared" si="48"/>
        <v>0</v>
      </c>
      <c r="G55" s="2"/>
      <c r="H55" s="6">
        <v>523.73</v>
      </c>
      <c r="I55" s="2"/>
      <c r="J55" s="7">
        <f t="shared" si="49"/>
        <v>0</v>
      </c>
      <c r="K55" s="2"/>
      <c r="L55" s="6">
        <f t="shared" si="50"/>
        <v>-371.51</v>
      </c>
      <c r="M55" s="2"/>
      <c r="N55" s="7">
        <f t="shared" si="51"/>
        <v>-0.70935405647948369</v>
      </c>
      <c r="O55" s="11"/>
      <c r="P55" s="6">
        <v>299.22000000000003</v>
      </c>
      <c r="Q55" s="2"/>
      <c r="R55" s="7">
        <f t="shared" si="52"/>
        <v>0</v>
      </c>
      <c r="S55" s="2"/>
      <c r="T55" s="6">
        <v>5320.78</v>
      </c>
      <c r="U55" s="2"/>
      <c r="V55" s="7">
        <f t="shared" si="53"/>
        <v>0</v>
      </c>
      <c r="W55" s="2"/>
      <c r="X55" s="6">
        <f t="shared" si="54"/>
        <v>-5021.5599999999995</v>
      </c>
      <c r="Y55" s="2"/>
      <c r="Z55" s="7">
        <f t="shared" si="55"/>
        <v>-0.94376388424253577</v>
      </c>
    </row>
    <row r="56" spans="1:26" s="27" customFormat="1" outlineLevel="1" collapsed="1" x14ac:dyDescent="0.25">
      <c r="A56" s="25"/>
      <c r="B56" s="13" t="str">
        <f>CONCATENATE("     ","Travel                                            ")</f>
        <v xml:space="preserve">     Travel                                            </v>
      </c>
      <c r="C56" s="13"/>
      <c r="D56" s="1">
        <f>SUM(OSRRefD22_10x_0)</f>
        <v>0</v>
      </c>
      <c r="E56" s="1"/>
      <c r="F56" s="5">
        <f t="shared" si="48"/>
        <v>0</v>
      </c>
      <c r="G56" s="1"/>
      <c r="H56" s="1">
        <f>SUM(OSRRefH22_10x_0)</f>
        <v>133.34</v>
      </c>
      <c r="I56" s="1"/>
      <c r="J56" s="5">
        <f t="shared" si="49"/>
        <v>0</v>
      </c>
      <c r="K56" s="1"/>
      <c r="L56" s="1">
        <f t="shared" si="50"/>
        <v>-133.34</v>
      </c>
      <c r="M56" s="1"/>
      <c r="N56" s="5">
        <f t="shared" si="51"/>
        <v>-1</v>
      </c>
      <c r="O56" s="13"/>
      <c r="P56" s="1">
        <f>SUM(OSRRefP22_10x_0)</f>
        <v>618.9</v>
      </c>
      <c r="Q56" s="1"/>
      <c r="R56" s="5">
        <f t="shared" si="52"/>
        <v>0</v>
      </c>
      <c r="S56" s="1"/>
      <c r="T56" s="1">
        <f>SUM(OSRRefT22_10x_0)</f>
        <v>154.78</v>
      </c>
      <c r="U56" s="1"/>
      <c r="V56" s="5">
        <f t="shared" si="53"/>
        <v>0</v>
      </c>
      <c r="W56" s="1"/>
      <c r="X56" s="1">
        <f t="shared" si="54"/>
        <v>464.12</v>
      </c>
      <c r="Y56" s="1"/>
      <c r="Z56" s="5">
        <f t="shared" si="55"/>
        <v>2.9985786277296809</v>
      </c>
    </row>
    <row r="57" spans="1:26" s="24" customFormat="1" hidden="1" outlineLevel="2" x14ac:dyDescent="0.25">
      <c r="A57" s="26"/>
      <c r="B57" s="11" t="str">
        <f>CONCATENATE("          ", "6292", " - ", "TRAVEL/CONFERENCE")</f>
        <v xml:space="preserve">          6292 - TRAVEL/CONFERENCE</v>
      </c>
      <c r="C57" s="11"/>
      <c r="D57" s="6"/>
      <c r="E57" s="2"/>
      <c r="F57" s="7">
        <f t="shared" si="48"/>
        <v>0</v>
      </c>
      <c r="G57" s="2"/>
      <c r="H57" s="6">
        <v>133.34</v>
      </c>
      <c r="I57" s="2"/>
      <c r="J57" s="7">
        <f t="shared" si="49"/>
        <v>0</v>
      </c>
      <c r="K57" s="2"/>
      <c r="L57" s="6">
        <f t="shared" si="50"/>
        <v>-133.34</v>
      </c>
      <c r="M57" s="2"/>
      <c r="N57" s="7">
        <f t="shared" si="51"/>
        <v>-1</v>
      </c>
      <c r="O57" s="11"/>
      <c r="P57" s="6">
        <v>595</v>
      </c>
      <c r="Q57" s="2"/>
      <c r="R57" s="7">
        <f t="shared" si="52"/>
        <v>0</v>
      </c>
      <c r="S57" s="2"/>
      <c r="T57" s="6">
        <v>154.78</v>
      </c>
      <c r="U57" s="2"/>
      <c r="V57" s="7">
        <f t="shared" si="53"/>
        <v>0</v>
      </c>
      <c r="W57" s="2"/>
      <c r="X57" s="6">
        <f t="shared" si="54"/>
        <v>440.22</v>
      </c>
      <c r="Y57" s="2"/>
      <c r="Z57" s="7">
        <f t="shared" si="55"/>
        <v>2.8441659129086445</v>
      </c>
    </row>
    <row r="58" spans="1:26" s="24" customFormat="1" hidden="1" outlineLevel="2" x14ac:dyDescent="0.25">
      <c r="A58" s="26"/>
      <c r="B58" s="11" t="str">
        <f>CONCATENATE("          ", "6294", " - ", "TRAVEL OPERATIONAL")</f>
        <v xml:space="preserve">          6294 - TRAVEL OPERATIONAL</v>
      </c>
      <c r="C58" s="11"/>
      <c r="D58" s="6"/>
      <c r="E58" s="2"/>
      <c r="F58" s="7">
        <f t="shared" si="48"/>
        <v>0</v>
      </c>
      <c r="G58" s="2"/>
      <c r="H58" s="6"/>
      <c r="I58" s="2"/>
      <c r="J58" s="7">
        <f t="shared" si="49"/>
        <v>0</v>
      </c>
      <c r="K58" s="2"/>
      <c r="L58" s="6">
        <f t="shared" si="50"/>
        <v>0</v>
      </c>
      <c r="M58" s="2"/>
      <c r="N58" s="7">
        <f t="shared" si="51"/>
        <v>0</v>
      </c>
      <c r="O58" s="11"/>
      <c r="P58" s="6">
        <v>23.9</v>
      </c>
      <c r="Q58" s="2"/>
      <c r="R58" s="7">
        <f t="shared" si="52"/>
        <v>0</v>
      </c>
      <c r="S58" s="2"/>
      <c r="T58" s="6"/>
      <c r="U58" s="2"/>
      <c r="V58" s="7">
        <f t="shared" si="53"/>
        <v>0</v>
      </c>
      <c r="W58" s="2"/>
      <c r="X58" s="6">
        <f t="shared" si="54"/>
        <v>23.9</v>
      </c>
      <c r="Y58" s="2"/>
      <c r="Z58" s="7">
        <f t="shared" si="55"/>
        <v>0</v>
      </c>
    </row>
    <row r="59" spans="1:26" s="55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9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8" t="s">
        <v>3</v>
      </c>
      <c r="C62" s="28"/>
      <c r="D62" s="21">
        <f>+D16-D18+D60</f>
        <v>-70163.089999999982</v>
      </c>
      <c r="E62" s="14"/>
      <c r="F62" s="22">
        <f>IF(D$12=0,0,D62/D$12)</f>
        <v>0</v>
      </c>
      <c r="G62" s="14"/>
      <c r="H62" s="21">
        <f>+H16-H18+H60</f>
        <v>-78966.599999999977</v>
      </c>
      <c r="I62" s="14"/>
      <c r="J62" s="22">
        <f>IF(H$12=0,0,H62/H$12)</f>
        <v>0</v>
      </c>
      <c r="K62" s="16"/>
      <c r="L62" s="21">
        <f>+D62-H62</f>
        <v>8803.5099999999948</v>
      </c>
      <c r="M62" s="16"/>
      <c r="N62" s="22">
        <f>IF(H62=0,0,L62/H62)</f>
        <v>-0.11148396917177639</v>
      </c>
      <c r="O62" s="29"/>
      <c r="P62" s="21">
        <f>+P16-P18+P60</f>
        <v>-252829.10999999996</v>
      </c>
      <c r="Q62" s="14"/>
      <c r="R62" s="22">
        <f>IF(P$12=0,0,P62/P$12)</f>
        <v>0</v>
      </c>
      <c r="S62" s="14"/>
      <c r="T62" s="21">
        <f>+T16-T18+T60</f>
        <v>-250200.53000000003</v>
      </c>
      <c r="U62" s="14"/>
      <c r="V62" s="22">
        <f>IF(T$12=0,0,T62/T$12)</f>
        <v>0</v>
      </c>
      <c r="W62" s="16"/>
      <c r="X62" s="21">
        <f>+P62-T62</f>
        <v>-2628.579999999929</v>
      </c>
      <c r="Y62" s="16"/>
      <c r="Z62" s="22">
        <f>IF(T62=0,0,X62/T62)</f>
        <v>1.0505893013096051E-2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13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/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8" t="s">
        <v>4</v>
      </c>
      <c r="C66" s="28"/>
      <c r="D66" s="31">
        <f>+D62-D64</f>
        <v>-70163.089999999982</v>
      </c>
      <c r="E66" s="14"/>
      <c r="F66" s="34">
        <f>IF(D$12=0,0,D66/D$12)</f>
        <v>0</v>
      </c>
      <c r="G66" s="14"/>
      <c r="H66" s="31">
        <f>+H62-H64</f>
        <v>-78966.599999999977</v>
      </c>
      <c r="I66" s="14"/>
      <c r="J66" s="34">
        <f>IF(H$12=0,0,H66/H$12)</f>
        <v>0</v>
      </c>
      <c r="K66" s="16"/>
      <c r="L66" s="31">
        <f>D66-H66</f>
        <v>8803.5099999999948</v>
      </c>
      <c r="M66" s="16"/>
      <c r="N66" s="34">
        <f>IF(H66=0,0,L66/H66)</f>
        <v>-0.11148396917177639</v>
      </c>
      <c r="O66" s="29"/>
      <c r="P66" s="31">
        <f>+P62-P64</f>
        <v>-252829.10999999996</v>
      </c>
      <c r="Q66" s="14"/>
      <c r="R66" s="34">
        <f>IF(P$12=0,0,P66/P$12)</f>
        <v>0</v>
      </c>
      <c r="S66" s="14"/>
      <c r="T66" s="31">
        <f>+T62-T64</f>
        <v>-250200.53000000003</v>
      </c>
      <c r="U66" s="14"/>
      <c r="V66" s="34">
        <f>IF(T$12=0,0,T66/T$12)</f>
        <v>0</v>
      </c>
      <c r="W66" s="16"/>
      <c r="X66" s="31">
        <f>P66-T66</f>
        <v>-2628.579999999929</v>
      </c>
      <c r="Y66" s="16"/>
      <c r="Z66" s="34">
        <f>IF(T66=0,0,X66/T66)</f>
        <v>1.0505893013096051E-2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5</v>
      </c>
      <c r="C69" s="28"/>
      <c r="D69" s="36">
        <f>SUM(D66:D68)</f>
        <v>-70163.089999999982</v>
      </c>
      <c r="E69" s="14"/>
      <c r="F69" s="33">
        <f>IF(D$12=0,0,D69/D$12)</f>
        <v>0</v>
      </c>
      <c r="G69" s="14"/>
      <c r="H69" s="36">
        <f>SUM(H66:H68)</f>
        <v>-78966.599999999977</v>
      </c>
      <c r="I69" s="14"/>
      <c r="J69" s="33">
        <f>IF(H$12=0,0,H69/H$12)</f>
        <v>0</v>
      </c>
      <c r="K69" s="16"/>
      <c r="L69" s="36">
        <f>+D69-H69</f>
        <v>8803.5099999999948</v>
      </c>
      <c r="M69" s="16"/>
      <c r="N69" s="33">
        <f>IF(H69=0,0,L69/H69)</f>
        <v>-0.11148396917177639</v>
      </c>
      <c r="O69" s="29"/>
      <c r="P69" s="36">
        <f>SUM(P66:P68)</f>
        <v>-252829.10999999996</v>
      </c>
      <c r="Q69" s="14"/>
      <c r="R69" s="33">
        <f>IF(P$12=0,0,P69/P$12)</f>
        <v>0</v>
      </c>
      <c r="S69" s="14"/>
      <c r="T69" s="36">
        <f>SUM(T66:T68)</f>
        <v>-250200.53000000003</v>
      </c>
      <c r="U69" s="14"/>
      <c r="V69" s="33">
        <f>IF(T$12=0,0,T69/T$12)</f>
        <v>0</v>
      </c>
      <c r="W69" s="16"/>
      <c r="X69" s="36">
        <f>+P69-T69</f>
        <v>-2628.579999999929</v>
      </c>
      <c r="Y69" s="16"/>
      <c r="Z69" s="33">
        <f>IF(T69=0,0,X69/T69)</f>
        <v>1.0505893013096051E-2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61">
        <v>43791.355093402781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6" t="s">
        <v>313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7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","205", " - ", "Maintenance")</f>
        <v>Department 205 - Maintenance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10289.439999999999</v>
      </c>
      <c r="E18" s="20"/>
      <c r="F18" s="35">
        <f t="shared" ref="F18:F27" si="0">IF(D$12=0,0,D18/D$12)</f>
        <v>0</v>
      </c>
      <c r="G18" s="20"/>
      <c r="H18" s="20">
        <f>SUM(OSRRefH22x_0)</f>
        <v>9427.6199999999972</v>
      </c>
      <c r="I18" s="20"/>
      <c r="J18" s="35">
        <f t="shared" ref="J18:J27" si="1">IF(H$12=0,0,H18/H$12)</f>
        <v>0</v>
      </c>
      <c r="K18" s="4"/>
      <c r="L18" s="20">
        <f t="shared" ref="L18:L27" si="2">+D18-H18</f>
        <v>861.82000000000153</v>
      </c>
      <c r="M18" s="4"/>
      <c r="N18" s="35">
        <f t="shared" ref="N18:N27" si="3">IF(H18=0,0,L18/H18)</f>
        <v>9.1414376056735608E-2</v>
      </c>
      <c r="O18" s="10"/>
      <c r="P18" s="20">
        <f>SUM(OSRRefP22x_0)</f>
        <v>34413.019999999997</v>
      </c>
      <c r="Q18" s="20"/>
      <c r="R18" s="35">
        <f t="shared" ref="R18:R27" si="4">IF(P$12=0,0,P18/P$12)</f>
        <v>0</v>
      </c>
      <c r="S18" s="20"/>
      <c r="T18" s="20">
        <f>SUM(OSRRefT22x_0)</f>
        <v>31942.36</v>
      </c>
      <c r="U18" s="20"/>
      <c r="V18" s="35">
        <f t="shared" ref="V18:V27" si="5">IF(T$12=0,0,T18/T$12)</f>
        <v>0</v>
      </c>
      <c r="W18" s="4"/>
      <c r="X18" s="20">
        <f t="shared" ref="X18:X27" si="6">+P18-T18</f>
        <v>2470.6599999999962</v>
      </c>
      <c r="Y18" s="4"/>
      <c r="Z18" s="35">
        <f t="shared" ref="Z18:Z27" si="7">IF(T18=0,0,X18/T18)</f>
        <v>7.7347447089069071E-2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2618.2999999999997</v>
      </c>
      <c r="E19" s="1"/>
      <c r="F19" s="5">
        <f t="shared" si="0"/>
        <v>0</v>
      </c>
      <c r="G19" s="1"/>
      <c r="H19" s="1">
        <f>SUM(OSRRefH22_0x_0)</f>
        <v>2882.2899999999995</v>
      </c>
      <c r="I19" s="1"/>
      <c r="J19" s="5">
        <f t="shared" si="1"/>
        <v>0</v>
      </c>
      <c r="K19" s="1"/>
      <c r="L19" s="1">
        <f t="shared" si="2"/>
        <v>-263.98999999999978</v>
      </c>
      <c r="M19" s="1"/>
      <c r="N19" s="5">
        <f t="shared" si="3"/>
        <v>-9.1590367381491733E-2</v>
      </c>
      <c r="O19" s="13"/>
      <c r="P19" s="1">
        <f>SUM(OSRRefP22_0x_0)</f>
        <v>11211.02</v>
      </c>
      <c r="Q19" s="1"/>
      <c r="R19" s="5">
        <f t="shared" si="4"/>
        <v>0</v>
      </c>
      <c r="S19" s="1"/>
      <c r="T19" s="1">
        <f>SUM(OSRRefT22_0x_0)</f>
        <v>10499.789999999999</v>
      </c>
      <c r="U19" s="1"/>
      <c r="V19" s="5">
        <f t="shared" si="5"/>
        <v>0</v>
      </c>
      <c r="W19" s="1"/>
      <c r="X19" s="1">
        <f t="shared" si="6"/>
        <v>711.23000000000138</v>
      </c>
      <c r="Y19" s="1"/>
      <c r="Z19" s="5">
        <f t="shared" si="7"/>
        <v>6.7737545227095158E-2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495.46</v>
      </c>
      <c r="E20" s="2"/>
      <c r="F20" s="7">
        <f t="shared" si="0"/>
        <v>0</v>
      </c>
      <c r="G20" s="2"/>
      <c r="H20" s="6">
        <v>457.59</v>
      </c>
      <c r="I20" s="2"/>
      <c r="J20" s="7">
        <f t="shared" si="1"/>
        <v>0</v>
      </c>
      <c r="K20" s="2"/>
      <c r="L20" s="6">
        <f t="shared" si="2"/>
        <v>37.870000000000005</v>
      </c>
      <c r="M20" s="2"/>
      <c r="N20" s="7">
        <f t="shared" si="3"/>
        <v>8.2759675692213569E-2</v>
      </c>
      <c r="O20" s="11"/>
      <c r="P20" s="6">
        <v>1480.39</v>
      </c>
      <c r="Q20" s="2"/>
      <c r="R20" s="7">
        <f t="shared" si="4"/>
        <v>0</v>
      </c>
      <c r="S20" s="2"/>
      <c r="T20" s="6">
        <v>1387.39</v>
      </c>
      <c r="U20" s="2"/>
      <c r="V20" s="7">
        <f t="shared" si="5"/>
        <v>0</v>
      </c>
      <c r="W20" s="2"/>
      <c r="X20" s="6">
        <f t="shared" si="6"/>
        <v>93</v>
      </c>
      <c r="Y20" s="2"/>
      <c r="Z20" s="7">
        <f t="shared" si="7"/>
        <v>6.7032341302733903E-2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-50.39</v>
      </c>
      <c r="E21" s="2"/>
      <c r="F21" s="7">
        <f t="shared" si="0"/>
        <v>0</v>
      </c>
      <c r="G21" s="2"/>
      <c r="H21" s="6">
        <v>348.54</v>
      </c>
      <c r="I21" s="2"/>
      <c r="J21" s="7">
        <f t="shared" si="1"/>
        <v>0</v>
      </c>
      <c r="K21" s="2"/>
      <c r="L21" s="6">
        <f t="shared" si="2"/>
        <v>-398.93</v>
      </c>
      <c r="M21" s="2"/>
      <c r="N21" s="7">
        <f t="shared" si="3"/>
        <v>-1.144574510816549</v>
      </c>
      <c r="O21" s="11"/>
      <c r="P21" s="6">
        <v>810.61</v>
      </c>
      <c r="Q21" s="2"/>
      <c r="R21" s="7">
        <f t="shared" si="4"/>
        <v>0</v>
      </c>
      <c r="S21" s="2"/>
      <c r="T21" s="6">
        <v>787.19</v>
      </c>
      <c r="U21" s="2"/>
      <c r="V21" s="7">
        <f t="shared" si="5"/>
        <v>0</v>
      </c>
      <c r="W21" s="2"/>
      <c r="X21" s="6">
        <f t="shared" si="6"/>
        <v>23.419999999999959</v>
      </c>
      <c r="Y21" s="2"/>
      <c r="Z21" s="7">
        <f t="shared" si="7"/>
        <v>2.9751394199621386E-2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695.14</v>
      </c>
      <c r="E22" s="2"/>
      <c r="F22" s="7">
        <f t="shared" si="0"/>
        <v>0</v>
      </c>
      <c r="G22" s="2"/>
      <c r="H22" s="6">
        <v>695.14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2780.56</v>
      </c>
      <c r="Q22" s="2"/>
      <c r="R22" s="7">
        <f t="shared" si="4"/>
        <v>0</v>
      </c>
      <c r="S22" s="2"/>
      <c r="T22" s="6">
        <v>2354.13</v>
      </c>
      <c r="U22" s="2"/>
      <c r="V22" s="7">
        <f t="shared" si="5"/>
        <v>0</v>
      </c>
      <c r="W22" s="2"/>
      <c r="X22" s="6">
        <f t="shared" si="6"/>
        <v>426.42999999999984</v>
      </c>
      <c r="Y22" s="2"/>
      <c r="Z22" s="7">
        <f t="shared" si="7"/>
        <v>0.18114122839435368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11.09</v>
      </c>
      <c r="E23" s="2"/>
      <c r="F23" s="7">
        <f t="shared" si="0"/>
        <v>0</v>
      </c>
      <c r="G23" s="2"/>
      <c r="H23" s="6">
        <v>10.37</v>
      </c>
      <c r="I23" s="2"/>
      <c r="J23" s="7">
        <f t="shared" si="1"/>
        <v>0</v>
      </c>
      <c r="K23" s="2"/>
      <c r="L23" s="6">
        <f t="shared" si="2"/>
        <v>0.72000000000000064</v>
      </c>
      <c r="M23" s="2"/>
      <c r="N23" s="7">
        <f t="shared" si="3"/>
        <v>6.9431051108968245E-2</v>
      </c>
      <c r="O23" s="11"/>
      <c r="P23" s="6">
        <v>44.16</v>
      </c>
      <c r="Q23" s="2"/>
      <c r="R23" s="7">
        <f t="shared" si="4"/>
        <v>0</v>
      </c>
      <c r="S23" s="2"/>
      <c r="T23" s="6">
        <v>46.84</v>
      </c>
      <c r="U23" s="2"/>
      <c r="V23" s="7">
        <f t="shared" si="5"/>
        <v>0</v>
      </c>
      <c r="W23" s="2"/>
      <c r="X23" s="6">
        <f t="shared" si="6"/>
        <v>-2.6800000000000068</v>
      </c>
      <c r="Y23" s="2"/>
      <c r="Z23" s="7">
        <f t="shared" si="7"/>
        <v>-5.7216054654141903E-2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383.64</v>
      </c>
      <c r="I24" s="2"/>
      <c r="J24" s="7">
        <f t="shared" si="1"/>
        <v>0</v>
      </c>
      <c r="K24" s="2"/>
      <c r="L24" s="6">
        <f t="shared" si="2"/>
        <v>45.620000000000005</v>
      </c>
      <c r="M24" s="2"/>
      <c r="N24" s="7">
        <f t="shared" si="3"/>
        <v>0.11891356480033366</v>
      </c>
      <c r="O24" s="11"/>
      <c r="P24" s="6">
        <v>1717.04</v>
      </c>
      <c r="Q24" s="2"/>
      <c r="R24" s="7">
        <f t="shared" si="4"/>
        <v>0</v>
      </c>
      <c r="S24" s="2"/>
      <c r="T24" s="6">
        <v>1720.8</v>
      </c>
      <c r="U24" s="2"/>
      <c r="V24" s="7">
        <f t="shared" si="5"/>
        <v>0</v>
      </c>
      <c r="W24" s="2"/>
      <c r="X24" s="6">
        <f t="shared" si="6"/>
        <v>-3.7599999999999909</v>
      </c>
      <c r="Y24" s="2"/>
      <c r="Z24" s="7">
        <f t="shared" si="7"/>
        <v>-2.1850302185030166E-3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581.94000000000005</v>
      </c>
      <c r="E25" s="2"/>
      <c r="F25" s="7">
        <f t="shared" si="0"/>
        <v>0</v>
      </c>
      <c r="G25" s="2"/>
      <c r="H25" s="6">
        <v>564.99</v>
      </c>
      <c r="I25" s="2"/>
      <c r="J25" s="7">
        <f t="shared" si="1"/>
        <v>0</v>
      </c>
      <c r="K25" s="2"/>
      <c r="L25" s="6">
        <f t="shared" si="2"/>
        <v>16.950000000000045</v>
      </c>
      <c r="M25" s="2"/>
      <c r="N25" s="7">
        <f t="shared" si="3"/>
        <v>3.0000530982849334E-2</v>
      </c>
      <c r="O25" s="11"/>
      <c r="P25" s="6">
        <v>2061.0500000000002</v>
      </c>
      <c r="Q25" s="2"/>
      <c r="R25" s="7">
        <f t="shared" si="4"/>
        <v>0</v>
      </c>
      <c r="S25" s="2"/>
      <c r="T25" s="6">
        <v>2019.05</v>
      </c>
      <c r="U25" s="2"/>
      <c r="V25" s="7">
        <f t="shared" si="5"/>
        <v>0</v>
      </c>
      <c r="W25" s="2"/>
      <c r="X25" s="6">
        <f t="shared" si="6"/>
        <v>42.000000000000227</v>
      </c>
      <c r="Y25" s="2"/>
      <c r="Z25" s="7">
        <f t="shared" si="7"/>
        <v>2.0801862261954993E-2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290.58</v>
      </c>
      <c r="E26" s="2"/>
      <c r="F26" s="7">
        <f t="shared" si="0"/>
        <v>0</v>
      </c>
      <c r="G26" s="2"/>
      <c r="H26" s="6">
        <v>282.12</v>
      </c>
      <c r="I26" s="2"/>
      <c r="J26" s="7">
        <f t="shared" si="1"/>
        <v>0</v>
      </c>
      <c r="K26" s="2"/>
      <c r="L26" s="6">
        <f t="shared" si="2"/>
        <v>8.4599999999999795</v>
      </c>
      <c r="M26" s="2"/>
      <c r="N26" s="7">
        <f t="shared" si="3"/>
        <v>2.9987239472564792E-2</v>
      </c>
      <c r="O26" s="11"/>
      <c r="P26" s="6">
        <v>1716.78</v>
      </c>
      <c r="Q26" s="2"/>
      <c r="R26" s="7">
        <f t="shared" si="4"/>
        <v>0</v>
      </c>
      <c r="S26" s="2"/>
      <c r="T26" s="6">
        <v>1627.51</v>
      </c>
      <c r="U26" s="2"/>
      <c r="V26" s="7">
        <f t="shared" si="5"/>
        <v>0</v>
      </c>
      <c r="W26" s="2"/>
      <c r="X26" s="6">
        <f t="shared" si="6"/>
        <v>89.269999999999982</v>
      </c>
      <c r="Y26" s="2"/>
      <c r="Z26" s="7">
        <f t="shared" si="7"/>
        <v>5.4850661439868255E-2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165.22</v>
      </c>
      <c r="E27" s="2"/>
      <c r="F27" s="7">
        <f t="shared" si="0"/>
        <v>0</v>
      </c>
      <c r="G27" s="2"/>
      <c r="H27" s="6">
        <v>139.9</v>
      </c>
      <c r="I27" s="2"/>
      <c r="J27" s="7">
        <f t="shared" si="1"/>
        <v>0</v>
      </c>
      <c r="K27" s="2"/>
      <c r="L27" s="6">
        <f t="shared" si="2"/>
        <v>25.319999999999993</v>
      </c>
      <c r="M27" s="2"/>
      <c r="N27" s="7">
        <f t="shared" si="3"/>
        <v>0.18098641887062181</v>
      </c>
      <c r="O27" s="11"/>
      <c r="P27" s="6">
        <v>600.42999999999995</v>
      </c>
      <c r="Q27" s="2"/>
      <c r="R27" s="7">
        <f t="shared" si="4"/>
        <v>0</v>
      </c>
      <c r="S27" s="2"/>
      <c r="T27" s="6">
        <v>556.88</v>
      </c>
      <c r="U27" s="2"/>
      <c r="V27" s="7">
        <f t="shared" si="5"/>
        <v>0</v>
      </c>
      <c r="W27" s="2"/>
      <c r="X27" s="6">
        <f t="shared" si="6"/>
        <v>43.549999999999955</v>
      </c>
      <c r="Y27" s="2"/>
      <c r="Z27" s="7">
        <f t="shared" si="7"/>
        <v>7.8203562706507607E-2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5525.24</v>
      </c>
      <c r="E28" s="1"/>
      <c r="F28" s="5">
        <f t="shared" ref="F28:F36" si="8">IF(D$12=0,0,D28/D$12)</f>
        <v>0</v>
      </c>
      <c r="G28" s="1"/>
      <c r="H28" s="1">
        <f>SUM(OSRRefH22_1x_0)</f>
        <v>4944.2299999999996</v>
      </c>
      <c r="I28" s="1"/>
      <c r="J28" s="5">
        <f t="shared" ref="J28:J36" si="9">IF(H$12=0,0,H28/H$12)</f>
        <v>0</v>
      </c>
      <c r="K28" s="1"/>
      <c r="L28" s="1">
        <f t="shared" ref="L28:L36" si="10">+D28-H28</f>
        <v>581.01000000000022</v>
      </c>
      <c r="M28" s="1"/>
      <c r="N28" s="5">
        <f t="shared" ref="N28:N36" si="11">IF(H28=0,0,L28/H28)</f>
        <v>0.11751273706927069</v>
      </c>
      <c r="O28" s="13"/>
      <c r="P28" s="1">
        <f>SUM(OSRRefP22_1x_0)</f>
        <v>17547.09</v>
      </c>
      <c r="Q28" s="1"/>
      <c r="R28" s="5">
        <f t="shared" ref="R28:R36" si="12">IF(P$12=0,0,P28/P$12)</f>
        <v>0</v>
      </c>
      <c r="S28" s="1"/>
      <c r="T28" s="1">
        <f>SUM(OSRRefT22_1x_0)</f>
        <v>16067.56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1479.5300000000007</v>
      </c>
      <c r="Y28" s="1"/>
      <c r="Z28" s="5">
        <f t="shared" ref="Z28:Z36" si="15">IF(T28=0,0,X28/T28)</f>
        <v>9.2081809559136585E-2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>
        <v>5525.24</v>
      </c>
      <c r="E29" s="2"/>
      <c r="F29" s="7">
        <f t="shared" si="8"/>
        <v>0</v>
      </c>
      <c r="G29" s="2"/>
      <c r="H29" s="6">
        <v>4944.2299999999996</v>
      </c>
      <c r="I29" s="2"/>
      <c r="J29" s="7">
        <f t="shared" si="9"/>
        <v>0</v>
      </c>
      <c r="K29" s="2"/>
      <c r="L29" s="6">
        <f t="shared" si="10"/>
        <v>581.01000000000022</v>
      </c>
      <c r="M29" s="2"/>
      <c r="N29" s="7">
        <f t="shared" si="11"/>
        <v>0.11751273706927069</v>
      </c>
      <c r="O29" s="11"/>
      <c r="P29" s="6">
        <v>17547.09</v>
      </c>
      <c r="Q29" s="2"/>
      <c r="R29" s="7">
        <f t="shared" si="12"/>
        <v>0</v>
      </c>
      <c r="S29" s="2"/>
      <c r="T29" s="6">
        <v>16067.56</v>
      </c>
      <c r="U29" s="2"/>
      <c r="V29" s="7">
        <f t="shared" si="13"/>
        <v>0</v>
      </c>
      <c r="W29" s="2"/>
      <c r="X29" s="6">
        <f t="shared" si="14"/>
        <v>1479.5300000000007</v>
      </c>
      <c r="Y29" s="2"/>
      <c r="Z29" s="7">
        <f t="shared" si="15"/>
        <v>9.2081809559136585E-2</v>
      </c>
    </row>
    <row r="30" spans="1:26" s="27" customFormat="1" outlineLevel="1" collapsed="1" x14ac:dyDescent="0.25">
      <c r="A30" s="25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-146.75</v>
      </c>
      <c r="E30" s="1"/>
      <c r="F30" s="5">
        <f t="shared" si="8"/>
        <v>0</v>
      </c>
      <c r="G30" s="1"/>
      <c r="H30" s="1">
        <f>SUM(OSRRefH22_2x_0)</f>
        <v>-442.4</v>
      </c>
      <c r="I30" s="1"/>
      <c r="J30" s="5">
        <f t="shared" si="9"/>
        <v>0</v>
      </c>
      <c r="K30" s="1"/>
      <c r="L30" s="1">
        <f t="shared" si="10"/>
        <v>295.64999999999998</v>
      </c>
      <c r="M30" s="1"/>
      <c r="N30" s="5">
        <f t="shared" si="11"/>
        <v>-0.66828661844484627</v>
      </c>
      <c r="O30" s="13"/>
      <c r="P30" s="1">
        <f>SUM(OSRRefP22_2x_0)</f>
        <v>-327.64999999999998</v>
      </c>
      <c r="Q30" s="1"/>
      <c r="R30" s="5">
        <f t="shared" si="12"/>
        <v>0</v>
      </c>
      <c r="S30" s="1"/>
      <c r="T30" s="1">
        <f>SUM(OSRRefT22_2x_0)</f>
        <v>-1183.0999999999999</v>
      </c>
      <c r="U30" s="1"/>
      <c r="V30" s="5">
        <f t="shared" si="13"/>
        <v>0</v>
      </c>
      <c r="W30" s="1"/>
      <c r="X30" s="1">
        <f t="shared" si="14"/>
        <v>855.44999999999993</v>
      </c>
      <c r="Y30" s="1"/>
      <c r="Z30" s="5">
        <f t="shared" si="15"/>
        <v>-0.72305806778801451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6">
        <v>-146.75</v>
      </c>
      <c r="E31" s="2"/>
      <c r="F31" s="7">
        <f t="shared" si="8"/>
        <v>0</v>
      </c>
      <c r="G31" s="2"/>
      <c r="H31" s="6">
        <v>-442.4</v>
      </c>
      <c r="I31" s="2"/>
      <c r="J31" s="7">
        <f t="shared" si="9"/>
        <v>0</v>
      </c>
      <c r="K31" s="2"/>
      <c r="L31" s="6">
        <f t="shared" si="10"/>
        <v>295.64999999999998</v>
      </c>
      <c r="M31" s="2"/>
      <c r="N31" s="7">
        <f t="shared" si="11"/>
        <v>-0.66828661844484627</v>
      </c>
      <c r="O31" s="11"/>
      <c r="P31" s="6">
        <v>-327.64999999999998</v>
      </c>
      <c r="Q31" s="2"/>
      <c r="R31" s="7">
        <f t="shared" si="12"/>
        <v>0</v>
      </c>
      <c r="S31" s="2"/>
      <c r="T31" s="6">
        <v>-1183.0999999999999</v>
      </c>
      <c r="U31" s="2"/>
      <c r="V31" s="7">
        <f t="shared" si="13"/>
        <v>0</v>
      </c>
      <c r="W31" s="2"/>
      <c r="X31" s="6">
        <f t="shared" si="14"/>
        <v>855.44999999999993</v>
      </c>
      <c r="Y31" s="2"/>
      <c r="Z31" s="7">
        <f t="shared" si="15"/>
        <v>-0.72305806778801451</v>
      </c>
    </row>
    <row r="32" spans="1:26" s="27" customFormat="1" outlineLevel="1" collapsed="1" x14ac:dyDescent="0.25">
      <c r="A32" s="25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23.14</v>
      </c>
      <c r="I32" s="1"/>
      <c r="J32" s="5">
        <f t="shared" si="9"/>
        <v>0</v>
      </c>
      <c r="K32" s="1"/>
      <c r="L32" s="1">
        <f t="shared" si="10"/>
        <v>1.4199999999999982</v>
      </c>
      <c r="M32" s="1"/>
      <c r="N32" s="5">
        <f t="shared" si="11"/>
        <v>6.1365600691443305E-2</v>
      </c>
      <c r="O32" s="13"/>
      <c r="P32" s="1">
        <f>SUM(OSRRefP22_3x_0)</f>
        <v>98.24</v>
      </c>
      <c r="Q32" s="1"/>
      <c r="R32" s="5">
        <f t="shared" si="12"/>
        <v>0</v>
      </c>
      <c r="S32" s="1"/>
      <c r="T32" s="1">
        <f>SUM(OSRRefT22_3x_0)</f>
        <v>92.56</v>
      </c>
      <c r="U32" s="1"/>
      <c r="V32" s="5">
        <f t="shared" si="13"/>
        <v>0</v>
      </c>
      <c r="W32" s="1"/>
      <c r="X32" s="1">
        <f t="shared" si="14"/>
        <v>5.6799999999999926</v>
      </c>
      <c r="Y32" s="1"/>
      <c r="Z32" s="5">
        <f t="shared" si="15"/>
        <v>6.1365600691443305E-2</v>
      </c>
    </row>
    <row r="33" spans="1:26" s="24" customFormat="1" hidden="1" outlineLevel="2" x14ac:dyDescent="0.25">
      <c r="A33" s="26"/>
      <c r="B33" s="11" t="str">
        <f>CONCATENATE("          ", "6314", " - ", "LIABILITY INSURANCE")</f>
        <v xml:space="preserve">          6314 - LIABILITY INSURANCE</v>
      </c>
      <c r="C33" s="11"/>
      <c r="D33" s="6">
        <v>24.56</v>
      </c>
      <c r="E33" s="2"/>
      <c r="F33" s="7">
        <f t="shared" si="8"/>
        <v>0</v>
      </c>
      <c r="G33" s="2"/>
      <c r="H33" s="6">
        <v>23.14</v>
      </c>
      <c r="I33" s="2"/>
      <c r="J33" s="7">
        <f t="shared" si="9"/>
        <v>0</v>
      </c>
      <c r="K33" s="2"/>
      <c r="L33" s="6">
        <f t="shared" si="10"/>
        <v>1.4199999999999982</v>
      </c>
      <c r="M33" s="2"/>
      <c r="N33" s="7">
        <f t="shared" si="11"/>
        <v>6.1365600691443305E-2</v>
      </c>
      <c r="O33" s="11"/>
      <c r="P33" s="6">
        <v>98.24</v>
      </c>
      <c r="Q33" s="2"/>
      <c r="R33" s="7">
        <f t="shared" si="12"/>
        <v>0</v>
      </c>
      <c r="S33" s="2"/>
      <c r="T33" s="6">
        <v>92.56</v>
      </c>
      <c r="U33" s="2"/>
      <c r="V33" s="7">
        <f t="shared" si="13"/>
        <v>0</v>
      </c>
      <c r="W33" s="2"/>
      <c r="X33" s="6">
        <f t="shared" si="14"/>
        <v>5.6799999999999926</v>
      </c>
      <c r="Y33" s="2"/>
      <c r="Z33" s="7">
        <f t="shared" si="15"/>
        <v>6.1365600691443305E-2</v>
      </c>
    </row>
    <row r="34" spans="1:26" s="27" customFormat="1" outlineLevel="1" collapsed="1" x14ac:dyDescent="0.25">
      <c r="A34" s="25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1642.66</v>
      </c>
      <c r="E34" s="1"/>
      <c r="F34" s="5">
        <f t="shared" si="8"/>
        <v>0</v>
      </c>
      <c r="G34" s="1"/>
      <c r="H34" s="1">
        <f>SUM(OSRRefH22_4x_0)</f>
        <v>1339</v>
      </c>
      <c r="I34" s="1"/>
      <c r="J34" s="5">
        <f t="shared" si="9"/>
        <v>0</v>
      </c>
      <c r="K34" s="1"/>
      <c r="L34" s="1">
        <f t="shared" si="10"/>
        <v>303.66000000000008</v>
      </c>
      <c r="M34" s="1"/>
      <c r="N34" s="5">
        <f t="shared" si="11"/>
        <v>0.22678117998506353</v>
      </c>
      <c r="O34" s="13"/>
      <c r="P34" s="1">
        <f>SUM(OSRRefP22_4x_0)</f>
        <v>4454.5600000000004</v>
      </c>
      <c r="Q34" s="1"/>
      <c r="R34" s="5">
        <f t="shared" si="12"/>
        <v>0</v>
      </c>
      <c r="S34" s="1"/>
      <c r="T34" s="1">
        <f>SUM(OSRRefT22_4x_0)</f>
        <v>5385.11</v>
      </c>
      <c r="U34" s="1"/>
      <c r="V34" s="5">
        <f t="shared" si="13"/>
        <v>0</v>
      </c>
      <c r="W34" s="1"/>
      <c r="X34" s="1">
        <f t="shared" si="14"/>
        <v>-930.54999999999927</v>
      </c>
      <c r="Y34" s="1"/>
      <c r="Z34" s="5">
        <f t="shared" si="15"/>
        <v>-0.17280055560610635</v>
      </c>
    </row>
    <row r="35" spans="1:26" s="24" customFormat="1" hidden="1" outlineLevel="2" x14ac:dyDescent="0.25">
      <c r="A35" s="26"/>
      <c r="B35" s="11" t="str">
        <f>CONCATENATE("          ", "6373", " - ", "MAINTENANCE CONTRACTS")</f>
        <v xml:space="preserve">          6373 - MAINTENANCE CONTRACTS</v>
      </c>
      <c r="C35" s="11"/>
      <c r="D35" s="6">
        <v>1405.95</v>
      </c>
      <c r="E35" s="2"/>
      <c r="F35" s="7">
        <f t="shared" si="8"/>
        <v>0</v>
      </c>
      <c r="G35" s="2"/>
      <c r="H35" s="6">
        <v>1339</v>
      </c>
      <c r="I35" s="2"/>
      <c r="J35" s="7">
        <f t="shared" si="9"/>
        <v>0</v>
      </c>
      <c r="K35" s="2"/>
      <c r="L35" s="6">
        <f t="shared" si="10"/>
        <v>66.950000000000045</v>
      </c>
      <c r="M35" s="2"/>
      <c r="N35" s="7">
        <f t="shared" si="11"/>
        <v>5.0000000000000031E-2</v>
      </c>
      <c r="O35" s="11"/>
      <c r="P35" s="6">
        <v>4217.8500000000004</v>
      </c>
      <c r="Q35" s="2"/>
      <c r="R35" s="7">
        <f t="shared" si="12"/>
        <v>0</v>
      </c>
      <c r="S35" s="2"/>
      <c r="T35" s="6">
        <v>5356</v>
      </c>
      <c r="U35" s="2"/>
      <c r="V35" s="7">
        <f t="shared" si="13"/>
        <v>0</v>
      </c>
      <c r="W35" s="2"/>
      <c r="X35" s="6">
        <f t="shared" si="14"/>
        <v>-1138.1499999999996</v>
      </c>
      <c r="Y35" s="2"/>
      <c r="Z35" s="7">
        <f t="shared" si="15"/>
        <v>-0.21249999999999994</v>
      </c>
    </row>
    <row r="36" spans="1:26" s="24" customFormat="1" hidden="1" outlineLevel="2" x14ac:dyDescent="0.25">
      <c r="A36" s="26"/>
      <c r="B36" s="11" t="str">
        <f>CONCATENATE("          ", "6375", " - ", "OUTSIDE REPAIRS &amp; MAINTENANCE")</f>
        <v xml:space="preserve">          6375 - OUTSIDE REPAIRS &amp; MAINTENANCE</v>
      </c>
      <c r="C36" s="11"/>
      <c r="D36" s="6">
        <v>236.71</v>
      </c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236.71</v>
      </c>
      <c r="M36" s="2"/>
      <c r="N36" s="7">
        <f t="shared" si="11"/>
        <v>0</v>
      </c>
      <c r="O36" s="11"/>
      <c r="P36" s="6">
        <v>236.71</v>
      </c>
      <c r="Q36" s="2"/>
      <c r="R36" s="7">
        <f t="shared" si="12"/>
        <v>0</v>
      </c>
      <c r="S36" s="2"/>
      <c r="T36" s="6">
        <v>29.11</v>
      </c>
      <c r="U36" s="2"/>
      <c r="V36" s="7">
        <f t="shared" si="13"/>
        <v>0</v>
      </c>
      <c r="W36" s="2"/>
      <c r="X36" s="6">
        <f t="shared" si="14"/>
        <v>207.60000000000002</v>
      </c>
      <c r="Y36" s="2"/>
      <c r="Z36" s="7">
        <f t="shared" si="15"/>
        <v>7.1315699072483696</v>
      </c>
    </row>
    <row r="37" spans="1:26" s="27" customFormat="1" outlineLevel="1" collapsed="1" x14ac:dyDescent="0.25">
      <c r="A37" s="25"/>
      <c r="B37" s="13" t="str">
        <f>CONCATENATE("     ","Services                                          ")</f>
        <v xml:space="preserve">     Services                                          </v>
      </c>
      <c r="C37" s="13"/>
      <c r="D37" s="1">
        <f>SUM(OSRRefD22_5x_0)</f>
        <v>13.26</v>
      </c>
      <c r="E37" s="1"/>
      <c r="F37" s="5">
        <f t="shared" ref="F37:F41" si="16">IF(D$12=0,0,D37/D$12)</f>
        <v>0</v>
      </c>
      <c r="G37" s="1"/>
      <c r="H37" s="1">
        <f>SUM(OSRRefH22_5x_0)</f>
        <v>14.16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-0.90000000000000036</v>
      </c>
      <c r="M37" s="1"/>
      <c r="N37" s="5">
        <f t="shared" ref="N37:N41" si="19">IF(H37=0,0,L37/H37)</f>
        <v>-6.355932203389833E-2</v>
      </c>
      <c r="O37" s="13"/>
      <c r="P37" s="1">
        <f>SUM(OSRRefP22_5x_0)</f>
        <v>39.78</v>
      </c>
      <c r="Q37" s="1"/>
      <c r="R37" s="5">
        <f t="shared" ref="R37:R41" si="20">IF(P$12=0,0,P37/P$12)</f>
        <v>0</v>
      </c>
      <c r="S37" s="1"/>
      <c r="T37" s="1">
        <f>SUM(OSRRefT22_5x_0)</f>
        <v>38.94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0.84000000000000341</v>
      </c>
      <c r="Y37" s="1"/>
      <c r="Z37" s="5">
        <f t="shared" ref="Z37:Z41" si="23">IF(T37=0,0,X37/T37)</f>
        <v>2.1571648690292846E-2</v>
      </c>
    </row>
    <row r="38" spans="1:26" s="24" customFormat="1" hidden="1" outlineLevel="2" x14ac:dyDescent="0.25">
      <c r="A38" s="26"/>
      <c r="B38" s="11" t="str">
        <f>CONCATENATE("          ", "6286", " - ", "LAUNDRY EXPENSE")</f>
        <v xml:space="preserve">          6286 - LAUNDRY EXPENSE</v>
      </c>
      <c r="C38" s="11"/>
      <c r="D38" s="6">
        <v>13.26</v>
      </c>
      <c r="E38" s="2"/>
      <c r="F38" s="7">
        <f t="shared" si="16"/>
        <v>0</v>
      </c>
      <c r="G38" s="2"/>
      <c r="H38" s="6">
        <v>14.16</v>
      </c>
      <c r="I38" s="2"/>
      <c r="J38" s="7">
        <f t="shared" si="17"/>
        <v>0</v>
      </c>
      <c r="K38" s="2"/>
      <c r="L38" s="6">
        <f t="shared" si="18"/>
        <v>-0.90000000000000036</v>
      </c>
      <c r="M38" s="2"/>
      <c r="N38" s="7">
        <f t="shared" si="19"/>
        <v>-6.355932203389833E-2</v>
      </c>
      <c r="O38" s="11"/>
      <c r="P38" s="6">
        <v>39.78</v>
      </c>
      <c r="Q38" s="2"/>
      <c r="R38" s="7">
        <f t="shared" si="20"/>
        <v>0</v>
      </c>
      <c r="S38" s="2"/>
      <c r="T38" s="6">
        <v>38.94</v>
      </c>
      <c r="U38" s="2"/>
      <c r="V38" s="7">
        <f t="shared" si="21"/>
        <v>0</v>
      </c>
      <c r="W38" s="2"/>
      <c r="X38" s="6">
        <f t="shared" si="22"/>
        <v>0.84000000000000341</v>
      </c>
      <c r="Y38" s="2"/>
      <c r="Z38" s="7">
        <f t="shared" si="23"/>
        <v>2.1571648690292846E-2</v>
      </c>
    </row>
    <row r="39" spans="1:26" s="27" customFormat="1" outlineLevel="1" collapsed="1" x14ac:dyDescent="0.25">
      <c r="A39" s="25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147.56</v>
      </c>
      <c r="E39" s="1"/>
      <c r="F39" s="5">
        <f t="shared" si="16"/>
        <v>0</v>
      </c>
      <c r="G39" s="1"/>
      <c r="H39" s="1">
        <f>SUM(OSRRefH22_6x_0)</f>
        <v>609.27</v>
      </c>
      <c r="I39" s="1"/>
      <c r="J39" s="5">
        <f t="shared" si="17"/>
        <v>0</v>
      </c>
      <c r="K39" s="1"/>
      <c r="L39" s="1">
        <f t="shared" si="18"/>
        <v>-461.71</v>
      </c>
      <c r="M39" s="1"/>
      <c r="N39" s="5">
        <f t="shared" si="19"/>
        <v>-0.75780852495609496</v>
      </c>
      <c r="O39" s="13"/>
      <c r="P39" s="1">
        <f>SUM(OSRRefP22_6x_0)</f>
        <v>744.92</v>
      </c>
      <c r="Q39" s="1"/>
      <c r="R39" s="5">
        <f t="shared" si="20"/>
        <v>0</v>
      </c>
      <c r="S39" s="1"/>
      <c r="T39" s="1">
        <f>SUM(OSRRefT22_6x_0)</f>
        <v>811</v>
      </c>
      <c r="U39" s="1"/>
      <c r="V39" s="5">
        <f t="shared" si="21"/>
        <v>0</v>
      </c>
      <c r="W39" s="1"/>
      <c r="X39" s="1">
        <f t="shared" si="22"/>
        <v>-66.080000000000041</v>
      </c>
      <c r="Y39" s="1"/>
      <c r="Z39" s="5">
        <f t="shared" si="23"/>
        <v>-8.1479654747225697E-2</v>
      </c>
    </row>
    <row r="40" spans="1:26" s="24" customFormat="1" hidden="1" outlineLevel="2" x14ac:dyDescent="0.25">
      <c r="A40" s="26"/>
      <c r="B40" s="11" t="str">
        <f>CONCATENATE("          ", "6234", " - ", "EXPENDABLE SUPPLIES &amp; EQUIPMEN")</f>
        <v xml:space="preserve">          6234 - EXPENDABLE SUPPLIES &amp; EQUIPMEN</v>
      </c>
      <c r="C40" s="11"/>
      <c r="D40" s="6">
        <v>133.56</v>
      </c>
      <c r="E40" s="2"/>
      <c r="F40" s="7">
        <f t="shared" si="16"/>
        <v>0</v>
      </c>
      <c r="G40" s="2"/>
      <c r="H40" s="6">
        <v>606.47</v>
      </c>
      <c r="I40" s="2"/>
      <c r="J40" s="7">
        <f t="shared" si="17"/>
        <v>0</v>
      </c>
      <c r="K40" s="2"/>
      <c r="L40" s="6">
        <f t="shared" si="18"/>
        <v>-472.91</v>
      </c>
      <c r="M40" s="2"/>
      <c r="N40" s="7">
        <f t="shared" si="19"/>
        <v>-0.77977476214816888</v>
      </c>
      <c r="O40" s="11"/>
      <c r="P40" s="6">
        <v>693.5</v>
      </c>
      <c r="Q40" s="2"/>
      <c r="R40" s="7">
        <f t="shared" si="20"/>
        <v>0</v>
      </c>
      <c r="S40" s="2"/>
      <c r="T40" s="6">
        <v>804.9</v>
      </c>
      <c r="U40" s="2"/>
      <c r="V40" s="7">
        <f t="shared" si="21"/>
        <v>0</v>
      </c>
      <c r="W40" s="2"/>
      <c r="X40" s="6">
        <f t="shared" si="22"/>
        <v>-111.39999999999998</v>
      </c>
      <c r="Y40" s="2"/>
      <c r="Z40" s="7">
        <f t="shared" si="23"/>
        <v>-0.13840228599826063</v>
      </c>
    </row>
    <row r="41" spans="1:26" s="24" customFormat="1" hidden="1" outlineLevel="2" x14ac:dyDescent="0.25">
      <c r="A41" s="26"/>
      <c r="B41" s="11" t="str">
        <f>CONCATENATE("          ", "6241", " - ", "OFFICE EXPENSE")</f>
        <v xml:space="preserve">          6241 - OFFICE EXPENSE</v>
      </c>
      <c r="C41" s="11"/>
      <c r="D41" s="6">
        <v>14</v>
      </c>
      <c r="E41" s="2"/>
      <c r="F41" s="7">
        <f t="shared" si="16"/>
        <v>0</v>
      </c>
      <c r="G41" s="2"/>
      <c r="H41" s="6">
        <v>2.8</v>
      </c>
      <c r="I41" s="2"/>
      <c r="J41" s="7">
        <f t="shared" si="17"/>
        <v>0</v>
      </c>
      <c r="K41" s="2"/>
      <c r="L41" s="6">
        <f t="shared" si="18"/>
        <v>11.2</v>
      </c>
      <c r="M41" s="2"/>
      <c r="N41" s="7">
        <f t="shared" si="19"/>
        <v>4</v>
      </c>
      <c r="O41" s="11"/>
      <c r="P41" s="6">
        <v>51.42</v>
      </c>
      <c r="Q41" s="2"/>
      <c r="R41" s="7">
        <f t="shared" si="20"/>
        <v>0</v>
      </c>
      <c r="S41" s="2"/>
      <c r="T41" s="6">
        <v>6.1</v>
      </c>
      <c r="U41" s="2"/>
      <c r="V41" s="7">
        <f t="shared" si="21"/>
        <v>0</v>
      </c>
      <c r="W41" s="2"/>
      <c r="X41" s="6">
        <f t="shared" si="22"/>
        <v>45.32</v>
      </c>
      <c r="Y41" s="2"/>
      <c r="Z41" s="7">
        <f t="shared" si="23"/>
        <v>7.4295081967213124</v>
      </c>
    </row>
    <row r="42" spans="1:26" s="27" customFormat="1" outlineLevel="1" collapsed="1" x14ac:dyDescent="0.25">
      <c r="A42" s="25"/>
      <c r="B42" s="13" t="str">
        <f>CONCATENATE("     ","Telephone/Data Lines                              ")</f>
        <v xml:space="preserve">     Telephone/Data Lines                              </v>
      </c>
      <c r="C42" s="13"/>
      <c r="D42" s="1">
        <f>SUM(OSRRefD22_7x_0)</f>
        <v>223.85</v>
      </c>
      <c r="E42" s="1"/>
      <c r="F42" s="5">
        <f t="shared" ref="F42:F45" si="24">IF(D$12=0,0,D42/D$12)</f>
        <v>0</v>
      </c>
      <c r="G42" s="1"/>
      <c r="H42" s="1">
        <f>SUM(OSRRefH22_7x_0)</f>
        <v>57.93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165.92</v>
      </c>
      <c r="M42" s="1"/>
      <c r="N42" s="5">
        <f t="shared" ref="N42:N45" si="27">IF(H42=0,0,L42/H42)</f>
        <v>2.8641463835663732</v>
      </c>
      <c r="O42" s="13"/>
      <c r="P42" s="1">
        <f>SUM(OSRRefP22_7x_0)</f>
        <v>388.2</v>
      </c>
      <c r="Q42" s="1"/>
      <c r="R42" s="5">
        <f t="shared" ref="R42:R45" si="28">IF(P$12=0,0,P42/P$12)</f>
        <v>0</v>
      </c>
      <c r="S42" s="1"/>
      <c r="T42" s="1">
        <f>SUM(OSRRefT22_7x_0)</f>
        <v>230.5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157.69999999999999</v>
      </c>
      <c r="Y42" s="1"/>
      <c r="Z42" s="5">
        <f t="shared" ref="Z42:Z45" si="31">IF(T42=0,0,X42/T42)</f>
        <v>0.68416485900216917</v>
      </c>
    </row>
    <row r="43" spans="1:26" s="24" customFormat="1" hidden="1" outlineLevel="2" x14ac:dyDescent="0.25">
      <c r="A43" s="26"/>
      <c r="B43" s="11" t="str">
        <f>CONCATENATE("          ", "6309", " - ", "TELEPHONE")</f>
        <v xml:space="preserve">          6309 - TELEPHONE</v>
      </c>
      <c r="C43" s="11"/>
      <c r="D43" s="6">
        <v>223.85</v>
      </c>
      <c r="E43" s="2"/>
      <c r="F43" s="7">
        <f t="shared" si="24"/>
        <v>0</v>
      </c>
      <c r="G43" s="2"/>
      <c r="H43" s="6">
        <v>57.93</v>
      </c>
      <c r="I43" s="2"/>
      <c r="J43" s="7">
        <f t="shared" si="25"/>
        <v>0</v>
      </c>
      <c r="K43" s="2"/>
      <c r="L43" s="6">
        <f t="shared" si="26"/>
        <v>165.92</v>
      </c>
      <c r="M43" s="2"/>
      <c r="N43" s="7">
        <f t="shared" si="27"/>
        <v>2.8641463835663732</v>
      </c>
      <c r="O43" s="11"/>
      <c r="P43" s="6">
        <v>388.2</v>
      </c>
      <c r="Q43" s="2"/>
      <c r="R43" s="7">
        <f t="shared" si="28"/>
        <v>0</v>
      </c>
      <c r="S43" s="2"/>
      <c r="T43" s="6">
        <v>230.5</v>
      </c>
      <c r="U43" s="2"/>
      <c r="V43" s="7">
        <f t="shared" si="29"/>
        <v>0</v>
      </c>
      <c r="W43" s="2"/>
      <c r="X43" s="6">
        <f t="shared" si="30"/>
        <v>157.69999999999999</v>
      </c>
      <c r="Y43" s="2"/>
      <c r="Z43" s="7">
        <f t="shared" si="31"/>
        <v>0.68416485900216917</v>
      </c>
    </row>
    <row r="44" spans="1:26" s="27" customFormat="1" outlineLevel="1" collapsed="1" x14ac:dyDescent="0.25">
      <c r="A44" s="25"/>
      <c r="B44" s="13" t="str">
        <f>CONCATENATE("     ","Travel                                            ")</f>
        <v xml:space="preserve">     Travel                                            </v>
      </c>
      <c r="C44" s="13"/>
      <c r="D44" s="1">
        <f>SUM(OSRRefD22_8x_0)</f>
        <v>240.76</v>
      </c>
      <c r="E44" s="1"/>
      <c r="F44" s="5">
        <f t="shared" si="24"/>
        <v>0</v>
      </c>
      <c r="G44" s="1"/>
      <c r="H44" s="1">
        <f>SUM(OSRRefH22_8x_0)</f>
        <v>0</v>
      </c>
      <c r="I44" s="1"/>
      <c r="J44" s="5">
        <f t="shared" si="25"/>
        <v>0</v>
      </c>
      <c r="K44" s="1"/>
      <c r="L44" s="1">
        <f t="shared" si="26"/>
        <v>240.76</v>
      </c>
      <c r="M44" s="1"/>
      <c r="N44" s="5">
        <f t="shared" si="27"/>
        <v>0</v>
      </c>
      <c r="O44" s="13"/>
      <c r="P44" s="1">
        <f>SUM(OSRRefP22_8x_0)</f>
        <v>256.86</v>
      </c>
      <c r="Q44" s="1"/>
      <c r="R44" s="5">
        <f t="shared" si="28"/>
        <v>0</v>
      </c>
      <c r="S44" s="1"/>
      <c r="T44" s="1">
        <f>SUM(OSRRefT22_8x_0)</f>
        <v>0</v>
      </c>
      <c r="U44" s="1"/>
      <c r="V44" s="5">
        <f t="shared" si="29"/>
        <v>0</v>
      </c>
      <c r="W44" s="1"/>
      <c r="X44" s="1">
        <f t="shared" si="30"/>
        <v>256.86</v>
      </c>
      <c r="Y44" s="1"/>
      <c r="Z44" s="5">
        <f t="shared" si="31"/>
        <v>0</v>
      </c>
    </row>
    <row r="45" spans="1:26" s="24" customFormat="1" hidden="1" outlineLevel="2" x14ac:dyDescent="0.25">
      <c r="A45" s="26"/>
      <c r="B45" s="11" t="str">
        <f>CONCATENATE("          ", "6292", " - ", "TRAVEL/CONFERENCE")</f>
        <v xml:space="preserve">          6292 - TRAVEL/CONFERENCE</v>
      </c>
      <c r="C45" s="11"/>
      <c r="D45" s="6">
        <v>240.76</v>
      </c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240.76</v>
      </c>
      <c r="M45" s="2"/>
      <c r="N45" s="7">
        <f t="shared" si="27"/>
        <v>0</v>
      </c>
      <c r="O45" s="11"/>
      <c r="P45" s="6">
        <v>256.86</v>
      </c>
      <c r="Q45" s="2"/>
      <c r="R45" s="7">
        <f t="shared" si="28"/>
        <v>0</v>
      </c>
      <c r="S45" s="2"/>
      <c r="T45" s="6"/>
      <c r="U45" s="2"/>
      <c r="V45" s="7">
        <f t="shared" si="29"/>
        <v>0</v>
      </c>
      <c r="W45" s="2"/>
      <c r="X45" s="6">
        <f t="shared" si="30"/>
        <v>256.86</v>
      </c>
      <c r="Y45" s="2"/>
      <c r="Z45" s="7">
        <f t="shared" si="31"/>
        <v>0</v>
      </c>
    </row>
    <row r="46" spans="1:26" s="55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9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3</v>
      </c>
      <c r="C49" s="28"/>
      <c r="D49" s="21">
        <f>+D16-D18+D47</f>
        <v>-10289.439999999999</v>
      </c>
      <c r="E49" s="14"/>
      <c r="F49" s="22">
        <f>IF(D$12=0,0,D49/D$12)</f>
        <v>0</v>
      </c>
      <c r="G49" s="14"/>
      <c r="H49" s="21">
        <f>+H16-H18+H47</f>
        <v>-9427.6199999999972</v>
      </c>
      <c r="I49" s="14"/>
      <c r="J49" s="22">
        <f>IF(H$12=0,0,H49/H$12)</f>
        <v>0</v>
      </c>
      <c r="K49" s="16"/>
      <c r="L49" s="21">
        <f>+D49-H49</f>
        <v>-861.82000000000153</v>
      </c>
      <c r="M49" s="16"/>
      <c r="N49" s="22">
        <f>IF(H49=0,0,L49/H49)</f>
        <v>9.1414376056735608E-2</v>
      </c>
      <c r="O49" s="29"/>
      <c r="P49" s="21">
        <f>+P16-P18+P47</f>
        <v>-34413.019999999997</v>
      </c>
      <c r="Q49" s="14"/>
      <c r="R49" s="22">
        <f>IF(P$12=0,0,P49/P$12)</f>
        <v>0</v>
      </c>
      <c r="S49" s="14"/>
      <c r="T49" s="21">
        <f>+T16-T18+T47</f>
        <v>-31942.36</v>
      </c>
      <c r="U49" s="14"/>
      <c r="V49" s="22">
        <f>IF(T$12=0,0,T49/T$12)</f>
        <v>0</v>
      </c>
      <c r="W49" s="16"/>
      <c r="X49" s="21">
        <f>+P49-T49</f>
        <v>-2470.6599999999962</v>
      </c>
      <c r="Y49" s="16"/>
      <c r="Z49" s="22">
        <f>IF(T49=0,0,X49/T49)</f>
        <v>7.7347447089069071E-2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4</v>
      </c>
      <c r="C53" s="28"/>
      <c r="D53" s="31">
        <f>+D49-D51</f>
        <v>-10289.439999999999</v>
      </c>
      <c r="E53" s="14"/>
      <c r="F53" s="34">
        <f>IF(D$12=0,0,D53/D$12)</f>
        <v>0</v>
      </c>
      <c r="G53" s="14"/>
      <c r="H53" s="31">
        <f>+H49-H51</f>
        <v>-9427.6199999999972</v>
      </c>
      <c r="I53" s="14"/>
      <c r="J53" s="34">
        <f>IF(H$12=0,0,H53/H$12)</f>
        <v>0</v>
      </c>
      <c r="K53" s="16"/>
      <c r="L53" s="31">
        <f>D53-H53</f>
        <v>-861.82000000000153</v>
      </c>
      <c r="M53" s="16"/>
      <c r="N53" s="34">
        <f>IF(H53=0,0,L53/H53)</f>
        <v>9.1414376056735608E-2</v>
      </c>
      <c r="O53" s="29"/>
      <c r="P53" s="31">
        <f>+P49-P51</f>
        <v>-34413.019999999997</v>
      </c>
      <c r="Q53" s="14"/>
      <c r="R53" s="34">
        <f>IF(P$12=0,0,P53/P$12)</f>
        <v>0</v>
      </c>
      <c r="S53" s="14"/>
      <c r="T53" s="31">
        <f>+T49-T51</f>
        <v>-31942.36</v>
      </c>
      <c r="U53" s="14"/>
      <c r="V53" s="34">
        <f>IF(T$12=0,0,T53/T$12)</f>
        <v>0</v>
      </c>
      <c r="W53" s="16"/>
      <c r="X53" s="31">
        <f>P53-T53</f>
        <v>-2470.6599999999962</v>
      </c>
      <c r="Y53" s="16"/>
      <c r="Z53" s="34">
        <f>IF(T53=0,0,X53/T53)</f>
        <v>7.7347447089069071E-2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8" t="s">
        <v>5</v>
      </c>
      <c r="C56" s="28"/>
      <c r="D56" s="36">
        <f>SUM(D53:D55)</f>
        <v>-10289.439999999999</v>
      </c>
      <c r="E56" s="14"/>
      <c r="F56" s="33">
        <f>IF(D$12=0,0,D56/D$12)</f>
        <v>0</v>
      </c>
      <c r="G56" s="14"/>
      <c r="H56" s="36">
        <f>SUM(H53:H55)</f>
        <v>-9427.6199999999972</v>
      </c>
      <c r="I56" s="14"/>
      <c r="J56" s="33">
        <f>IF(H$12=0,0,H56/H$12)</f>
        <v>0</v>
      </c>
      <c r="K56" s="16"/>
      <c r="L56" s="36">
        <f>+D56-H56</f>
        <v>-861.82000000000153</v>
      </c>
      <c r="M56" s="16"/>
      <c r="N56" s="33">
        <f>IF(H56=0,0,L56/H56)</f>
        <v>9.1414376056735608E-2</v>
      </c>
      <c r="O56" s="29"/>
      <c r="P56" s="36">
        <f>SUM(P53:P55)</f>
        <v>-34413.019999999997</v>
      </c>
      <c r="Q56" s="14"/>
      <c r="R56" s="33">
        <f>IF(P$12=0,0,P56/P$12)</f>
        <v>0</v>
      </c>
      <c r="S56" s="14"/>
      <c r="T56" s="36">
        <f>SUM(T53:T55)</f>
        <v>-31942.36</v>
      </c>
      <c r="U56" s="14"/>
      <c r="V56" s="33">
        <f>IF(T$12=0,0,T56/T$12)</f>
        <v>0</v>
      </c>
      <c r="W56" s="16"/>
      <c r="X56" s="36">
        <f>+P56-T56</f>
        <v>-2470.6599999999962</v>
      </c>
      <c r="Y56" s="16"/>
      <c r="Z56" s="33">
        <f>IF(T56=0,0,X56/T56)</f>
        <v>7.7347447089069071E-2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61">
        <v>43791.355108761571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6" t="s">
        <v>313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7"/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","206", " - ", "Graphics")</f>
        <v>Department 206 - Graphics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4657.3600000000006</v>
      </c>
      <c r="E18" s="20"/>
      <c r="F18" s="35">
        <f t="shared" ref="F18:F27" si="0">IF(D$12=0,0,D18/D$12)</f>
        <v>0</v>
      </c>
      <c r="G18" s="20"/>
      <c r="H18" s="20">
        <f>SUM(OSRRefH22x_0)</f>
        <v>8050.9899999999961</v>
      </c>
      <c r="I18" s="20"/>
      <c r="J18" s="35">
        <f t="shared" ref="J18:J27" si="1">IF(H$12=0,0,H18/H$12)</f>
        <v>0</v>
      </c>
      <c r="K18" s="4"/>
      <c r="L18" s="20">
        <f t="shared" ref="L18:L27" si="2">+D18-H18</f>
        <v>-3393.6299999999956</v>
      </c>
      <c r="M18" s="4"/>
      <c r="N18" s="35">
        <f t="shared" ref="N18:N27" si="3">IF(H18=0,0,L18/H18)</f>
        <v>-0.42151710534977649</v>
      </c>
      <c r="O18" s="10"/>
      <c r="P18" s="20">
        <f>SUM(OSRRefP22x_0)</f>
        <v>30083.409999999993</v>
      </c>
      <c r="Q18" s="20"/>
      <c r="R18" s="35">
        <f t="shared" ref="R18:R27" si="4">IF(P$12=0,0,P18/P$12)</f>
        <v>0</v>
      </c>
      <c r="S18" s="20"/>
      <c r="T18" s="20">
        <f>SUM(OSRRefT22x_0)</f>
        <v>30430.820000000018</v>
      </c>
      <c r="U18" s="20"/>
      <c r="V18" s="35">
        <f t="shared" ref="V18:V27" si="5">IF(T$12=0,0,T18/T$12)</f>
        <v>0</v>
      </c>
      <c r="W18" s="4"/>
      <c r="X18" s="20">
        <f t="shared" ref="X18:X27" si="6">+P18-T18</f>
        <v>-347.41000000002532</v>
      </c>
      <c r="Y18" s="4"/>
      <c r="Z18" s="35">
        <f t="shared" ref="Z18:Z27" si="7">IF(T18=0,0,X18/T18)</f>
        <v>-1.1416386413511864E-2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1976.42</v>
      </c>
      <c r="E19" s="1"/>
      <c r="F19" s="5">
        <f t="shared" si="0"/>
        <v>0</v>
      </c>
      <c r="G19" s="1"/>
      <c r="H19" s="1">
        <f>SUM(OSRRefH22_0x_0)</f>
        <v>8541.56</v>
      </c>
      <c r="I19" s="1"/>
      <c r="J19" s="5">
        <f t="shared" si="1"/>
        <v>0</v>
      </c>
      <c r="K19" s="1"/>
      <c r="L19" s="1">
        <f t="shared" si="2"/>
        <v>-6565.1399999999994</v>
      </c>
      <c r="M19" s="1"/>
      <c r="N19" s="5">
        <f t="shared" si="3"/>
        <v>-0.76861135436618133</v>
      </c>
      <c r="O19" s="13"/>
      <c r="P19" s="1">
        <f>SUM(OSRRefP22_0x_0)</f>
        <v>7809.5700000000015</v>
      </c>
      <c r="Q19" s="1"/>
      <c r="R19" s="5">
        <f t="shared" si="4"/>
        <v>0</v>
      </c>
      <c r="S19" s="1"/>
      <c r="T19" s="1">
        <f>SUM(OSRRefT22_0x_0)</f>
        <v>27264.23</v>
      </c>
      <c r="U19" s="1"/>
      <c r="V19" s="5">
        <f t="shared" si="5"/>
        <v>0</v>
      </c>
      <c r="W19" s="1"/>
      <c r="X19" s="1">
        <f t="shared" si="6"/>
        <v>-19454.659999999996</v>
      </c>
      <c r="Y19" s="1"/>
      <c r="Z19" s="5">
        <f t="shared" si="7"/>
        <v>-0.71355985479876005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534.96</v>
      </c>
      <c r="E20" s="2"/>
      <c r="F20" s="7">
        <f t="shared" si="0"/>
        <v>0</v>
      </c>
      <c r="G20" s="2"/>
      <c r="H20" s="6">
        <v>2179.36</v>
      </c>
      <c r="I20" s="2"/>
      <c r="J20" s="7">
        <f t="shared" si="1"/>
        <v>0</v>
      </c>
      <c r="K20" s="2"/>
      <c r="L20" s="6">
        <f t="shared" si="2"/>
        <v>-1644.4</v>
      </c>
      <c r="M20" s="2"/>
      <c r="N20" s="7">
        <f t="shared" si="3"/>
        <v>-0.75453344101020481</v>
      </c>
      <c r="O20" s="11"/>
      <c r="P20" s="6">
        <v>2413.17</v>
      </c>
      <c r="Q20" s="2"/>
      <c r="R20" s="7">
        <f t="shared" si="4"/>
        <v>0</v>
      </c>
      <c r="S20" s="2"/>
      <c r="T20" s="6">
        <v>5398.38</v>
      </c>
      <c r="U20" s="2"/>
      <c r="V20" s="7">
        <f t="shared" si="5"/>
        <v>0</v>
      </c>
      <c r="W20" s="2"/>
      <c r="X20" s="6">
        <f t="shared" si="6"/>
        <v>-2985.21</v>
      </c>
      <c r="Y20" s="2"/>
      <c r="Z20" s="7">
        <f t="shared" si="7"/>
        <v>-0.55298256143509716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-66.92</v>
      </c>
      <c r="E21" s="2"/>
      <c r="F21" s="7">
        <f t="shared" si="0"/>
        <v>0</v>
      </c>
      <c r="G21" s="2"/>
      <c r="H21" s="6">
        <v>138.09</v>
      </c>
      <c r="I21" s="2"/>
      <c r="J21" s="7">
        <f t="shared" si="1"/>
        <v>0</v>
      </c>
      <c r="K21" s="2"/>
      <c r="L21" s="6">
        <f t="shared" si="2"/>
        <v>-205.01</v>
      </c>
      <c r="M21" s="2"/>
      <c r="N21" s="7">
        <f t="shared" si="3"/>
        <v>-1.4846114852632339</v>
      </c>
      <c r="O21" s="11"/>
      <c r="P21" s="6">
        <v>30.3</v>
      </c>
      <c r="Q21" s="2"/>
      <c r="R21" s="7">
        <f t="shared" si="4"/>
        <v>0</v>
      </c>
      <c r="S21" s="2"/>
      <c r="T21" s="6">
        <v>254.46</v>
      </c>
      <c r="U21" s="2"/>
      <c r="V21" s="7">
        <f t="shared" si="5"/>
        <v>0</v>
      </c>
      <c r="W21" s="2"/>
      <c r="X21" s="6">
        <f t="shared" si="6"/>
        <v>-224.16</v>
      </c>
      <c r="Y21" s="2"/>
      <c r="Z21" s="7">
        <f t="shared" si="7"/>
        <v>-0.88092431030417351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700.91</v>
      </c>
      <c r="E22" s="2"/>
      <c r="F22" s="7">
        <f t="shared" si="0"/>
        <v>0</v>
      </c>
      <c r="G22" s="2"/>
      <c r="H22" s="6">
        <v>3488.68</v>
      </c>
      <c r="I22" s="2"/>
      <c r="J22" s="7">
        <f t="shared" si="1"/>
        <v>0</v>
      </c>
      <c r="K22" s="2"/>
      <c r="L22" s="6">
        <f t="shared" si="2"/>
        <v>-2787.77</v>
      </c>
      <c r="M22" s="2"/>
      <c r="N22" s="7">
        <f t="shared" si="3"/>
        <v>-0.79909020030498645</v>
      </c>
      <c r="O22" s="11"/>
      <c r="P22" s="6">
        <v>2803.64</v>
      </c>
      <c r="Q22" s="2"/>
      <c r="R22" s="7">
        <f t="shared" si="4"/>
        <v>0</v>
      </c>
      <c r="S22" s="2"/>
      <c r="T22" s="6">
        <v>11781.19</v>
      </c>
      <c r="U22" s="2"/>
      <c r="V22" s="7">
        <f t="shared" si="5"/>
        <v>0</v>
      </c>
      <c r="W22" s="2"/>
      <c r="X22" s="6">
        <f t="shared" si="6"/>
        <v>-8977.5500000000011</v>
      </c>
      <c r="Y22" s="2"/>
      <c r="Z22" s="7">
        <f t="shared" si="7"/>
        <v>-0.76202404001633117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24.98</v>
      </c>
      <c r="E23" s="2"/>
      <c r="F23" s="7">
        <f t="shared" si="0"/>
        <v>0</v>
      </c>
      <c r="G23" s="2"/>
      <c r="H23" s="6">
        <v>74.95</v>
      </c>
      <c r="I23" s="2"/>
      <c r="J23" s="7">
        <f t="shared" si="1"/>
        <v>0</v>
      </c>
      <c r="K23" s="2"/>
      <c r="L23" s="6">
        <f t="shared" si="2"/>
        <v>-49.97</v>
      </c>
      <c r="M23" s="2"/>
      <c r="N23" s="7">
        <f t="shared" si="3"/>
        <v>-0.66671114076050697</v>
      </c>
      <c r="O23" s="11"/>
      <c r="P23" s="6">
        <v>99.33</v>
      </c>
      <c r="Q23" s="2"/>
      <c r="R23" s="7">
        <f t="shared" si="4"/>
        <v>0</v>
      </c>
      <c r="S23" s="2"/>
      <c r="T23" s="6">
        <v>213.41</v>
      </c>
      <c r="U23" s="2"/>
      <c r="V23" s="7">
        <f t="shared" si="5"/>
        <v>0</v>
      </c>
      <c r="W23" s="2"/>
      <c r="X23" s="6">
        <f t="shared" si="6"/>
        <v>-114.08</v>
      </c>
      <c r="Y23" s="2"/>
      <c r="Z23" s="7">
        <f t="shared" si="7"/>
        <v>-0.53455789325711067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463.29</v>
      </c>
      <c r="I24" s="2"/>
      <c r="J24" s="7">
        <f t="shared" si="1"/>
        <v>0</v>
      </c>
      <c r="K24" s="2"/>
      <c r="L24" s="6">
        <f t="shared" si="2"/>
        <v>-463.29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2078.06</v>
      </c>
      <c r="U24" s="2"/>
      <c r="V24" s="7">
        <f t="shared" si="5"/>
        <v>0</v>
      </c>
      <c r="W24" s="2"/>
      <c r="X24" s="6">
        <f t="shared" si="6"/>
        <v>-2078.06</v>
      </c>
      <c r="Y24" s="2"/>
      <c r="Z24" s="7">
        <f t="shared" si="7"/>
        <v>-1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277.2</v>
      </c>
      <c r="E25" s="2"/>
      <c r="F25" s="7">
        <f t="shared" si="0"/>
        <v>0</v>
      </c>
      <c r="G25" s="2"/>
      <c r="H25" s="6">
        <v>1166.67</v>
      </c>
      <c r="I25" s="2"/>
      <c r="J25" s="7">
        <f t="shared" si="1"/>
        <v>0</v>
      </c>
      <c r="K25" s="2"/>
      <c r="L25" s="6">
        <f t="shared" si="2"/>
        <v>-889.47</v>
      </c>
      <c r="M25" s="2"/>
      <c r="N25" s="7">
        <f t="shared" si="3"/>
        <v>-0.76240067885520324</v>
      </c>
      <c r="O25" s="11"/>
      <c r="P25" s="6">
        <v>831.6</v>
      </c>
      <c r="Q25" s="2"/>
      <c r="R25" s="7">
        <f t="shared" si="4"/>
        <v>0</v>
      </c>
      <c r="S25" s="2"/>
      <c r="T25" s="6">
        <v>3819.69</v>
      </c>
      <c r="U25" s="2"/>
      <c r="V25" s="7">
        <f t="shared" si="5"/>
        <v>0</v>
      </c>
      <c r="W25" s="2"/>
      <c r="X25" s="6">
        <f t="shared" si="6"/>
        <v>-2988.09</v>
      </c>
      <c r="Y25" s="2"/>
      <c r="Z25" s="7">
        <f t="shared" si="7"/>
        <v>-0.78228599703117274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332.1</v>
      </c>
      <c r="E26" s="2"/>
      <c r="F26" s="7">
        <f t="shared" si="0"/>
        <v>0</v>
      </c>
      <c r="G26" s="2"/>
      <c r="H26" s="6">
        <v>742.14</v>
      </c>
      <c r="I26" s="2"/>
      <c r="J26" s="7">
        <f t="shared" si="1"/>
        <v>0</v>
      </c>
      <c r="K26" s="2"/>
      <c r="L26" s="6">
        <f t="shared" si="2"/>
        <v>-410.03999999999996</v>
      </c>
      <c r="M26" s="2"/>
      <c r="N26" s="7">
        <f t="shared" si="3"/>
        <v>-0.55251030802813483</v>
      </c>
      <c r="O26" s="11"/>
      <c r="P26" s="6">
        <v>996.3</v>
      </c>
      <c r="Q26" s="2"/>
      <c r="R26" s="7">
        <f t="shared" si="4"/>
        <v>0</v>
      </c>
      <c r="S26" s="2"/>
      <c r="T26" s="6">
        <v>2539.6799999999998</v>
      </c>
      <c r="U26" s="2"/>
      <c r="V26" s="7">
        <f t="shared" si="5"/>
        <v>0</v>
      </c>
      <c r="W26" s="2"/>
      <c r="X26" s="6">
        <f t="shared" si="6"/>
        <v>-1543.3799999999999</v>
      </c>
      <c r="Y26" s="2"/>
      <c r="Z26" s="7">
        <f t="shared" si="7"/>
        <v>-0.60770648270648275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173.19</v>
      </c>
      <c r="E27" s="2"/>
      <c r="F27" s="7">
        <f t="shared" si="0"/>
        <v>0</v>
      </c>
      <c r="G27" s="2"/>
      <c r="H27" s="6">
        <v>288.38</v>
      </c>
      <c r="I27" s="2"/>
      <c r="J27" s="7">
        <f t="shared" si="1"/>
        <v>0</v>
      </c>
      <c r="K27" s="2"/>
      <c r="L27" s="6">
        <f t="shared" si="2"/>
        <v>-115.19</v>
      </c>
      <c r="M27" s="2"/>
      <c r="N27" s="7">
        <f t="shared" si="3"/>
        <v>-0.39943824120951521</v>
      </c>
      <c r="O27" s="11"/>
      <c r="P27" s="6">
        <v>635.23</v>
      </c>
      <c r="Q27" s="2"/>
      <c r="R27" s="7">
        <f t="shared" si="4"/>
        <v>0</v>
      </c>
      <c r="S27" s="2"/>
      <c r="T27" s="6">
        <v>1179.3599999999999</v>
      </c>
      <c r="U27" s="2"/>
      <c r="V27" s="7">
        <f t="shared" si="5"/>
        <v>0</v>
      </c>
      <c r="W27" s="2"/>
      <c r="X27" s="6">
        <f t="shared" si="6"/>
        <v>-544.12999999999988</v>
      </c>
      <c r="Y27" s="2"/>
      <c r="Z27" s="7">
        <f t="shared" si="7"/>
        <v>-0.46137735721069051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12636.369999999999</v>
      </c>
      <c r="E28" s="1"/>
      <c r="F28" s="5">
        <f t="shared" ref="F28:F34" si="8">IF(D$12=0,0,D28/D$12)</f>
        <v>0</v>
      </c>
      <c r="G28" s="1"/>
      <c r="H28" s="1">
        <f>SUM(OSRRefH22_1x_0)</f>
        <v>17486.27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-4849.9000000000015</v>
      </c>
      <c r="M28" s="1"/>
      <c r="N28" s="5">
        <f t="shared" ref="N28:N34" si="11">IF(H28=0,0,L28/H28)</f>
        <v>-0.27735474746758465</v>
      </c>
      <c r="O28" s="13"/>
      <c r="P28" s="1">
        <f>SUM(OSRRefP22_1x_0)</f>
        <v>44163.97</v>
      </c>
      <c r="Q28" s="1"/>
      <c r="R28" s="5">
        <f t="shared" ref="R28:R34" si="12">IF(P$12=0,0,P28/P$12)</f>
        <v>0</v>
      </c>
      <c r="S28" s="1"/>
      <c r="T28" s="1">
        <f>SUM(OSRRefT22_1x_0)</f>
        <v>66960.94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-22796.97</v>
      </c>
      <c r="Y28" s="1"/>
      <c r="Z28" s="5">
        <f t="shared" ref="Z28:Z34" si="15">IF(T28=0,0,X28/T28)</f>
        <v>-0.34045176187789478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7786.74</v>
      </c>
      <c r="I29" s="2"/>
      <c r="J29" s="7">
        <f t="shared" si="9"/>
        <v>0</v>
      </c>
      <c r="K29" s="2"/>
      <c r="L29" s="6">
        <f t="shared" si="10"/>
        <v>-7786.74</v>
      </c>
      <c r="M29" s="2"/>
      <c r="N29" s="7">
        <f t="shared" si="11"/>
        <v>-1</v>
      </c>
      <c r="O29" s="11"/>
      <c r="P29" s="6"/>
      <c r="Q29" s="2"/>
      <c r="R29" s="7">
        <f t="shared" si="12"/>
        <v>0</v>
      </c>
      <c r="S29" s="2"/>
      <c r="T29" s="6">
        <v>27084.959999999999</v>
      </c>
      <c r="U29" s="2"/>
      <c r="V29" s="7">
        <f t="shared" si="13"/>
        <v>0</v>
      </c>
      <c r="W29" s="2"/>
      <c r="X29" s="6">
        <f t="shared" si="14"/>
        <v>-27084.959999999999</v>
      </c>
      <c r="Y29" s="2"/>
      <c r="Z29" s="7">
        <f t="shared" si="15"/>
        <v>-1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-338.56</v>
      </c>
      <c r="U30" s="2"/>
      <c r="V30" s="7">
        <f t="shared" si="13"/>
        <v>0</v>
      </c>
      <c r="W30" s="2"/>
      <c r="X30" s="6">
        <f t="shared" si="14"/>
        <v>338.56</v>
      </c>
      <c r="Y30" s="2"/>
      <c r="Z30" s="7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>
        <v>7128.75</v>
      </c>
      <c r="E31" s="2"/>
      <c r="F31" s="7">
        <f t="shared" si="8"/>
        <v>0</v>
      </c>
      <c r="G31" s="2"/>
      <c r="H31" s="6">
        <v>3782.16</v>
      </c>
      <c r="I31" s="2"/>
      <c r="J31" s="7">
        <f t="shared" si="9"/>
        <v>0</v>
      </c>
      <c r="K31" s="2"/>
      <c r="L31" s="6">
        <f t="shared" si="10"/>
        <v>3346.59</v>
      </c>
      <c r="M31" s="2"/>
      <c r="N31" s="7">
        <f t="shared" si="11"/>
        <v>0.88483564947014415</v>
      </c>
      <c r="O31" s="11"/>
      <c r="P31" s="6">
        <v>21847.5</v>
      </c>
      <c r="Q31" s="2"/>
      <c r="R31" s="7">
        <f t="shared" si="12"/>
        <v>0</v>
      </c>
      <c r="S31" s="2"/>
      <c r="T31" s="6">
        <v>15626.13</v>
      </c>
      <c r="U31" s="2"/>
      <c r="V31" s="7">
        <f t="shared" si="13"/>
        <v>0</v>
      </c>
      <c r="W31" s="2"/>
      <c r="X31" s="6">
        <f t="shared" si="14"/>
        <v>6221.3700000000008</v>
      </c>
      <c r="Y31" s="2"/>
      <c r="Z31" s="7">
        <f t="shared" si="15"/>
        <v>0.39813888659572144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2361.4299999999998</v>
      </c>
      <c r="Q32" s="2"/>
      <c r="R32" s="7">
        <f t="shared" si="12"/>
        <v>0</v>
      </c>
      <c r="S32" s="2"/>
      <c r="T32" s="6">
        <v>247.86</v>
      </c>
      <c r="U32" s="2"/>
      <c r="V32" s="7">
        <f t="shared" si="13"/>
        <v>0</v>
      </c>
      <c r="W32" s="2"/>
      <c r="X32" s="6">
        <f t="shared" si="14"/>
        <v>2113.5699999999997</v>
      </c>
      <c r="Y32" s="2"/>
      <c r="Z32" s="7">
        <f t="shared" si="15"/>
        <v>8.5272734608246576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>
        <v>3951.74</v>
      </c>
      <c r="E33" s="2"/>
      <c r="F33" s="7">
        <f t="shared" si="8"/>
        <v>0</v>
      </c>
      <c r="G33" s="2"/>
      <c r="H33" s="6">
        <v>5917.37</v>
      </c>
      <c r="I33" s="2"/>
      <c r="J33" s="7">
        <f t="shared" si="9"/>
        <v>0</v>
      </c>
      <c r="K33" s="2"/>
      <c r="L33" s="6">
        <f t="shared" si="10"/>
        <v>-1965.63</v>
      </c>
      <c r="M33" s="2"/>
      <c r="N33" s="7">
        <f t="shared" si="11"/>
        <v>-0.33217966765640822</v>
      </c>
      <c r="O33" s="11"/>
      <c r="P33" s="6">
        <v>17141.59</v>
      </c>
      <c r="Q33" s="2"/>
      <c r="R33" s="7">
        <f t="shared" si="12"/>
        <v>0</v>
      </c>
      <c r="S33" s="2"/>
      <c r="T33" s="6">
        <v>24340.550000000003</v>
      </c>
      <c r="U33" s="2"/>
      <c r="V33" s="7">
        <f t="shared" si="13"/>
        <v>0</v>
      </c>
      <c r="W33" s="2"/>
      <c r="X33" s="6">
        <f t="shared" si="14"/>
        <v>-7198.9600000000028</v>
      </c>
      <c r="Y33" s="2"/>
      <c r="Z33" s="7">
        <f t="shared" si="15"/>
        <v>-0.29575995612260209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>
        <v>1555.88</v>
      </c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1555.88</v>
      </c>
      <c r="M34" s="2"/>
      <c r="N34" s="7">
        <f t="shared" si="11"/>
        <v>0</v>
      </c>
      <c r="O34" s="11"/>
      <c r="P34" s="6">
        <v>2813.45</v>
      </c>
      <c r="Q34" s="2"/>
      <c r="R34" s="7">
        <f t="shared" si="12"/>
        <v>0</v>
      </c>
      <c r="S34" s="2"/>
      <c r="T34" s="6"/>
      <c r="U34" s="2"/>
      <c r="V34" s="7">
        <f t="shared" si="13"/>
        <v>0</v>
      </c>
      <c r="W34" s="2"/>
      <c r="X34" s="6">
        <f t="shared" si="14"/>
        <v>2813.45</v>
      </c>
      <c r="Y34" s="2"/>
      <c r="Z34" s="7">
        <f t="shared" si="15"/>
        <v>0</v>
      </c>
    </row>
    <row r="35" spans="1:26" s="27" customFormat="1" outlineLevel="1" collapsed="1" x14ac:dyDescent="0.25">
      <c r="A35" s="25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-10524.95</v>
      </c>
      <c r="E35" s="1"/>
      <c r="F35" s="5">
        <f t="shared" ref="F35:F43" si="16">IF(D$12=0,0,D35/D$12)</f>
        <v>0</v>
      </c>
      <c r="G35" s="1"/>
      <c r="H35" s="1">
        <f>SUM(OSRRefH22_2x_0)</f>
        <v>-18787.870000000003</v>
      </c>
      <c r="I35" s="1"/>
      <c r="J35" s="5">
        <f t="shared" ref="J35:J43" si="17">IF(H$12=0,0,H35/H$12)</f>
        <v>0</v>
      </c>
      <c r="K35" s="1"/>
      <c r="L35" s="1">
        <f t="shared" ref="L35:L43" si="18">+D35-H35</f>
        <v>8262.9200000000019</v>
      </c>
      <c r="M35" s="1"/>
      <c r="N35" s="5">
        <f t="shared" ref="N35:N43" si="19">IF(H35=0,0,L35/H35)</f>
        <v>-0.43980078635843239</v>
      </c>
      <c r="O35" s="13"/>
      <c r="P35" s="1">
        <f>SUM(OSRRefP22_2x_0)</f>
        <v>-24721.89</v>
      </c>
      <c r="Q35" s="1"/>
      <c r="R35" s="5">
        <f t="shared" ref="R35:R43" si="20">IF(P$12=0,0,P35/P$12)</f>
        <v>0</v>
      </c>
      <c r="S35" s="1"/>
      <c r="T35" s="1">
        <f>SUM(OSRRefT22_2x_0)</f>
        <v>-66698.819999999992</v>
      </c>
      <c r="U35" s="1"/>
      <c r="V35" s="5">
        <f t="shared" ref="V35:V43" si="21">IF(T$12=0,0,T35/T$12)</f>
        <v>0</v>
      </c>
      <c r="W35" s="1"/>
      <c r="X35" s="1">
        <f t="shared" ref="X35:X43" si="22">+P35-T35</f>
        <v>41976.929999999993</v>
      </c>
      <c r="Y35" s="1"/>
      <c r="Z35" s="5">
        <f t="shared" ref="Z35:Z43" si="23">IF(T35=0,0,X35/T35)</f>
        <v>-0.62935041429518535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>
        <v>-10524.95</v>
      </c>
      <c r="E36" s="2"/>
      <c r="F36" s="7">
        <f t="shared" si="16"/>
        <v>0</v>
      </c>
      <c r="G36" s="2"/>
      <c r="H36" s="6">
        <v>-18787.870000000003</v>
      </c>
      <c r="I36" s="2"/>
      <c r="J36" s="7">
        <f t="shared" si="17"/>
        <v>0</v>
      </c>
      <c r="K36" s="2"/>
      <c r="L36" s="6">
        <f t="shared" si="18"/>
        <v>8262.9200000000019</v>
      </c>
      <c r="M36" s="2"/>
      <c r="N36" s="7">
        <f t="shared" si="19"/>
        <v>-0.43980078635843239</v>
      </c>
      <c r="O36" s="11"/>
      <c r="P36" s="6">
        <v>-24721.89</v>
      </c>
      <c r="Q36" s="2"/>
      <c r="R36" s="7">
        <f t="shared" si="20"/>
        <v>0</v>
      </c>
      <c r="S36" s="2"/>
      <c r="T36" s="6">
        <v>-66698.819999999992</v>
      </c>
      <c r="U36" s="2"/>
      <c r="V36" s="7">
        <f t="shared" si="21"/>
        <v>0</v>
      </c>
      <c r="W36" s="2"/>
      <c r="X36" s="6">
        <f t="shared" si="22"/>
        <v>41976.929999999993</v>
      </c>
      <c r="Y36" s="2"/>
      <c r="Z36" s="7">
        <f t="shared" si="23"/>
        <v>-0.62935041429518535</v>
      </c>
    </row>
    <row r="37" spans="1:26" s="27" customFormat="1" outlineLevel="1" collapsed="1" x14ac:dyDescent="0.25">
      <c r="A37" s="25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295.67</v>
      </c>
      <c r="E37" s="1"/>
      <c r="F37" s="5">
        <f t="shared" si="16"/>
        <v>0</v>
      </c>
      <c r="G37" s="1"/>
      <c r="H37" s="1">
        <f>SUM(OSRRefH22_3x_0)</f>
        <v>295.68</v>
      </c>
      <c r="I37" s="1"/>
      <c r="J37" s="5">
        <f t="shared" si="17"/>
        <v>0</v>
      </c>
      <c r="K37" s="1"/>
      <c r="L37" s="1">
        <f t="shared" si="18"/>
        <v>-9.9999999999909051E-3</v>
      </c>
      <c r="M37" s="1"/>
      <c r="N37" s="5">
        <f t="shared" si="19"/>
        <v>-3.3820346320315563E-5</v>
      </c>
      <c r="O37" s="13"/>
      <c r="P37" s="1">
        <f>SUM(OSRRefP22_3x_0)</f>
        <v>1182.68</v>
      </c>
      <c r="Q37" s="1"/>
      <c r="R37" s="5">
        <f t="shared" si="20"/>
        <v>0</v>
      </c>
      <c r="S37" s="1"/>
      <c r="T37" s="1">
        <f>SUM(OSRRefT22_3x_0)</f>
        <v>1182.72</v>
      </c>
      <c r="U37" s="1"/>
      <c r="V37" s="5">
        <f t="shared" si="21"/>
        <v>0</v>
      </c>
      <c r="W37" s="1"/>
      <c r="X37" s="1">
        <f t="shared" si="22"/>
        <v>-3.999999999996362E-2</v>
      </c>
      <c r="Y37" s="1"/>
      <c r="Z37" s="5">
        <f t="shared" si="23"/>
        <v>-3.3820346320315563E-5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295.67</v>
      </c>
      <c r="E38" s="2"/>
      <c r="F38" s="7">
        <f t="shared" si="16"/>
        <v>0</v>
      </c>
      <c r="G38" s="2"/>
      <c r="H38" s="6">
        <v>295.68</v>
      </c>
      <c r="I38" s="2"/>
      <c r="J38" s="7">
        <f t="shared" si="17"/>
        <v>0</v>
      </c>
      <c r="K38" s="2"/>
      <c r="L38" s="6">
        <f t="shared" si="18"/>
        <v>-9.9999999999909051E-3</v>
      </c>
      <c r="M38" s="2"/>
      <c r="N38" s="7">
        <f t="shared" si="19"/>
        <v>-3.3820346320315563E-5</v>
      </c>
      <c r="O38" s="11"/>
      <c r="P38" s="6">
        <v>1182.68</v>
      </c>
      <c r="Q38" s="2"/>
      <c r="R38" s="7">
        <f t="shared" si="20"/>
        <v>0</v>
      </c>
      <c r="S38" s="2"/>
      <c r="T38" s="6">
        <v>1182.72</v>
      </c>
      <c r="U38" s="2"/>
      <c r="V38" s="7">
        <f t="shared" si="21"/>
        <v>0</v>
      </c>
      <c r="W38" s="2"/>
      <c r="X38" s="6">
        <f t="shared" si="22"/>
        <v>-3.999999999996362E-2</v>
      </c>
      <c r="Y38" s="2"/>
      <c r="Z38" s="7">
        <f t="shared" si="23"/>
        <v>-3.3820346320315563E-5</v>
      </c>
    </row>
    <row r="39" spans="1:26" s="27" customFormat="1" outlineLevel="1" collapsed="1" x14ac:dyDescent="0.25">
      <c r="A39" s="25"/>
      <c r="B39" s="13" t="str">
        <f>CONCATENATE("     ","General                                           ")</f>
        <v xml:space="preserve">     General                                           </v>
      </c>
      <c r="C39" s="13"/>
      <c r="D39" s="1">
        <f>SUM(OSRRefD22_4x_0)</f>
        <v>173.21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173.21</v>
      </c>
      <c r="M39" s="1"/>
      <c r="N39" s="5">
        <f t="shared" si="19"/>
        <v>0</v>
      </c>
      <c r="O39" s="13"/>
      <c r="P39" s="1">
        <f>SUM(OSRRefP22_4x_0)</f>
        <v>507.17</v>
      </c>
      <c r="Q39" s="1"/>
      <c r="R39" s="5">
        <f t="shared" si="20"/>
        <v>0</v>
      </c>
      <c r="S39" s="1"/>
      <c r="T39" s="1">
        <f>SUM(OSRRefT22_4x_0)</f>
        <v>0</v>
      </c>
      <c r="U39" s="1"/>
      <c r="V39" s="5">
        <f t="shared" si="21"/>
        <v>0</v>
      </c>
      <c r="W39" s="1"/>
      <c r="X39" s="1">
        <f t="shared" si="22"/>
        <v>507.17</v>
      </c>
      <c r="Y39" s="1"/>
      <c r="Z39" s="5">
        <f t="shared" si="23"/>
        <v>0</v>
      </c>
    </row>
    <row r="40" spans="1:26" s="24" customFormat="1" hidden="1" outlineLevel="2" x14ac:dyDescent="0.25">
      <c r="A40" s="26"/>
      <c r="B40" s="11" t="str">
        <f>CONCATENATE("          ", "6279", " - ", "GENERAL EXPENSE")</f>
        <v xml:space="preserve">          6279 - GENERAL EXPENSE</v>
      </c>
      <c r="C40" s="11"/>
      <c r="D40" s="6">
        <v>173.21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173.21</v>
      </c>
      <c r="M40" s="2"/>
      <c r="N40" s="7">
        <f t="shared" si="19"/>
        <v>0</v>
      </c>
      <c r="O40" s="11"/>
      <c r="P40" s="6">
        <v>507.17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507.17</v>
      </c>
      <c r="Y40" s="2"/>
      <c r="Z40" s="7">
        <f t="shared" si="23"/>
        <v>0</v>
      </c>
    </row>
    <row r="41" spans="1:26" s="27" customFormat="1" outlineLevel="1" collapsed="1" x14ac:dyDescent="0.25">
      <c r="A41" s="25"/>
      <c r="B41" s="13" t="str">
        <f>CONCATENATE("     ","Supplies                                          ")</f>
        <v xml:space="preserve">     Supplies                                          </v>
      </c>
      <c r="C41" s="13"/>
      <c r="D41" s="1">
        <f>SUM(OSRRefD22_5x_0)</f>
        <v>28.64</v>
      </c>
      <c r="E41" s="1"/>
      <c r="F41" s="5">
        <f t="shared" si="16"/>
        <v>0</v>
      </c>
      <c r="G41" s="1"/>
      <c r="H41" s="1">
        <f>SUM(OSRRefH22_5x_0)</f>
        <v>200.25</v>
      </c>
      <c r="I41" s="1"/>
      <c r="J41" s="5">
        <f t="shared" si="17"/>
        <v>0</v>
      </c>
      <c r="K41" s="1"/>
      <c r="L41" s="1">
        <f t="shared" si="18"/>
        <v>-171.61</v>
      </c>
      <c r="M41" s="1"/>
      <c r="N41" s="5">
        <f t="shared" si="19"/>
        <v>-0.8569787765293384</v>
      </c>
      <c r="O41" s="13"/>
      <c r="P41" s="1">
        <f>SUM(OSRRefP22_5x_0)</f>
        <v>726.1400000000001</v>
      </c>
      <c r="Q41" s="1"/>
      <c r="R41" s="5">
        <f t="shared" si="20"/>
        <v>0</v>
      </c>
      <c r="S41" s="1"/>
      <c r="T41" s="1">
        <f>SUM(OSRRefT22_5x_0)</f>
        <v>470.73</v>
      </c>
      <c r="U41" s="1"/>
      <c r="V41" s="5">
        <f t="shared" si="21"/>
        <v>0</v>
      </c>
      <c r="W41" s="1"/>
      <c r="X41" s="1">
        <f t="shared" si="22"/>
        <v>255.41000000000008</v>
      </c>
      <c r="Y41" s="1"/>
      <c r="Z41" s="5">
        <f t="shared" si="23"/>
        <v>0.54258279693242428</v>
      </c>
    </row>
    <row r="42" spans="1:26" s="24" customFormat="1" hidden="1" outlineLevel="2" x14ac:dyDescent="0.25">
      <c r="A42" s="26"/>
      <c r="B42" s="11" t="str">
        <f>CONCATENATE("          ", "6241", " - ", "OFFICE EXPENSE")</f>
        <v xml:space="preserve">          6241 - OFFICE EXPENSE</v>
      </c>
      <c r="C42" s="11"/>
      <c r="D42" s="6">
        <v>28.64</v>
      </c>
      <c r="E42" s="2"/>
      <c r="F42" s="7">
        <f t="shared" si="16"/>
        <v>0</v>
      </c>
      <c r="G42" s="2"/>
      <c r="H42" s="6">
        <v>200.25</v>
      </c>
      <c r="I42" s="2"/>
      <c r="J42" s="7">
        <f t="shared" si="17"/>
        <v>0</v>
      </c>
      <c r="K42" s="2"/>
      <c r="L42" s="6">
        <f t="shared" si="18"/>
        <v>-171.61</v>
      </c>
      <c r="M42" s="2"/>
      <c r="N42" s="7">
        <f t="shared" si="19"/>
        <v>-0.8569787765293384</v>
      </c>
      <c r="O42" s="11"/>
      <c r="P42" s="6">
        <v>379.72</v>
      </c>
      <c r="Q42" s="2"/>
      <c r="R42" s="7">
        <f t="shared" si="20"/>
        <v>0</v>
      </c>
      <c r="S42" s="2"/>
      <c r="T42" s="6">
        <v>470.73</v>
      </c>
      <c r="U42" s="2"/>
      <c r="V42" s="7">
        <f t="shared" si="21"/>
        <v>0</v>
      </c>
      <c r="W42" s="2"/>
      <c r="X42" s="6">
        <f t="shared" si="22"/>
        <v>-91.009999999999991</v>
      </c>
      <c r="Y42" s="2"/>
      <c r="Z42" s="7">
        <f t="shared" si="23"/>
        <v>-0.1933380069254137</v>
      </c>
    </row>
    <row r="43" spans="1:26" s="24" customFormat="1" hidden="1" outlineLevel="2" x14ac:dyDescent="0.25">
      <c r="A43" s="26"/>
      <c r="B43" s="11" t="str">
        <f>CONCATENATE("          ", "6245", " - ", "PRINTING")</f>
        <v xml:space="preserve">          6245 - PRINTING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>
        <v>346.42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346.42</v>
      </c>
      <c r="Y43" s="2"/>
      <c r="Z43" s="7">
        <f t="shared" si="23"/>
        <v>0</v>
      </c>
    </row>
    <row r="44" spans="1:26" s="27" customFormat="1" outlineLevel="1" collapsed="1" x14ac:dyDescent="0.25">
      <c r="A44" s="25"/>
      <c r="B44" s="13" t="str">
        <f>CONCATENATE("     ","Telephone/Data Lines                              ")</f>
        <v xml:space="preserve">     Telephone/Data Lines                              </v>
      </c>
      <c r="C44" s="13"/>
      <c r="D44" s="1">
        <f>SUM(OSRRefD22_6x_0)</f>
        <v>72</v>
      </c>
      <c r="E44" s="1"/>
      <c r="F44" s="5">
        <f t="shared" ref="F44:F47" si="24">IF(D$12=0,0,D44/D$12)</f>
        <v>0</v>
      </c>
      <c r="G44" s="1"/>
      <c r="H44" s="1">
        <f>SUM(OSRRefH22_6x_0)</f>
        <v>146.6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-74.599999999999994</v>
      </c>
      <c r="M44" s="1"/>
      <c r="N44" s="5">
        <f t="shared" ref="N44:N47" si="27">IF(H44=0,0,L44/H44)</f>
        <v>-0.50886766712141884</v>
      </c>
      <c r="O44" s="13"/>
      <c r="P44" s="1">
        <f>SUM(OSRRefP22_6x_0)</f>
        <v>297.45</v>
      </c>
      <c r="Q44" s="1"/>
      <c r="R44" s="5">
        <f t="shared" ref="R44:R47" si="28">IF(P$12=0,0,P44/P$12)</f>
        <v>0</v>
      </c>
      <c r="S44" s="1"/>
      <c r="T44" s="1">
        <f>SUM(OSRRefT22_6x_0)</f>
        <v>517.1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-219.65000000000003</v>
      </c>
      <c r="Y44" s="1"/>
      <c r="Z44" s="5">
        <f t="shared" ref="Z44:Z47" si="31">IF(T44=0,0,X44/T44)</f>
        <v>-0.42477277122413465</v>
      </c>
    </row>
    <row r="45" spans="1:26" s="24" customFormat="1" hidden="1" outlineLevel="2" x14ac:dyDescent="0.25">
      <c r="A45" s="26"/>
      <c r="B45" s="11" t="str">
        <f>CONCATENATE("          ", "6309", " - ", "TELEPHONE")</f>
        <v xml:space="preserve">          6309 - TELEPHONE</v>
      </c>
      <c r="C45" s="11"/>
      <c r="D45" s="6">
        <v>72</v>
      </c>
      <c r="E45" s="2"/>
      <c r="F45" s="7">
        <f t="shared" si="24"/>
        <v>0</v>
      </c>
      <c r="G45" s="2"/>
      <c r="H45" s="6">
        <v>146.6</v>
      </c>
      <c r="I45" s="2"/>
      <c r="J45" s="7">
        <f t="shared" si="25"/>
        <v>0</v>
      </c>
      <c r="K45" s="2"/>
      <c r="L45" s="6">
        <f t="shared" si="26"/>
        <v>-74.599999999999994</v>
      </c>
      <c r="M45" s="2"/>
      <c r="N45" s="7">
        <f t="shared" si="27"/>
        <v>-0.50886766712141884</v>
      </c>
      <c r="O45" s="11"/>
      <c r="P45" s="6">
        <v>297.45</v>
      </c>
      <c r="Q45" s="2"/>
      <c r="R45" s="7">
        <f t="shared" si="28"/>
        <v>0</v>
      </c>
      <c r="S45" s="2"/>
      <c r="T45" s="6">
        <v>517.1</v>
      </c>
      <c r="U45" s="2"/>
      <c r="V45" s="7">
        <f t="shared" si="29"/>
        <v>0</v>
      </c>
      <c r="W45" s="2"/>
      <c r="X45" s="6">
        <f t="shared" si="30"/>
        <v>-219.65000000000003</v>
      </c>
      <c r="Y45" s="2"/>
      <c r="Z45" s="7">
        <f t="shared" si="31"/>
        <v>-0.42477277122413465</v>
      </c>
    </row>
    <row r="46" spans="1:26" s="27" customFormat="1" outlineLevel="1" collapsed="1" x14ac:dyDescent="0.25">
      <c r="A46" s="25"/>
      <c r="B46" s="13" t="str">
        <f>CONCATENATE("     ","Travel                                            ")</f>
        <v xml:space="preserve">     Travel                                            </v>
      </c>
      <c r="C46" s="13"/>
      <c r="D46" s="1">
        <f>SUM(OSRRefD22_7x_0)</f>
        <v>0</v>
      </c>
      <c r="E46" s="1"/>
      <c r="F46" s="5">
        <f t="shared" si="24"/>
        <v>0</v>
      </c>
      <c r="G46" s="1"/>
      <c r="H46" s="1">
        <f>SUM(OSRRefH22_7x_0)</f>
        <v>168.5</v>
      </c>
      <c r="I46" s="1"/>
      <c r="J46" s="5">
        <f t="shared" si="25"/>
        <v>0</v>
      </c>
      <c r="K46" s="1"/>
      <c r="L46" s="1">
        <f t="shared" si="26"/>
        <v>-168.5</v>
      </c>
      <c r="M46" s="1"/>
      <c r="N46" s="5">
        <f t="shared" si="27"/>
        <v>-1</v>
      </c>
      <c r="O46" s="13"/>
      <c r="P46" s="1">
        <f>SUM(OSRRefP22_7x_0)</f>
        <v>118.32</v>
      </c>
      <c r="Q46" s="1"/>
      <c r="R46" s="5">
        <f t="shared" si="28"/>
        <v>0</v>
      </c>
      <c r="S46" s="1"/>
      <c r="T46" s="1">
        <f>SUM(OSRRefT22_7x_0)</f>
        <v>733.92</v>
      </c>
      <c r="U46" s="1"/>
      <c r="V46" s="5">
        <f t="shared" si="29"/>
        <v>0</v>
      </c>
      <c r="W46" s="1"/>
      <c r="X46" s="1">
        <f t="shared" si="30"/>
        <v>-615.59999999999991</v>
      </c>
      <c r="Y46" s="1"/>
      <c r="Z46" s="5">
        <f t="shared" si="31"/>
        <v>-0.83878351863963363</v>
      </c>
    </row>
    <row r="47" spans="1:26" s="24" customFormat="1" hidden="1" outlineLevel="2" x14ac:dyDescent="0.25">
      <c r="A47" s="26"/>
      <c r="B47" s="11" t="str">
        <f>CONCATENATE("          ", "6292", " - ", "TRAVEL/CONFERENCE")</f>
        <v xml:space="preserve">          6292 - TRAVEL/CONFERENCE</v>
      </c>
      <c r="C47" s="11"/>
      <c r="D47" s="6"/>
      <c r="E47" s="2"/>
      <c r="F47" s="7">
        <f t="shared" si="24"/>
        <v>0</v>
      </c>
      <c r="G47" s="2"/>
      <c r="H47" s="6">
        <v>168.5</v>
      </c>
      <c r="I47" s="2"/>
      <c r="J47" s="7">
        <f t="shared" si="25"/>
        <v>0</v>
      </c>
      <c r="K47" s="2"/>
      <c r="L47" s="6">
        <f t="shared" si="26"/>
        <v>-168.5</v>
      </c>
      <c r="M47" s="2"/>
      <c r="N47" s="7">
        <f t="shared" si="27"/>
        <v>-1</v>
      </c>
      <c r="O47" s="11"/>
      <c r="P47" s="6">
        <v>118.32</v>
      </c>
      <c r="Q47" s="2"/>
      <c r="R47" s="7">
        <f t="shared" si="28"/>
        <v>0</v>
      </c>
      <c r="S47" s="2"/>
      <c r="T47" s="6">
        <v>733.92</v>
      </c>
      <c r="U47" s="2"/>
      <c r="V47" s="7">
        <f t="shared" si="29"/>
        <v>0</v>
      </c>
      <c r="W47" s="2"/>
      <c r="X47" s="6">
        <f t="shared" si="30"/>
        <v>-615.59999999999991</v>
      </c>
      <c r="Y47" s="2"/>
      <c r="Z47" s="7">
        <f t="shared" si="31"/>
        <v>-0.83878351863963363</v>
      </c>
    </row>
    <row r="48" spans="1:26" s="55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9" t="s">
        <v>0</v>
      </c>
      <c r="C49" s="10"/>
      <c r="D49" s="4">
        <f>SUM(0)</f>
        <v>0</v>
      </c>
      <c r="E49" s="4"/>
      <c r="F49" s="12">
        <f>IF(D$12=0,0,D49/D$12)</f>
        <v>0</v>
      </c>
      <c r="G49" s="4"/>
      <c r="H49" s="4">
        <f>SUM(0)</f>
        <v>0</v>
      </c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>
        <f>SUM(0)</f>
        <v>0</v>
      </c>
      <c r="Q49" s="4"/>
      <c r="R49" s="12">
        <f>IF(P$12=0,0,P49/P$12)</f>
        <v>0</v>
      </c>
      <c r="S49" s="4"/>
      <c r="T49" s="4">
        <f>SUM(0)</f>
        <v>0</v>
      </c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8" t="s">
        <v>3</v>
      </c>
      <c r="C51" s="28"/>
      <c r="D51" s="21">
        <f>+D16-D18+D49</f>
        <v>-4657.3600000000006</v>
      </c>
      <c r="E51" s="14"/>
      <c r="F51" s="22">
        <f>IF(D$12=0,0,D51/D$12)</f>
        <v>0</v>
      </c>
      <c r="G51" s="14"/>
      <c r="H51" s="21">
        <f>+H16-H18+H49</f>
        <v>-8050.9899999999961</v>
      </c>
      <c r="I51" s="14"/>
      <c r="J51" s="22">
        <f>IF(H$12=0,0,H51/H$12)</f>
        <v>0</v>
      </c>
      <c r="K51" s="16"/>
      <c r="L51" s="21">
        <f>+D51-H51</f>
        <v>3393.6299999999956</v>
      </c>
      <c r="M51" s="16"/>
      <c r="N51" s="22">
        <f>IF(H51=0,0,L51/H51)</f>
        <v>-0.42151710534977649</v>
      </c>
      <c r="O51" s="29"/>
      <c r="P51" s="21">
        <f>+P16-P18+P49</f>
        <v>-30083.409999999993</v>
      </c>
      <c r="Q51" s="14"/>
      <c r="R51" s="22">
        <f>IF(P$12=0,0,P51/P$12)</f>
        <v>0</v>
      </c>
      <c r="S51" s="14"/>
      <c r="T51" s="21">
        <f>+T16-T18+T49</f>
        <v>-30430.820000000018</v>
      </c>
      <c r="U51" s="14"/>
      <c r="V51" s="22">
        <f>IF(T$12=0,0,T51/T$12)</f>
        <v>0</v>
      </c>
      <c r="W51" s="16"/>
      <c r="X51" s="21">
        <f>+P51-T51</f>
        <v>347.41000000002532</v>
      </c>
      <c r="Y51" s="16"/>
      <c r="Z51" s="22">
        <f>IF(T51=0,0,X51/T51)</f>
        <v>-1.1416386413511864E-2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1"/>
      <c r="B53" s="10" t="s">
        <v>13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8" t="s">
        <v>4</v>
      </c>
      <c r="C55" s="28"/>
      <c r="D55" s="31">
        <f>+D51-D53</f>
        <v>-4657.3600000000006</v>
      </c>
      <c r="E55" s="14"/>
      <c r="F55" s="34">
        <f>IF(D$12=0,0,D55/D$12)</f>
        <v>0</v>
      </c>
      <c r="G55" s="14"/>
      <c r="H55" s="31">
        <f>+H51-H53</f>
        <v>-8050.9899999999961</v>
      </c>
      <c r="I55" s="14"/>
      <c r="J55" s="34">
        <f>IF(H$12=0,0,H55/H$12)</f>
        <v>0</v>
      </c>
      <c r="K55" s="16"/>
      <c r="L55" s="31">
        <f>D55-H55</f>
        <v>3393.6299999999956</v>
      </c>
      <c r="M55" s="16"/>
      <c r="N55" s="34">
        <f>IF(H55=0,0,L55/H55)</f>
        <v>-0.42151710534977649</v>
      </c>
      <c r="O55" s="29"/>
      <c r="P55" s="31">
        <f>+P51-P53</f>
        <v>-30083.409999999993</v>
      </c>
      <c r="Q55" s="14"/>
      <c r="R55" s="34">
        <f>IF(P$12=0,0,P55/P$12)</f>
        <v>0</v>
      </c>
      <c r="S55" s="14"/>
      <c r="T55" s="31">
        <f>+T51-T53</f>
        <v>-30430.820000000018</v>
      </c>
      <c r="U55" s="14"/>
      <c r="V55" s="34">
        <f>IF(T$12=0,0,T55/T$12)</f>
        <v>0</v>
      </c>
      <c r="W55" s="16"/>
      <c r="X55" s="31">
        <f>P55-T55</f>
        <v>347.41000000002532</v>
      </c>
      <c r="Y55" s="16"/>
      <c r="Z55" s="34">
        <f>IF(T55=0,0,X55/T55)</f>
        <v>-1.1416386413511864E-2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8" t="s">
        <v>5</v>
      </c>
      <c r="C58" s="28"/>
      <c r="D58" s="36">
        <f>SUM(D55:D57)</f>
        <v>-4657.3600000000006</v>
      </c>
      <c r="E58" s="14"/>
      <c r="F58" s="33">
        <f>IF(D$12=0,0,D58/D$12)</f>
        <v>0</v>
      </c>
      <c r="G58" s="14"/>
      <c r="H58" s="36">
        <f>SUM(H55:H57)</f>
        <v>-8050.9899999999961</v>
      </c>
      <c r="I58" s="14"/>
      <c r="J58" s="33">
        <f>IF(H$12=0,0,H58/H$12)</f>
        <v>0</v>
      </c>
      <c r="K58" s="16"/>
      <c r="L58" s="36">
        <f>+D58-H58</f>
        <v>3393.6299999999956</v>
      </c>
      <c r="M58" s="16"/>
      <c r="N58" s="33">
        <f>IF(H58=0,0,L58/H58)</f>
        <v>-0.42151710534977649</v>
      </c>
      <c r="O58" s="29"/>
      <c r="P58" s="36">
        <f>SUM(P55:P57)</f>
        <v>-30083.409999999993</v>
      </c>
      <c r="Q58" s="14"/>
      <c r="R58" s="33">
        <f>IF(P$12=0,0,P58/P$12)</f>
        <v>0</v>
      </c>
      <c r="S58" s="14"/>
      <c r="T58" s="36">
        <f>SUM(T55:T57)</f>
        <v>-30430.820000000018</v>
      </c>
      <c r="U58" s="14"/>
      <c r="V58" s="33">
        <f>IF(T$12=0,0,T58/T$12)</f>
        <v>0</v>
      </c>
      <c r="W58" s="16"/>
      <c r="X58" s="36">
        <f>+P58-T58</f>
        <v>347.41000000002532</v>
      </c>
      <c r="Y58" s="16"/>
      <c r="Z58" s="33">
        <f>IF(T58=0,0,X58/T58)</f>
        <v>-1.1416386413511864E-2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61">
        <v>43791.355122488429</v>
      </c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A61" s="9"/>
      <c r="B61" s="56" t="s">
        <v>313</v>
      </c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A62" s="9"/>
      <c r="B62" s="57"/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  <row r="63" spans="1:26" x14ac:dyDescent="0.25"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7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1008399.3400000003</v>
      </c>
      <c r="E12" s="4"/>
      <c r="F12" s="12"/>
      <c r="G12" s="4"/>
      <c r="H12" s="4">
        <f>SUM(OSRRefH13x_0)</f>
        <v>958554.68999999971</v>
      </c>
      <c r="I12" s="4"/>
      <c r="J12" s="12"/>
      <c r="K12" s="4"/>
      <c r="L12" s="4">
        <f t="shared" ref="L12:L106" si="0">+D12-H12</f>
        <v>49844.650000000605</v>
      </c>
      <c r="M12" s="4"/>
      <c r="N12" s="12">
        <f t="shared" ref="N12:N106" si="1">IF(H12=0,0,L12/H12)</f>
        <v>5.1999797737154276E-2</v>
      </c>
      <c r="O12" s="10"/>
      <c r="P12" s="4">
        <f>SUM(OSRRefP13x_0)</f>
        <v>5738888.5099999988</v>
      </c>
      <c r="Q12" s="4"/>
      <c r="R12" s="12"/>
      <c r="S12" s="4"/>
      <c r="T12" s="4">
        <f>SUM(OSRRefT13x_0)</f>
        <v>6090036.919999999</v>
      </c>
      <c r="U12" s="4"/>
      <c r="V12" s="12"/>
      <c r="W12" s="4"/>
      <c r="X12" s="4">
        <f t="shared" ref="X12:X106" si="2">+P12-T12</f>
        <v>-351148.41000000015</v>
      </c>
      <c r="Y12" s="4"/>
      <c r="Z12" s="12">
        <f t="shared" ref="Z12:Z106" si="3">IF(T12=0,0,X12/T12)</f>
        <v>-5.765948788369582E-2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--31204.32</f>
        <v>31204.32</v>
      </c>
      <c r="E13" s="2"/>
      <c r="F13" s="19"/>
      <c r="G13" s="2"/>
      <c r="H13" s="2">
        <f>--48405.77</f>
        <v>48405.77</v>
      </c>
      <c r="I13" s="2"/>
      <c r="J13" s="19"/>
      <c r="K13" s="2"/>
      <c r="L13" s="2">
        <f t="shared" si="0"/>
        <v>-17201.449999999997</v>
      </c>
      <c r="M13" s="2"/>
      <c r="N13" s="19">
        <f t="shared" si="1"/>
        <v>-0.35535949536594497</v>
      </c>
      <c r="O13" s="11"/>
      <c r="P13" s="2">
        <f>--1495159.74</f>
        <v>1495159.74</v>
      </c>
      <c r="Q13" s="2"/>
      <c r="R13" s="19"/>
      <c r="S13" s="2"/>
      <c r="T13" s="2">
        <f>--1838816.03</f>
        <v>1838816.03</v>
      </c>
      <c r="U13" s="2"/>
      <c r="V13" s="19"/>
      <c r="W13" s="2"/>
      <c r="X13" s="2">
        <f t="shared" si="2"/>
        <v>-343656.29000000004</v>
      </c>
      <c r="Y13" s="2"/>
      <c r="Z13" s="19">
        <f t="shared" si="3"/>
        <v>-0.18688997941789753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--8985.78</f>
        <v>8985.7800000000007</v>
      </c>
      <c r="E14" s="2"/>
      <c r="F14" s="19"/>
      <c r="G14" s="2"/>
      <c r="H14" s="2">
        <f>--11150.82</f>
        <v>11150.82</v>
      </c>
      <c r="I14" s="2"/>
      <c r="J14" s="19"/>
      <c r="K14" s="2"/>
      <c r="L14" s="2">
        <f t="shared" si="0"/>
        <v>-2165.0399999999991</v>
      </c>
      <c r="M14" s="2"/>
      <c r="N14" s="19">
        <f t="shared" si="1"/>
        <v>-0.19415971202117863</v>
      </c>
      <c r="O14" s="11"/>
      <c r="P14" s="2">
        <f>--666296.36</f>
        <v>666296.36</v>
      </c>
      <c r="Q14" s="2"/>
      <c r="R14" s="19"/>
      <c r="S14" s="2"/>
      <c r="T14" s="2">
        <f>--740611.19</f>
        <v>740611.19</v>
      </c>
      <c r="U14" s="2"/>
      <c r="V14" s="19"/>
      <c r="W14" s="2"/>
      <c r="X14" s="2">
        <f t="shared" si="2"/>
        <v>-74314.829999999958</v>
      </c>
      <c r="Y14" s="2"/>
      <c r="Z14" s="19">
        <f t="shared" si="3"/>
        <v>-0.10034256976322484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--307.97</f>
        <v>307.97000000000003</v>
      </c>
      <c r="E15" s="2"/>
      <c r="F15" s="19"/>
      <c r="G15" s="2"/>
      <c r="H15" s="2">
        <f>--85</f>
        <v>85</v>
      </c>
      <c r="I15" s="2"/>
      <c r="J15" s="19"/>
      <c r="K15" s="2"/>
      <c r="L15" s="2">
        <f t="shared" si="0"/>
        <v>222.97000000000003</v>
      </c>
      <c r="M15" s="2"/>
      <c r="N15" s="19">
        <f t="shared" si="1"/>
        <v>2.6231764705882354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--460.04</f>
        <v>460.04</v>
      </c>
      <c r="E16" s="2"/>
      <c r="F16" s="19"/>
      <c r="G16" s="2"/>
      <c r="H16" s="2">
        <f>--180.48</f>
        <v>180.48</v>
      </c>
      <c r="I16" s="2"/>
      <c r="J16" s="19"/>
      <c r="K16" s="2"/>
      <c r="L16" s="2">
        <f t="shared" si="0"/>
        <v>279.56000000000006</v>
      </c>
      <c r="M16" s="2"/>
      <c r="N16" s="19">
        <f t="shared" si="1"/>
        <v>1.5489804964539011</v>
      </c>
      <c r="O16" s="11"/>
      <c r="P16" s="2">
        <f>--30160.48</f>
        <v>30160.48</v>
      </c>
      <c r="Q16" s="2"/>
      <c r="R16" s="19"/>
      <c r="S16" s="2"/>
      <c r="T16" s="2">
        <f>--42280.28</f>
        <v>42280.28</v>
      </c>
      <c r="U16" s="2"/>
      <c r="V16" s="19"/>
      <c r="W16" s="2"/>
      <c r="X16" s="2">
        <f t="shared" si="2"/>
        <v>-12119.8</v>
      </c>
      <c r="Y16" s="2"/>
      <c r="Z16" s="19">
        <f t="shared" si="3"/>
        <v>-0.2866537307699949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--5.23</f>
        <v>5.23</v>
      </c>
      <c r="I17" s="2"/>
      <c r="J17" s="19"/>
      <c r="K17" s="2"/>
      <c r="L17" s="2">
        <f t="shared" si="0"/>
        <v>-5.23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--5.23</f>
        <v>5.23</v>
      </c>
      <c r="U17" s="2"/>
      <c r="V17" s="19"/>
      <c r="W17" s="2"/>
      <c r="X17" s="2">
        <f t="shared" si="2"/>
        <v>4.3699999999999992</v>
      </c>
      <c r="Y17" s="2"/>
      <c r="Z17" s="19">
        <f t="shared" si="3"/>
        <v>0.83556405353728469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--686.63</f>
        <v>686.63</v>
      </c>
      <c r="E18" s="2"/>
      <c r="F18" s="19"/>
      <c r="G18" s="2"/>
      <c r="H18" s="2">
        <f>--735.51</f>
        <v>735.51</v>
      </c>
      <c r="I18" s="2"/>
      <c r="J18" s="19"/>
      <c r="K18" s="2"/>
      <c r="L18" s="2">
        <f t="shared" si="0"/>
        <v>-48.879999999999995</v>
      </c>
      <c r="M18" s="2"/>
      <c r="N18" s="19">
        <f t="shared" si="1"/>
        <v>-6.6457288140202034E-2</v>
      </c>
      <c r="O18" s="11"/>
      <c r="P18" s="2">
        <f>--827.39</f>
        <v>827.39</v>
      </c>
      <c r="Q18" s="2"/>
      <c r="R18" s="19"/>
      <c r="S18" s="2"/>
      <c r="T18" s="2">
        <f>--2008.49</f>
        <v>2008.49</v>
      </c>
      <c r="U18" s="2"/>
      <c r="V18" s="19"/>
      <c r="W18" s="2"/>
      <c r="X18" s="2">
        <f t="shared" si="2"/>
        <v>-1181.0999999999999</v>
      </c>
      <c r="Y18" s="2"/>
      <c r="Z18" s="19">
        <f t="shared" si="3"/>
        <v>-0.58805371199259138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--171.13</f>
        <v>171.13</v>
      </c>
      <c r="E19" s="2"/>
      <c r="F19" s="19"/>
      <c r="G19" s="2"/>
      <c r="H19" s="2">
        <f>--228.75</f>
        <v>228.75</v>
      </c>
      <c r="I19" s="2"/>
      <c r="J19" s="19"/>
      <c r="K19" s="2"/>
      <c r="L19" s="2">
        <f t="shared" si="0"/>
        <v>-57.620000000000005</v>
      </c>
      <c r="M19" s="2"/>
      <c r="N19" s="19">
        <f t="shared" si="1"/>
        <v>-0.25189071038251371</v>
      </c>
      <c r="O19" s="11"/>
      <c r="P19" s="2">
        <f>--694.22</f>
        <v>694.22</v>
      </c>
      <c r="Q19" s="2"/>
      <c r="R19" s="19"/>
      <c r="S19" s="2"/>
      <c r="T19" s="2">
        <f>--816.62</f>
        <v>816.62</v>
      </c>
      <c r="U19" s="2"/>
      <c r="V19" s="19"/>
      <c r="W19" s="2"/>
      <c r="X19" s="2">
        <f t="shared" si="2"/>
        <v>-122.39999999999998</v>
      </c>
      <c r="Y19" s="2"/>
      <c r="Z19" s="19">
        <f t="shared" si="3"/>
        <v>-0.14988611594131906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--2.98</f>
        <v>2.98</v>
      </c>
      <c r="E20" s="2"/>
      <c r="F20" s="19"/>
      <c r="G20" s="2"/>
      <c r="H20" s="2">
        <f>--23.84</f>
        <v>23.84</v>
      </c>
      <c r="I20" s="2"/>
      <c r="J20" s="19"/>
      <c r="K20" s="2"/>
      <c r="L20" s="2">
        <f t="shared" si="0"/>
        <v>-20.86</v>
      </c>
      <c r="M20" s="2"/>
      <c r="N20" s="19">
        <f t="shared" si="1"/>
        <v>-0.875</v>
      </c>
      <c r="O20" s="11"/>
      <c r="P20" s="2">
        <f>--225.67</f>
        <v>225.67</v>
      </c>
      <c r="Q20" s="2"/>
      <c r="R20" s="19"/>
      <c r="S20" s="2"/>
      <c r="T20" s="2">
        <f>--633.13</f>
        <v>633.13</v>
      </c>
      <c r="U20" s="2"/>
      <c r="V20" s="19"/>
      <c r="W20" s="2"/>
      <c r="X20" s="2">
        <f t="shared" si="2"/>
        <v>-407.46000000000004</v>
      </c>
      <c r="Y20" s="2"/>
      <c r="Z20" s="19">
        <f t="shared" si="3"/>
        <v>-0.643564512817273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--394.68</f>
        <v>394.68</v>
      </c>
      <c r="E21" s="2"/>
      <c r="F21" s="19"/>
      <c r="G21" s="2"/>
      <c r="H21" s="2">
        <f>--603.17</f>
        <v>603.16999999999996</v>
      </c>
      <c r="I21" s="2"/>
      <c r="J21" s="19"/>
      <c r="K21" s="2"/>
      <c r="L21" s="2">
        <f t="shared" si="0"/>
        <v>-208.48999999999995</v>
      </c>
      <c r="M21" s="2"/>
      <c r="N21" s="19">
        <f t="shared" si="1"/>
        <v>-0.34565711159374629</v>
      </c>
      <c r="O21" s="11"/>
      <c r="P21" s="2">
        <f>--2454.83</f>
        <v>2454.83</v>
      </c>
      <c r="Q21" s="2"/>
      <c r="R21" s="19"/>
      <c r="S21" s="2"/>
      <c r="T21" s="2">
        <f>--3429.78</f>
        <v>3429.78</v>
      </c>
      <c r="U21" s="2"/>
      <c r="V21" s="19"/>
      <c r="W21" s="2"/>
      <c r="X21" s="2">
        <f t="shared" si="2"/>
        <v>-974.95000000000027</v>
      </c>
      <c r="Y21" s="2"/>
      <c r="Z21" s="19">
        <f t="shared" si="3"/>
        <v>-0.28426021494090004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--14.95</f>
        <v>14.95</v>
      </c>
      <c r="E22" s="2"/>
      <c r="F22" s="19"/>
      <c r="G22" s="2"/>
      <c r="H22" s="2">
        <f>--14.58</f>
        <v>14.58</v>
      </c>
      <c r="I22" s="2"/>
      <c r="J22" s="19"/>
      <c r="K22" s="2"/>
      <c r="L22" s="2">
        <f t="shared" si="0"/>
        <v>0.36999999999999922</v>
      </c>
      <c r="M22" s="2"/>
      <c r="N22" s="19">
        <f t="shared" si="1"/>
        <v>2.537722908093273E-2</v>
      </c>
      <c r="O22" s="11"/>
      <c r="P22" s="2">
        <f>--29.9</f>
        <v>29.9</v>
      </c>
      <c r="Q22" s="2"/>
      <c r="R22" s="19"/>
      <c r="S22" s="2"/>
      <c r="T22" s="2">
        <f>--54.48</f>
        <v>54.48</v>
      </c>
      <c r="U22" s="2"/>
      <c r="V22" s="19"/>
      <c r="W22" s="2"/>
      <c r="X22" s="2">
        <f t="shared" si="2"/>
        <v>-24.58</v>
      </c>
      <c r="Y22" s="2"/>
      <c r="Z22" s="19">
        <f t="shared" si="3"/>
        <v>-0.4511747430249633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--10035.97</f>
        <v>10035.969999999999</v>
      </c>
      <c r="E23" s="2"/>
      <c r="F23" s="19"/>
      <c r="G23" s="2"/>
      <c r="H23" s="2">
        <f>--8910.31</f>
        <v>8910.31</v>
      </c>
      <c r="I23" s="2"/>
      <c r="J23" s="19"/>
      <c r="K23" s="2"/>
      <c r="L23" s="2">
        <f t="shared" si="0"/>
        <v>1125.6599999999999</v>
      </c>
      <c r="M23" s="2"/>
      <c r="N23" s="19">
        <f t="shared" si="1"/>
        <v>0.1263323049366408</v>
      </c>
      <c r="O23" s="11"/>
      <c r="P23" s="2">
        <f>--26332.04</f>
        <v>26332.04</v>
      </c>
      <c r="Q23" s="2"/>
      <c r="R23" s="19"/>
      <c r="S23" s="2"/>
      <c r="T23" s="2">
        <f>--25209.73</f>
        <v>25209.73</v>
      </c>
      <c r="U23" s="2"/>
      <c r="V23" s="19"/>
      <c r="W23" s="2"/>
      <c r="X23" s="2">
        <f t="shared" si="2"/>
        <v>1122.3100000000013</v>
      </c>
      <c r="Y23" s="2"/>
      <c r="Z23" s="19">
        <f t="shared" si="3"/>
        <v>4.4518921860726049E-2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--12565.24</f>
        <v>12565.24</v>
      </c>
      <c r="E24" s="2"/>
      <c r="F24" s="19"/>
      <c r="G24" s="2"/>
      <c r="H24" s="2">
        <f>--9174.14</f>
        <v>9174.14</v>
      </c>
      <c r="I24" s="2"/>
      <c r="J24" s="19"/>
      <c r="K24" s="2"/>
      <c r="L24" s="2">
        <f t="shared" si="0"/>
        <v>3391.1000000000004</v>
      </c>
      <c r="M24" s="2"/>
      <c r="N24" s="19">
        <f t="shared" si="1"/>
        <v>0.36963682699413791</v>
      </c>
      <c r="O24" s="11"/>
      <c r="P24" s="2">
        <f>--37064.54</f>
        <v>37064.54</v>
      </c>
      <c r="Q24" s="2"/>
      <c r="R24" s="19"/>
      <c r="S24" s="2"/>
      <c r="T24" s="2">
        <f>--32634.34</f>
        <v>32634.34</v>
      </c>
      <c r="U24" s="2"/>
      <c r="V24" s="19"/>
      <c r="W24" s="2"/>
      <c r="X24" s="2">
        <f t="shared" si="2"/>
        <v>4430.2000000000007</v>
      </c>
      <c r="Y24" s="2"/>
      <c r="Z24" s="19">
        <f t="shared" si="3"/>
        <v>0.13575270711771711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--20952.95</f>
        <v>20952.95</v>
      </c>
      <c r="E25" s="2"/>
      <c r="F25" s="19"/>
      <c r="G25" s="2"/>
      <c r="H25" s="2">
        <f>--17904.21</f>
        <v>17904.21</v>
      </c>
      <c r="I25" s="2"/>
      <c r="J25" s="19"/>
      <c r="K25" s="2"/>
      <c r="L25" s="2">
        <f t="shared" si="0"/>
        <v>3048.7400000000016</v>
      </c>
      <c r="M25" s="2"/>
      <c r="N25" s="19">
        <f t="shared" si="1"/>
        <v>0.17028062114999779</v>
      </c>
      <c r="O25" s="11"/>
      <c r="P25" s="2">
        <f>--144273.54</f>
        <v>144273.54</v>
      </c>
      <c r="Q25" s="2"/>
      <c r="R25" s="19"/>
      <c r="S25" s="2"/>
      <c r="T25" s="2">
        <f>--132898.26</f>
        <v>132898.26</v>
      </c>
      <c r="U25" s="2"/>
      <c r="V25" s="19"/>
      <c r="W25" s="2"/>
      <c r="X25" s="2">
        <f t="shared" si="2"/>
        <v>11375.279999999999</v>
      </c>
      <c r="Y25" s="2"/>
      <c r="Z25" s="19">
        <f t="shared" si="3"/>
        <v>8.5593897166147986E-2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--45836.99</f>
        <v>45836.99</v>
      </c>
      <c r="E26" s="2"/>
      <c r="F26" s="19"/>
      <c r="G26" s="2"/>
      <c r="H26" s="2">
        <f>--55157</f>
        <v>55157</v>
      </c>
      <c r="I26" s="2"/>
      <c r="J26" s="19"/>
      <c r="K26" s="2"/>
      <c r="L26" s="2">
        <f t="shared" si="0"/>
        <v>-9320.010000000002</v>
      </c>
      <c r="M26" s="2"/>
      <c r="N26" s="19">
        <f t="shared" si="1"/>
        <v>-0.16897238791087263</v>
      </c>
      <c r="O26" s="11"/>
      <c r="P26" s="2">
        <f>--146564.67</f>
        <v>146564.67000000001</v>
      </c>
      <c r="Q26" s="2"/>
      <c r="R26" s="19"/>
      <c r="S26" s="2"/>
      <c r="T26" s="2">
        <f>--154844.8</f>
        <v>154844.79999999999</v>
      </c>
      <c r="U26" s="2"/>
      <c r="V26" s="19"/>
      <c r="W26" s="2"/>
      <c r="X26" s="2">
        <f t="shared" si="2"/>
        <v>-8280.1299999999756</v>
      </c>
      <c r="Y26" s="2"/>
      <c r="Z26" s="19">
        <f t="shared" si="3"/>
        <v>-5.3473736283039378E-2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--100.46</f>
        <v>100.46</v>
      </c>
      <c r="E27" s="2"/>
      <c r="F27" s="19"/>
      <c r="G27" s="2"/>
      <c r="H27" s="2">
        <f>--130.84</f>
        <v>130.84</v>
      </c>
      <c r="I27" s="2"/>
      <c r="J27" s="19"/>
      <c r="K27" s="2"/>
      <c r="L27" s="2">
        <f t="shared" si="0"/>
        <v>-30.38000000000001</v>
      </c>
      <c r="M27" s="2"/>
      <c r="N27" s="19">
        <f t="shared" si="1"/>
        <v>-0.23219199021705908</v>
      </c>
      <c r="O27" s="11"/>
      <c r="P27" s="2">
        <f>--221.28</f>
        <v>221.28</v>
      </c>
      <c r="Q27" s="2"/>
      <c r="R27" s="19"/>
      <c r="S27" s="2"/>
      <c r="T27" s="2">
        <f>--245.9</f>
        <v>245.9</v>
      </c>
      <c r="U27" s="2"/>
      <c r="V27" s="19"/>
      <c r="W27" s="2"/>
      <c r="X27" s="2">
        <f t="shared" si="2"/>
        <v>-24.620000000000005</v>
      </c>
      <c r="Y27" s="2"/>
      <c r="Z27" s="19">
        <f t="shared" si="3"/>
        <v>-0.10012200081333877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--59190.6</f>
        <v>59190.6</v>
      </c>
      <c r="E28" s="2"/>
      <c r="F28" s="19"/>
      <c r="G28" s="2"/>
      <c r="H28" s="2">
        <f>--59857.45</f>
        <v>59857.45</v>
      </c>
      <c r="I28" s="2"/>
      <c r="J28" s="19"/>
      <c r="K28" s="2"/>
      <c r="L28" s="2">
        <f t="shared" si="0"/>
        <v>-666.84999999999854</v>
      </c>
      <c r="M28" s="2"/>
      <c r="N28" s="19">
        <f t="shared" si="1"/>
        <v>-1.1140634958555677E-2</v>
      </c>
      <c r="O28" s="11"/>
      <c r="P28" s="2">
        <f>--131868.29</f>
        <v>131868.29</v>
      </c>
      <c r="Q28" s="2"/>
      <c r="R28" s="19"/>
      <c r="S28" s="2"/>
      <c r="T28" s="2">
        <f>--136454.72</f>
        <v>136454.72</v>
      </c>
      <c r="U28" s="2"/>
      <c r="V28" s="19"/>
      <c r="W28" s="2"/>
      <c r="X28" s="2">
        <f t="shared" si="2"/>
        <v>-4586.429999999993</v>
      </c>
      <c r="Y28" s="2"/>
      <c r="Z28" s="19">
        <f t="shared" si="3"/>
        <v>-3.3611369397848555E-2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--44.43</f>
        <v>44.43</v>
      </c>
      <c r="E29" s="2"/>
      <c r="F29" s="19"/>
      <c r="G29" s="2"/>
      <c r="H29" s="2">
        <f>--63.81</f>
        <v>63.81</v>
      </c>
      <c r="I29" s="2"/>
      <c r="J29" s="19"/>
      <c r="K29" s="2"/>
      <c r="L29" s="2">
        <f t="shared" si="0"/>
        <v>-19.380000000000003</v>
      </c>
      <c r="M29" s="2"/>
      <c r="N29" s="19">
        <f t="shared" si="1"/>
        <v>-0.30371415138692998</v>
      </c>
      <c r="O29" s="11"/>
      <c r="P29" s="2">
        <f>--85.4</f>
        <v>85.4</v>
      </c>
      <c r="Q29" s="2"/>
      <c r="R29" s="19"/>
      <c r="S29" s="2"/>
      <c r="T29" s="2">
        <f>--93.66</f>
        <v>93.66</v>
      </c>
      <c r="U29" s="2"/>
      <c r="V29" s="19"/>
      <c r="W29" s="2"/>
      <c r="X29" s="2">
        <f t="shared" si="2"/>
        <v>-8.2599999999999909</v>
      </c>
      <c r="Y29" s="2"/>
      <c r="Z29" s="19">
        <f t="shared" si="3"/>
        <v>-8.8191330343796615E-2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--2386.44</f>
        <v>2386.44</v>
      </c>
      <c r="E30" s="2"/>
      <c r="F30" s="19"/>
      <c r="G30" s="2"/>
      <c r="H30" s="2">
        <f>--1864.59</f>
        <v>1864.59</v>
      </c>
      <c r="I30" s="2"/>
      <c r="J30" s="19"/>
      <c r="K30" s="2"/>
      <c r="L30" s="2">
        <f t="shared" si="0"/>
        <v>521.85000000000014</v>
      </c>
      <c r="M30" s="2"/>
      <c r="N30" s="19">
        <f t="shared" si="1"/>
        <v>0.27987385966888173</v>
      </c>
      <c r="O30" s="11"/>
      <c r="P30" s="2">
        <f>--5396.32</f>
        <v>5396.32</v>
      </c>
      <c r="Q30" s="2"/>
      <c r="R30" s="19"/>
      <c r="S30" s="2"/>
      <c r="T30" s="2">
        <f>--4019.77</f>
        <v>4019.77</v>
      </c>
      <c r="U30" s="2"/>
      <c r="V30" s="19"/>
      <c r="W30" s="2"/>
      <c r="X30" s="2">
        <f t="shared" si="2"/>
        <v>1376.5499999999997</v>
      </c>
      <c r="Y30" s="2"/>
      <c r="Z30" s="19">
        <f t="shared" si="3"/>
        <v>0.34244496575674721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--425.93</f>
        <v>425.93</v>
      </c>
      <c r="E31" s="2"/>
      <c r="F31" s="19"/>
      <c r="G31" s="2"/>
      <c r="H31" s="2">
        <f>--517.17</f>
        <v>517.16999999999996</v>
      </c>
      <c r="I31" s="2"/>
      <c r="J31" s="19"/>
      <c r="K31" s="2"/>
      <c r="L31" s="2">
        <f t="shared" si="0"/>
        <v>-91.239999999999952</v>
      </c>
      <c r="M31" s="2"/>
      <c r="N31" s="19">
        <f t="shared" si="1"/>
        <v>-0.17642167952510773</v>
      </c>
      <c r="O31" s="11"/>
      <c r="P31" s="2">
        <f>--864.36</f>
        <v>864.36</v>
      </c>
      <c r="Q31" s="2"/>
      <c r="R31" s="19"/>
      <c r="S31" s="2"/>
      <c r="T31" s="2">
        <f>--1144.01</f>
        <v>1144.01</v>
      </c>
      <c r="U31" s="2"/>
      <c r="V31" s="19"/>
      <c r="W31" s="2"/>
      <c r="X31" s="2">
        <f t="shared" si="2"/>
        <v>-279.64999999999998</v>
      </c>
      <c r="Y31" s="2"/>
      <c r="Z31" s="19">
        <f t="shared" si="3"/>
        <v>-0.24444716392339225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--128.42</f>
        <v>128.41999999999999</v>
      </c>
      <c r="E32" s="2"/>
      <c r="F32" s="19"/>
      <c r="G32" s="2"/>
      <c r="H32" s="2">
        <f>--145.84</f>
        <v>145.84</v>
      </c>
      <c r="I32" s="2"/>
      <c r="J32" s="19"/>
      <c r="K32" s="2"/>
      <c r="L32" s="2">
        <f t="shared" si="0"/>
        <v>-17.420000000000016</v>
      </c>
      <c r="M32" s="2"/>
      <c r="N32" s="19">
        <f t="shared" si="1"/>
        <v>-0.11944596818431168</v>
      </c>
      <c r="O32" s="11"/>
      <c r="P32" s="2">
        <f>--302.57</f>
        <v>302.57</v>
      </c>
      <c r="Q32" s="2"/>
      <c r="R32" s="19"/>
      <c r="S32" s="2"/>
      <c r="T32" s="2">
        <f>--303.08</f>
        <v>303.08</v>
      </c>
      <c r="U32" s="2"/>
      <c r="V32" s="19"/>
      <c r="W32" s="2"/>
      <c r="X32" s="2">
        <f t="shared" si="2"/>
        <v>-0.50999999999999091</v>
      </c>
      <c r="Y32" s="2"/>
      <c r="Z32" s="19">
        <f t="shared" si="3"/>
        <v>-1.6827240332585158E-3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--215340.93</f>
        <v>215340.93</v>
      </c>
      <c r="E33" s="2"/>
      <c r="F33" s="19"/>
      <c r="G33" s="2"/>
      <c r="H33" s="2">
        <f>--174982.98</f>
        <v>174982.98</v>
      </c>
      <c r="I33" s="2"/>
      <c r="J33" s="19"/>
      <c r="K33" s="2"/>
      <c r="L33" s="2">
        <f t="shared" si="0"/>
        <v>40357.949999999983</v>
      </c>
      <c r="M33" s="2"/>
      <c r="N33" s="19">
        <f t="shared" si="1"/>
        <v>0.23063928846108336</v>
      </c>
      <c r="O33" s="11"/>
      <c r="P33" s="2">
        <f>--848240.45</f>
        <v>848240.45</v>
      </c>
      <c r="Q33" s="2"/>
      <c r="R33" s="19"/>
      <c r="S33" s="2"/>
      <c r="T33" s="2">
        <f>--718140.33</f>
        <v>718140.33</v>
      </c>
      <c r="U33" s="2"/>
      <c r="V33" s="19"/>
      <c r="W33" s="2"/>
      <c r="X33" s="2">
        <f t="shared" si="2"/>
        <v>130100.12</v>
      </c>
      <c r="Y33" s="2"/>
      <c r="Z33" s="19">
        <f t="shared" si="3"/>
        <v>0.18116253128410154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--27181.29</f>
        <v>27181.29</v>
      </c>
      <c r="E34" s="2"/>
      <c r="F34" s="19"/>
      <c r="G34" s="2"/>
      <c r="H34" s="2">
        <f>--30072.27</f>
        <v>30072.27</v>
      </c>
      <c r="I34" s="2"/>
      <c r="J34" s="19"/>
      <c r="K34" s="2"/>
      <c r="L34" s="2">
        <f t="shared" si="0"/>
        <v>-2890.9799999999996</v>
      </c>
      <c r="M34" s="2"/>
      <c r="N34" s="19">
        <f t="shared" si="1"/>
        <v>-9.6134412201007755E-2</v>
      </c>
      <c r="O34" s="11"/>
      <c r="P34" s="2">
        <f>--228813.9</f>
        <v>228813.9</v>
      </c>
      <c r="Q34" s="2"/>
      <c r="R34" s="19"/>
      <c r="S34" s="2"/>
      <c r="T34" s="2">
        <f>--237024.53</f>
        <v>237024.53</v>
      </c>
      <c r="U34" s="2"/>
      <c r="V34" s="19"/>
      <c r="W34" s="2"/>
      <c r="X34" s="2">
        <f t="shared" si="2"/>
        <v>-8210.6300000000047</v>
      </c>
      <c r="Y34" s="2"/>
      <c r="Z34" s="19">
        <f t="shared" si="3"/>
        <v>-3.4640423081948542E-2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--29192.1</f>
        <v>29192.1</v>
      </c>
      <c r="E35" s="2"/>
      <c r="F35" s="19"/>
      <c r="G35" s="2"/>
      <c r="H35" s="2">
        <f>--28016.78</f>
        <v>28016.78</v>
      </c>
      <c r="I35" s="2"/>
      <c r="J35" s="19"/>
      <c r="K35" s="2"/>
      <c r="L35" s="2">
        <f t="shared" si="0"/>
        <v>1175.3199999999997</v>
      </c>
      <c r="M35" s="2"/>
      <c r="N35" s="19">
        <f t="shared" si="1"/>
        <v>4.1950573906066282E-2</v>
      </c>
      <c r="O35" s="11"/>
      <c r="P35" s="2">
        <f>--124310.37</f>
        <v>124310.37</v>
      </c>
      <c r="Q35" s="2"/>
      <c r="R35" s="19"/>
      <c r="S35" s="2"/>
      <c r="T35" s="2">
        <f>--100527.24</f>
        <v>100527.24</v>
      </c>
      <c r="U35" s="2"/>
      <c r="V35" s="19"/>
      <c r="W35" s="2"/>
      <c r="X35" s="2">
        <f t="shared" si="2"/>
        <v>23783.12999999999</v>
      </c>
      <c r="Y35" s="2"/>
      <c r="Z35" s="19">
        <f t="shared" si="3"/>
        <v>0.23658393486183435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--63.04</f>
        <v>63.04</v>
      </c>
      <c r="E36" s="2"/>
      <c r="F36" s="19"/>
      <c r="G36" s="2"/>
      <c r="H36" s="2">
        <f>--581.91</f>
        <v>581.91</v>
      </c>
      <c r="I36" s="2"/>
      <c r="J36" s="19"/>
      <c r="K36" s="2"/>
      <c r="L36" s="2">
        <f t="shared" si="0"/>
        <v>-518.87</v>
      </c>
      <c r="M36" s="2"/>
      <c r="N36" s="19">
        <f t="shared" si="1"/>
        <v>-0.89166709628636731</v>
      </c>
      <c r="O36" s="11"/>
      <c r="P36" s="2">
        <f>--520.85</f>
        <v>520.85</v>
      </c>
      <c r="Q36" s="2"/>
      <c r="R36" s="19"/>
      <c r="S36" s="2"/>
      <c r="T36" s="2">
        <f>--1397.81</f>
        <v>1397.81</v>
      </c>
      <c r="U36" s="2"/>
      <c r="V36" s="19"/>
      <c r="W36" s="2"/>
      <c r="X36" s="2">
        <f t="shared" si="2"/>
        <v>-876.95999999999992</v>
      </c>
      <c r="Y36" s="2"/>
      <c r="Z36" s="19">
        <f t="shared" si="3"/>
        <v>-0.62738140376732165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--4838.74</f>
        <v>4838.74</v>
      </c>
      <c r="E37" s="2"/>
      <c r="F37" s="19"/>
      <c r="G37" s="2"/>
      <c r="H37" s="2">
        <f>--4689.55</f>
        <v>4689.55</v>
      </c>
      <c r="I37" s="2"/>
      <c r="J37" s="19"/>
      <c r="K37" s="2"/>
      <c r="L37" s="2">
        <f t="shared" si="0"/>
        <v>149.1899999999996</v>
      </c>
      <c r="M37" s="2"/>
      <c r="N37" s="19">
        <f t="shared" si="1"/>
        <v>3.1813286989156656E-2</v>
      </c>
      <c r="O37" s="11"/>
      <c r="P37" s="2">
        <f>--33067.15</f>
        <v>33067.15</v>
      </c>
      <c r="Q37" s="2"/>
      <c r="R37" s="19"/>
      <c r="S37" s="2"/>
      <c r="T37" s="2">
        <f>--35499.98</f>
        <v>35499.980000000003</v>
      </c>
      <c r="U37" s="2"/>
      <c r="V37" s="19"/>
      <c r="W37" s="2"/>
      <c r="X37" s="2">
        <f t="shared" si="2"/>
        <v>-2432.8300000000017</v>
      </c>
      <c r="Y37" s="2"/>
      <c r="Z37" s="19">
        <f t="shared" si="3"/>
        <v>-6.853046114392182E-2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--4525.99</f>
        <v>4525.99</v>
      </c>
      <c r="E38" s="2"/>
      <c r="F38" s="19"/>
      <c r="G38" s="2"/>
      <c r="H38" s="2">
        <f>--9608.62</f>
        <v>9608.6200000000008</v>
      </c>
      <c r="I38" s="2"/>
      <c r="J38" s="19"/>
      <c r="K38" s="2"/>
      <c r="L38" s="2">
        <f t="shared" si="0"/>
        <v>-5082.630000000001</v>
      </c>
      <c r="M38" s="2"/>
      <c r="N38" s="19">
        <f t="shared" si="1"/>
        <v>-0.52896565791965966</v>
      </c>
      <c r="O38" s="11"/>
      <c r="P38" s="2">
        <f>--35853.1</f>
        <v>35853.1</v>
      </c>
      <c r="Q38" s="2"/>
      <c r="R38" s="19"/>
      <c r="S38" s="2"/>
      <c r="T38" s="2">
        <f>--58195.46</f>
        <v>58195.46</v>
      </c>
      <c r="U38" s="2"/>
      <c r="V38" s="19"/>
      <c r="W38" s="2"/>
      <c r="X38" s="2">
        <f t="shared" si="2"/>
        <v>-22342.36</v>
      </c>
      <c r="Y38" s="2"/>
      <c r="Z38" s="19">
        <f t="shared" si="3"/>
        <v>-0.38391929542270137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--402.65</f>
        <v>402.65</v>
      </c>
      <c r="E39" s="2"/>
      <c r="F39" s="19"/>
      <c r="G39" s="2"/>
      <c r="H39" s="2">
        <f>--532.34</f>
        <v>532.34</v>
      </c>
      <c r="I39" s="2"/>
      <c r="J39" s="19"/>
      <c r="K39" s="2"/>
      <c r="L39" s="2">
        <f t="shared" si="0"/>
        <v>-129.69000000000005</v>
      </c>
      <c r="M39" s="2"/>
      <c r="N39" s="19">
        <f t="shared" si="1"/>
        <v>-0.24362249690047721</v>
      </c>
      <c r="O39" s="11"/>
      <c r="P39" s="2">
        <f>--1374</f>
        <v>1374</v>
      </c>
      <c r="Q39" s="2"/>
      <c r="R39" s="19"/>
      <c r="S39" s="2"/>
      <c r="T39" s="2">
        <f>--1181.85</f>
        <v>1181.8499999999999</v>
      </c>
      <c r="U39" s="2"/>
      <c r="V39" s="19"/>
      <c r="W39" s="2"/>
      <c r="X39" s="2">
        <f t="shared" si="2"/>
        <v>192.15000000000009</v>
      </c>
      <c r="Y39" s="2"/>
      <c r="Z39" s="19">
        <f t="shared" si="3"/>
        <v>0.16258408427465423</v>
      </c>
    </row>
    <row r="40" spans="1:26" s="24" customFormat="1" hidden="1" outlineLevel="1" x14ac:dyDescent="0.25">
      <c r="A40" s="44"/>
      <c r="B40" s="11" t="str">
        <f>CONCATENATE("          ", "4051", " - ", "TAXABLE SALES-FOOD")</f>
        <v xml:space="preserve">          4051 - TAXABLE SALES-FOOD</v>
      </c>
      <c r="C40" s="11"/>
      <c r="D40" s="2">
        <f>--35500.4</f>
        <v>35500.400000000001</v>
      </c>
      <c r="E40" s="2"/>
      <c r="F40" s="19"/>
      <c r="G40" s="2"/>
      <c r="H40" s="2">
        <f>--38797.47</f>
        <v>38797.47</v>
      </c>
      <c r="I40" s="2"/>
      <c r="J40" s="19"/>
      <c r="K40" s="2"/>
      <c r="L40" s="2">
        <f t="shared" si="0"/>
        <v>-3297.0699999999997</v>
      </c>
      <c r="M40" s="2"/>
      <c r="N40" s="19">
        <f t="shared" si="1"/>
        <v>-8.4981572252005089E-2</v>
      </c>
      <c r="O40" s="11"/>
      <c r="P40" s="2">
        <f>--74419.27</f>
        <v>74419.27</v>
      </c>
      <c r="Q40" s="2"/>
      <c r="R40" s="19"/>
      <c r="S40" s="2"/>
      <c r="T40" s="2">
        <f>--85623.45</f>
        <v>85623.45</v>
      </c>
      <c r="U40" s="2"/>
      <c r="V40" s="19"/>
      <c r="W40" s="2"/>
      <c r="X40" s="2">
        <f t="shared" si="2"/>
        <v>-11204.179999999993</v>
      </c>
      <c r="Y40" s="2"/>
      <c r="Z40" s="19">
        <f t="shared" si="3"/>
        <v>-0.13085410597213723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--873.49</f>
        <v>873.49</v>
      </c>
      <c r="E41" s="2"/>
      <c r="F41" s="19"/>
      <c r="G41" s="2"/>
      <c r="H41" s="2">
        <f>--991.34</f>
        <v>991.34</v>
      </c>
      <c r="I41" s="2"/>
      <c r="J41" s="19"/>
      <c r="K41" s="2"/>
      <c r="L41" s="2">
        <f t="shared" si="0"/>
        <v>-117.85000000000002</v>
      </c>
      <c r="M41" s="2"/>
      <c r="N41" s="19">
        <f t="shared" si="1"/>
        <v>-0.11887949643916317</v>
      </c>
      <c r="O41" s="11"/>
      <c r="P41" s="2">
        <f>--1792.91</f>
        <v>1792.91</v>
      </c>
      <c r="Q41" s="2"/>
      <c r="R41" s="19"/>
      <c r="S41" s="2"/>
      <c r="T41" s="2">
        <f>--2199.46</f>
        <v>2199.46</v>
      </c>
      <c r="U41" s="2"/>
      <c r="V41" s="19"/>
      <c r="W41" s="2"/>
      <c r="X41" s="2">
        <f t="shared" si="2"/>
        <v>-406.54999999999995</v>
      </c>
      <c r="Y41" s="2"/>
      <c r="Z41" s="19">
        <f t="shared" si="3"/>
        <v>-0.18484082456602982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0</f>
        <v>0</v>
      </c>
      <c r="E42" s="2"/>
      <c r="F42" s="19"/>
      <c r="G42" s="2"/>
      <c r="H42" s="2">
        <f>--173</f>
        <v>173</v>
      </c>
      <c r="I42" s="2"/>
      <c r="J42" s="19"/>
      <c r="K42" s="2"/>
      <c r="L42" s="2">
        <f t="shared" si="0"/>
        <v>-173</v>
      </c>
      <c r="M42" s="2"/>
      <c r="N42" s="19">
        <f t="shared" si="1"/>
        <v>-1</v>
      </c>
      <c r="O42" s="11"/>
      <c r="P42" s="2">
        <f>--162</f>
        <v>162</v>
      </c>
      <c r="Q42" s="2"/>
      <c r="R42" s="19"/>
      <c r="S42" s="2"/>
      <c r="T42" s="2">
        <f>--308</f>
        <v>308</v>
      </c>
      <c r="U42" s="2"/>
      <c r="V42" s="19"/>
      <c r="W42" s="2"/>
      <c r="X42" s="2">
        <f t="shared" si="2"/>
        <v>-146</v>
      </c>
      <c r="Y42" s="2"/>
      <c r="Z42" s="19">
        <f t="shared" si="3"/>
        <v>-0.47402597402597402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--129.89</f>
        <v>129.88999999999999</v>
      </c>
      <c r="E43" s="2"/>
      <c r="F43" s="19"/>
      <c r="G43" s="2"/>
      <c r="H43" s="2">
        <f>--249.81</f>
        <v>249.81</v>
      </c>
      <c r="I43" s="2"/>
      <c r="J43" s="19"/>
      <c r="K43" s="2"/>
      <c r="L43" s="2">
        <f t="shared" si="0"/>
        <v>-119.92000000000002</v>
      </c>
      <c r="M43" s="2"/>
      <c r="N43" s="19">
        <f t="shared" si="1"/>
        <v>-0.4800448340738962</v>
      </c>
      <c r="O43" s="11"/>
      <c r="P43" s="2">
        <f>--429.69</f>
        <v>429.69</v>
      </c>
      <c r="Q43" s="2"/>
      <c r="R43" s="19"/>
      <c r="S43" s="2"/>
      <c r="T43" s="2">
        <f>--639.49</f>
        <v>639.49</v>
      </c>
      <c r="U43" s="2"/>
      <c r="V43" s="19"/>
      <c r="W43" s="2"/>
      <c r="X43" s="2">
        <f t="shared" si="2"/>
        <v>-209.8</v>
      </c>
      <c r="Y43" s="2"/>
      <c r="Z43" s="19">
        <f t="shared" si="3"/>
        <v>-0.32807393391608941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--80.97</f>
        <v>80.97</v>
      </c>
      <c r="E44" s="2"/>
      <c r="F44" s="19"/>
      <c r="G44" s="2"/>
      <c r="H44" s="2">
        <f>--409.79</f>
        <v>409.79</v>
      </c>
      <c r="I44" s="2"/>
      <c r="J44" s="19"/>
      <c r="K44" s="2"/>
      <c r="L44" s="2">
        <f t="shared" si="0"/>
        <v>-328.82000000000005</v>
      </c>
      <c r="M44" s="2"/>
      <c r="N44" s="19">
        <f t="shared" si="1"/>
        <v>-0.80241099099538793</v>
      </c>
      <c r="O44" s="11"/>
      <c r="P44" s="2">
        <f>--534.79</f>
        <v>534.79</v>
      </c>
      <c r="Q44" s="2"/>
      <c r="R44" s="19"/>
      <c r="S44" s="2"/>
      <c r="T44" s="2">
        <f>--970.49</f>
        <v>970.49</v>
      </c>
      <c r="U44" s="2"/>
      <c r="V44" s="19"/>
      <c r="W44" s="2"/>
      <c r="X44" s="2">
        <f t="shared" si="2"/>
        <v>-435.70000000000005</v>
      </c>
      <c r="Y44" s="2"/>
      <c r="Z44" s="19">
        <f t="shared" si="3"/>
        <v>-0.44894846932992616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--1178.45</f>
        <v>1178.45</v>
      </c>
      <c r="E45" s="2"/>
      <c r="F45" s="19"/>
      <c r="G45" s="2"/>
      <c r="H45" s="2">
        <f>--300.95</f>
        <v>300.95</v>
      </c>
      <c r="I45" s="2"/>
      <c r="J45" s="19"/>
      <c r="K45" s="2"/>
      <c r="L45" s="2">
        <f t="shared" si="0"/>
        <v>877.5</v>
      </c>
      <c r="M45" s="2"/>
      <c r="N45" s="19">
        <f t="shared" si="1"/>
        <v>2.9157667386609072</v>
      </c>
      <c r="O45" s="11"/>
      <c r="P45" s="2">
        <f>--5051.08</f>
        <v>5051.08</v>
      </c>
      <c r="Q45" s="2"/>
      <c r="R45" s="19"/>
      <c r="S45" s="2"/>
      <c r="T45" s="2">
        <f>--4367.25</f>
        <v>4367.25</v>
      </c>
      <c r="U45" s="2"/>
      <c r="V45" s="19"/>
      <c r="W45" s="2"/>
      <c r="X45" s="2">
        <f t="shared" si="2"/>
        <v>683.82999999999993</v>
      </c>
      <c r="Y45" s="2"/>
      <c r="Z45" s="19">
        <f t="shared" si="3"/>
        <v>0.15658137271738506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--43.76</f>
        <v>43.76</v>
      </c>
      <c r="E46" s="2"/>
      <c r="F46" s="19"/>
      <c r="G46" s="2"/>
      <c r="H46" s="2">
        <f>--478.17</f>
        <v>478.17</v>
      </c>
      <c r="I46" s="2"/>
      <c r="J46" s="19"/>
      <c r="K46" s="2"/>
      <c r="L46" s="2">
        <f t="shared" si="0"/>
        <v>-434.41</v>
      </c>
      <c r="M46" s="2"/>
      <c r="N46" s="19">
        <f t="shared" si="1"/>
        <v>-0.90848443022356073</v>
      </c>
      <c r="O46" s="11"/>
      <c r="P46" s="2">
        <f>--244.61</f>
        <v>244.61</v>
      </c>
      <c r="Q46" s="2"/>
      <c r="R46" s="19"/>
      <c r="S46" s="2"/>
      <c r="T46" s="2">
        <f>--1098.94</f>
        <v>1098.94</v>
      </c>
      <c r="U46" s="2"/>
      <c r="V46" s="19"/>
      <c r="W46" s="2"/>
      <c r="X46" s="2">
        <f t="shared" si="2"/>
        <v>-854.33</v>
      </c>
      <c r="Y46" s="2"/>
      <c r="Z46" s="19">
        <f t="shared" si="3"/>
        <v>-0.77741277958760258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--3713.9</f>
        <v>3713.9</v>
      </c>
      <c r="E47" s="2"/>
      <c r="F47" s="19"/>
      <c r="G47" s="2"/>
      <c r="H47" s="2">
        <f>--4821.88</f>
        <v>4821.88</v>
      </c>
      <c r="I47" s="2"/>
      <c r="J47" s="19"/>
      <c r="K47" s="2"/>
      <c r="L47" s="2">
        <f t="shared" si="0"/>
        <v>-1107.98</v>
      </c>
      <c r="M47" s="2"/>
      <c r="N47" s="19">
        <f t="shared" si="1"/>
        <v>-0.22978174487959052</v>
      </c>
      <c r="O47" s="11"/>
      <c r="P47" s="2">
        <f>--335381.67</f>
        <v>335381.67</v>
      </c>
      <c r="Q47" s="2"/>
      <c r="R47" s="19"/>
      <c r="S47" s="2"/>
      <c r="T47" s="2">
        <f>--390310.29</f>
        <v>390310.29</v>
      </c>
      <c r="U47" s="2"/>
      <c r="V47" s="19"/>
      <c r="W47" s="2"/>
      <c r="X47" s="2">
        <f t="shared" si="2"/>
        <v>-54928.619999999995</v>
      </c>
      <c r="Y47" s="2"/>
      <c r="Z47" s="19">
        <f t="shared" si="3"/>
        <v>-0.14073064791604648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--8438.54</f>
        <v>8438.5400000000009</v>
      </c>
      <c r="E48" s="2"/>
      <c r="F48" s="19"/>
      <c r="G48" s="2"/>
      <c r="H48" s="2">
        <f>--6989.58</f>
        <v>6989.58</v>
      </c>
      <c r="I48" s="2"/>
      <c r="J48" s="19"/>
      <c r="K48" s="2"/>
      <c r="L48" s="2">
        <f t="shared" si="0"/>
        <v>1448.9600000000009</v>
      </c>
      <c r="M48" s="2"/>
      <c r="N48" s="19">
        <f t="shared" si="1"/>
        <v>0.20730287084488638</v>
      </c>
      <c r="O48" s="11"/>
      <c r="P48" s="2">
        <f>--92331.09</f>
        <v>92331.09</v>
      </c>
      <c r="Q48" s="2"/>
      <c r="R48" s="19"/>
      <c r="S48" s="2"/>
      <c r="T48" s="2">
        <f>--148009.28</f>
        <v>148009.28</v>
      </c>
      <c r="U48" s="2"/>
      <c r="V48" s="19"/>
      <c r="W48" s="2"/>
      <c r="X48" s="2">
        <f t="shared" si="2"/>
        <v>-55678.19</v>
      </c>
      <c r="Y48" s="2"/>
      <c r="Z48" s="19">
        <f t="shared" si="3"/>
        <v>-0.37618039895876804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--578.81</f>
        <v>578.80999999999995</v>
      </c>
      <c r="E49" s="2"/>
      <c r="F49" s="19"/>
      <c r="G49" s="2"/>
      <c r="H49" s="2">
        <f>--1243.24</f>
        <v>1243.24</v>
      </c>
      <c r="I49" s="2"/>
      <c r="J49" s="19"/>
      <c r="K49" s="2"/>
      <c r="L49" s="2">
        <f t="shared" si="0"/>
        <v>-664.43000000000006</v>
      </c>
      <c r="M49" s="2"/>
      <c r="N49" s="19">
        <f t="shared" si="1"/>
        <v>-0.53443422026318332</v>
      </c>
      <c r="O49" s="11"/>
      <c r="P49" s="2">
        <f>--37022.32</f>
        <v>37022.32</v>
      </c>
      <c r="Q49" s="2"/>
      <c r="R49" s="19"/>
      <c r="S49" s="2"/>
      <c r="T49" s="2">
        <f>--50495.17</f>
        <v>50495.17</v>
      </c>
      <c r="U49" s="2"/>
      <c r="V49" s="19"/>
      <c r="W49" s="2"/>
      <c r="X49" s="2">
        <f t="shared" si="2"/>
        <v>-13472.849999999999</v>
      </c>
      <c r="Y49" s="2"/>
      <c r="Z49" s="19">
        <f t="shared" si="3"/>
        <v>-0.26681462801293665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--329.98</f>
        <v>329.98</v>
      </c>
      <c r="Q50" s="2"/>
      <c r="R50" s="19"/>
      <c r="S50" s="2"/>
      <c r="T50" s="2">
        <f>--509.85</f>
        <v>509.85</v>
      </c>
      <c r="U50" s="2"/>
      <c r="V50" s="19"/>
      <c r="W50" s="2"/>
      <c r="X50" s="2">
        <f t="shared" si="2"/>
        <v>-179.87</v>
      </c>
      <c r="Y50" s="2"/>
      <c r="Z50" s="19">
        <f t="shared" si="3"/>
        <v>-0.35279003628518191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--1559.03</f>
        <v>1559.03</v>
      </c>
      <c r="E51" s="2"/>
      <c r="F51" s="19"/>
      <c r="G51" s="2"/>
      <c r="H51" s="2">
        <f>--2584.6</f>
        <v>2584.6</v>
      </c>
      <c r="I51" s="2"/>
      <c r="J51" s="19"/>
      <c r="K51" s="2"/>
      <c r="L51" s="2">
        <f t="shared" si="0"/>
        <v>-1025.57</v>
      </c>
      <c r="M51" s="2"/>
      <c r="N51" s="19">
        <f t="shared" si="1"/>
        <v>-0.39680027857308675</v>
      </c>
      <c r="O51" s="11"/>
      <c r="P51" s="2">
        <f>--320492.85</f>
        <v>320492.84999999998</v>
      </c>
      <c r="Q51" s="2"/>
      <c r="R51" s="19"/>
      <c r="S51" s="2"/>
      <c r="T51" s="2">
        <f>--337326.13</f>
        <v>337326.13</v>
      </c>
      <c r="U51" s="2"/>
      <c r="V51" s="19"/>
      <c r="W51" s="2"/>
      <c r="X51" s="2">
        <f t="shared" si="2"/>
        <v>-16833.280000000028</v>
      </c>
      <c r="Y51" s="2"/>
      <c r="Z51" s="19">
        <f t="shared" si="3"/>
        <v>-4.9902093265054882E-2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--757.3</f>
        <v>757.3</v>
      </c>
      <c r="E52" s="2"/>
      <c r="F52" s="19"/>
      <c r="G52" s="2"/>
      <c r="H52" s="2">
        <f>--1124.17</f>
        <v>1124.17</v>
      </c>
      <c r="I52" s="2"/>
      <c r="J52" s="19"/>
      <c r="K52" s="2"/>
      <c r="L52" s="2">
        <f t="shared" si="0"/>
        <v>-366.87000000000012</v>
      </c>
      <c r="M52" s="2"/>
      <c r="N52" s="19">
        <f t="shared" si="1"/>
        <v>-0.32634743855466708</v>
      </c>
      <c r="O52" s="11"/>
      <c r="P52" s="2">
        <f>--7099.47</f>
        <v>7099.47</v>
      </c>
      <c r="Q52" s="2"/>
      <c r="R52" s="19"/>
      <c r="S52" s="2"/>
      <c r="T52" s="2">
        <f>--9713.91</f>
        <v>9713.91</v>
      </c>
      <c r="U52" s="2"/>
      <c r="V52" s="19"/>
      <c r="W52" s="2"/>
      <c r="X52" s="2">
        <f t="shared" si="2"/>
        <v>-2614.4399999999996</v>
      </c>
      <c r="Y52" s="2"/>
      <c r="Z52" s="19">
        <f t="shared" si="3"/>
        <v>-0.26914393894940347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 t="shared" ref="D53:D55" si="4">0</f>
        <v>0</v>
      </c>
      <c r="E53" s="2"/>
      <c r="F53" s="19"/>
      <c r="G53" s="2"/>
      <c r="H53" s="2">
        <f t="shared" ref="H53:H55" si="5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--1146.72</f>
        <v>1146.72</v>
      </c>
      <c r="Q53" s="2"/>
      <c r="R53" s="19"/>
      <c r="S53" s="2"/>
      <c r="T53" s="2">
        <f>--38.23</f>
        <v>38.229999999999997</v>
      </c>
      <c r="U53" s="2"/>
      <c r="V53" s="19"/>
      <c r="W53" s="2"/>
      <c r="X53" s="2">
        <f t="shared" si="2"/>
        <v>1108.49</v>
      </c>
      <c r="Y53" s="2"/>
      <c r="Z53" s="19">
        <f t="shared" si="3"/>
        <v>28.995291655767723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 t="shared" si="4"/>
        <v>0</v>
      </c>
      <c r="E54" s="2"/>
      <c r="F54" s="19"/>
      <c r="G54" s="2"/>
      <c r="H54" s="2">
        <f t="shared" si="5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--20.92</f>
        <v>20.92</v>
      </c>
      <c r="Q54" s="2"/>
      <c r="R54" s="19"/>
      <c r="S54" s="2"/>
      <c r="T54" s="2">
        <f>--111.41</f>
        <v>111.41</v>
      </c>
      <c r="U54" s="2"/>
      <c r="V54" s="19"/>
      <c r="W54" s="2"/>
      <c r="X54" s="2">
        <f t="shared" si="2"/>
        <v>-90.49</v>
      </c>
      <c r="Y54" s="2"/>
      <c r="Z54" s="19">
        <f t="shared" si="3"/>
        <v>-0.81222511444215062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 t="shared" si="4"/>
        <v>0</v>
      </c>
      <c r="E55" s="2"/>
      <c r="F55" s="19"/>
      <c r="G55" s="2"/>
      <c r="H55" s="2">
        <f t="shared" si="5"/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--124.18</f>
        <v>124.18</v>
      </c>
      <c r="Q55" s="2"/>
      <c r="R55" s="19"/>
      <c r="S55" s="2"/>
      <c r="T55" s="2">
        <f>--160.73</f>
        <v>160.72999999999999</v>
      </c>
      <c r="U55" s="2"/>
      <c r="V55" s="19"/>
      <c r="W55" s="2"/>
      <c r="X55" s="2">
        <f t="shared" si="2"/>
        <v>-36.549999999999983</v>
      </c>
      <c r="Y55" s="2"/>
      <c r="Z55" s="19">
        <f t="shared" si="3"/>
        <v>-0.22739998755677213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--115.27</f>
        <v>115.27</v>
      </c>
      <c r="E56" s="2"/>
      <c r="F56" s="19"/>
      <c r="G56" s="2"/>
      <c r="H56" s="2">
        <f>--96.42</f>
        <v>96.42</v>
      </c>
      <c r="I56" s="2"/>
      <c r="J56" s="19"/>
      <c r="K56" s="2"/>
      <c r="L56" s="2">
        <f t="shared" si="0"/>
        <v>18.849999999999994</v>
      </c>
      <c r="M56" s="2"/>
      <c r="N56" s="19">
        <f t="shared" si="1"/>
        <v>0.19549885915785101</v>
      </c>
      <c r="O56" s="11"/>
      <c r="P56" s="2">
        <f>--1458.53</f>
        <v>1458.53</v>
      </c>
      <c r="Q56" s="2"/>
      <c r="R56" s="19"/>
      <c r="S56" s="2"/>
      <c r="T56" s="2">
        <f>--1791.88</f>
        <v>1791.88</v>
      </c>
      <c r="U56" s="2"/>
      <c r="V56" s="19"/>
      <c r="W56" s="2"/>
      <c r="X56" s="2">
        <f t="shared" si="2"/>
        <v>-333.35000000000014</v>
      </c>
      <c r="Y56" s="2"/>
      <c r="Z56" s="19">
        <f t="shared" si="3"/>
        <v>-0.18603366296850243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--179.63</f>
        <v>179.63</v>
      </c>
      <c r="E57" s="2"/>
      <c r="F57" s="19"/>
      <c r="G57" s="2"/>
      <c r="H57" s="2">
        <f>--3738.84</f>
        <v>3738.84</v>
      </c>
      <c r="I57" s="2"/>
      <c r="J57" s="19"/>
      <c r="K57" s="2"/>
      <c r="L57" s="2">
        <f t="shared" si="0"/>
        <v>-3559.21</v>
      </c>
      <c r="M57" s="2"/>
      <c r="N57" s="19">
        <f t="shared" si="1"/>
        <v>-0.95195568679055531</v>
      </c>
      <c r="O57" s="11"/>
      <c r="P57" s="2">
        <f>--2597.12</f>
        <v>2597.12</v>
      </c>
      <c r="Q57" s="2"/>
      <c r="R57" s="19"/>
      <c r="S57" s="2"/>
      <c r="T57" s="2">
        <f>--6275.52</f>
        <v>6275.52</v>
      </c>
      <c r="U57" s="2"/>
      <c r="V57" s="19"/>
      <c r="W57" s="2"/>
      <c r="X57" s="2">
        <f t="shared" si="2"/>
        <v>-3678.4000000000005</v>
      </c>
      <c r="Y57" s="2"/>
      <c r="Z57" s="19">
        <f t="shared" si="3"/>
        <v>-0.58615062974861054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--85.82</f>
        <v>85.82</v>
      </c>
      <c r="E58" s="2"/>
      <c r="F58" s="19"/>
      <c r="G58" s="2"/>
      <c r="H58" s="2">
        <f>--61.65</f>
        <v>61.65</v>
      </c>
      <c r="I58" s="2"/>
      <c r="J58" s="19"/>
      <c r="K58" s="2"/>
      <c r="L58" s="2">
        <f t="shared" si="0"/>
        <v>24.169999999999995</v>
      </c>
      <c r="M58" s="2"/>
      <c r="N58" s="19">
        <f t="shared" si="1"/>
        <v>0.39205190592051897</v>
      </c>
      <c r="O58" s="11"/>
      <c r="P58" s="2">
        <f>--348.72</f>
        <v>348.72</v>
      </c>
      <c r="Q58" s="2"/>
      <c r="R58" s="19"/>
      <c r="S58" s="2"/>
      <c r="T58" s="2">
        <f>--624.21</f>
        <v>624.21</v>
      </c>
      <c r="U58" s="2"/>
      <c r="V58" s="19"/>
      <c r="W58" s="2"/>
      <c r="X58" s="2">
        <f t="shared" si="2"/>
        <v>-275.49</v>
      </c>
      <c r="Y58" s="2"/>
      <c r="Z58" s="19">
        <f t="shared" si="3"/>
        <v>-0.44134185610611815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--13457.13</f>
        <v>13457.13</v>
      </c>
      <c r="E59" s="2"/>
      <c r="F59" s="19"/>
      <c r="G59" s="2"/>
      <c r="H59" s="2">
        <f>--13610.6</f>
        <v>13610.6</v>
      </c>
      <c r="I59" s="2"/>
      <c r="J59" s="19"/>
      <c r="K59" s="2"/>
      <c r="L59" s="2">
        <f t="shared" si="0"/>
        <v>-153.47000000000116</v>
      </c>
      <c r="M59" s="2"/>
      <c r="N59" s="19">
        <f t="shared" si="1"/>
        <v>-1.127577035545833E-2</v>
      </c>
      <c r="O59" s="11"/>
      <c r="P59" s="2">
        <f>--26722.42</f>
        <v>26722.42</v>
      </c>
      <c r="Q59" s="2"/>
      <c r="R59" s="19"/>
      <c r="S59" s="2"/>
      <c r="T59" s="2">
        <f>--26794.17</f>
        <v>26794.17</v>
      </c>
      <c r="U59" s="2"/>
      <c r="V59" s="19"/>
      <c r="W59" s="2"/>
      <c r="X59" s="2">
        <f t="shared" si="2"/>
        <v>-71.75</v>
      </c>
      <c r="Y59" s="2"/>
      <c r="Z59" s="19">
        <f t="shared" si="3"/>
        <v>-2.6778213320285721E-3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--243120.09</f>
        <v>243120.09</v>
      </c>
      <c r="E60" s="2"/>
      <c r="F60" s="19"/>
      <c r="G60" s="2"/>
      <c r="H60" s="2">
        <f>--217296.52</f>
        <v>217296.52</v>
      </c>
      <c r="I60" s="2"/>
      <c r="J60" s="19"/>
      <c r="K60" s="2"/>
      <c r="L60" s="2">
        <f t="shared" si="0"/>
        <v>25823.570000000007</v>
      </c>
      <c r="M60" s="2"/>
      <c r="N60" s="19">
        <f t="shared" si="1"/>
        <v>0.11884023729418219</v>
      </c>
      <c r="O60" s="11"/>
      <c r="P60" s="2">
        <f>--522872.45</f>
        <v>522872.45</v>
      </c>
      <c r="Q60" s="2"/>
      <c r="R60" s="19"/>
      <c r="S60" s="2"/>
      <c r="T60" s="2">
        <f>--485933.32</f>
        <v>485933.32</v>
      </c>
      <c r="U60" s="2"/>
      <c r="V60" s="19"/>
      <c r="W60" s="2"/>
      <c r="X60" s="2">
        <f t="shared" si="2"/>
        <v>36939.130000000005</v>
      </c>
      <c r="Y60" s="2"/>
      <c r="Z60" s="19">
        <f t="shared" si="3"/>
        <v>7.6016869968908496E-2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--3801.88</f>
        <v>3801.88</v>
      </c>
      <c r="E61" s="2"/>
      <c r="F61" s="19"/>
      <c r="G61" s="2"/>
      <c r="H61" s="2">
        <f>--3409.32</f>
        <v>3409.32</v>
      </c>
      <c r="I61" s="2"/>
      <c r="J61" s="19"/>
      <c r="K61" s="2"/>
      <c r="L61" s="2">
        <f t="shared" si="0"/>
        <v>392.55999999999995</v>
      </c>
      <c r="M61" s="2"/>
      <c r="N61" s="19">
        <f t="shared" si="1"/>
        <v>0.11514319571058156</v>
      </c>
      <c r="O61" s="11"/>
      <c r="P61" s="2">
        <f>--8466.86</f>
        <v>8466.86</v>
      </c>
      <c r="Q61" s="2"/>
      <c r="R61" s="19"/>
      <c r="S61" s="2"/>
      <c r="T61" s="2">
        <f>--7215.99</f>
        <v>7215.99</v>
      </c>
      <c r="U61" s="2"/>
      <c r="V61" s="19"/>
      <c r="W61" s="2"/>
      <c r="X61" s="2">
        <f t="shared" si="2"/>
        <v>1250.8700000000008</v>
      </c>
      <c r="Y61" s="2"/>
      <c r="Z61" s="19">
        <f t="shared" si="3"/>
        <v>0.17334696971586724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>0</f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--0.39</f>
        <v>0.39</v>
      </c>
      <c r="Q62" s="2"/>
      <c r="R62" s="19"/>
      <c r="S62" s="2"/>
      <c r="T62" s="2">
        <f>--163.41</f>
        <v>163.41</v>
      </c>
      <c r="U62" s="2"/>
      <c r="V62" s="19"/>
      <c r="W62" s="2"/>
      <c r="X62" s="2">
        <f t="shared" si="2"/>
        <v>-163.02000000000001</v>
      </c>
      <c r="Y62" s="2"/>
      <c r="Z62" s="19">
        <f t="shared" si="3"/>
        <v>-0.99761336515513133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>--17.9</f>
        <v>17.899999999999999</v>
      </c>
      <c r="E63" s="2"/>
      <c r="F63" s="19"/>
      <c r="G63" s="2"/>
      <c r="H63" s="2">
        <f>--58.44</f>
        <v>58.44</v>
      </c>
      <c r="I63" s="2"/>
      <c r="J63" s="19"/>
      <c r="K63" s="2"/>
      <c r="L63" s="2">
        <f t="shared" si="0"/>
        <v>-40.54</v>
      </c>
      <c r="M63" s="2"/>
      <c r="N63" s="19">
        <f t="shared" si="1"/>
        <v>-0.69370294318959613</v>
      </c>
      <c r="O63" s="11"/>
      <c r="P63" s="2">
        <f>--103.96</f>
        <v>103.96</v>
      </c>
      <c r="Q63" s="2"/>
      <c r="R63" s="19"/>
      <c r="S63" s="2"/>
      <c r="T63" s="2">
        <f>--109.06</f>
        <v>109.06</v>
      </c>
      <c r="U63" s="2"/>
      <c r="V63" s="19"/>
      <c r="W63" s="2"/>
      <c r="X63" s="2">
        <f t="shared" si="2"/>
        <v>-5.1000000000000085</v>
      </c>
      <c r="Y63" s="2"/>
      <c r="Z63" s="19">
        <f t="shared" si="3"/>
        <v>-4.676324958738317E-2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>--2252.19</f>
        <v>2252.19</v>
      </c>
      <c r="E64" s="2"/>
      <c r="F64" s="19"/>
      <c r="G64" s="2"/>
      <c r="H64" s="2">
        <f>--2344.24</f>
        <v>2344.2399999999998</v>
      </c>
      <c r="I64" s="2"/>
      <c r="J64" s="19"/>
      <c r="K64" s="2"/>
      <c r="L64" s="2">
        <f t="shared" si="0"/>
        <v>-92.049999999999727</v>
      </c>
      <c r="M64" s="2"/>
      <c r="N64" s="19">
        <f t="shared" si="1"/>
        <v>-3.9266457359314631E-2</v>
      </c>
      <c r="O64" s="11"/>
      <c r="P64" s="2">
        <f>--5114.15</f>
        <v>5114.1499999999996</v>
      </c>
      <c r="Q64" s="2"/>
      <c r="R64" s="19"/>
      <c r="S64" s="2"/>
      <c r="T64" s="2">
        <f>--4935.63</f>
        <v>4935.63</v>
      </c>
      <c r="U64" s="2"/>
      <c r="V64" s="19"/>
      <c r="W64" s="2"/>
      <c r="X64" s="2">
        <f t="shared" si="2"/>
        <v>178.51999999999953</v>
      </c>
      <c r="Y64" s="2"/>
      <c r="Z64" s="19">
        <f t="shared" si="3"/>
        <v>3.6169648048982504E-2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--4377.82</f>
        <v>4377.82</v>
      </c>
      <c r="E65" s="2"/>
      <c r="F65" s="19"/>
      <c r="G65" s="2"/>
      <c r="H65" s="2">
        <f>--3652.71</f>
        <v>3652.71</v>
      </c>
      <c r="I65" s="2"/>
      <c r="J65" s="19"/>
      <c r="K65" s="2"/>
      <c r="L65" s="2">
        <f t="shared" si="0"/>
        <v>725.10999999999967</v>
      </c>
      <c r="M65" s="2"/>
      <c r="N65" s="19">
        <f t="shared" si="1"/>
        <v>0.19851288495391084</v>
      </c>
      <c r="O65" s="11"/>
      <c r="P65" s="2">
        <f>--12635.52</f>
        <v>12635.52</v>
      </c>
      <c r="Q65" s="2"/>
      <c r="R65" s="19"/>
      <c r="S65" s="2"/>
      <c r="T65" s="2">
        <f>--11557.01</f>
        <v>11557.01</v>
      </c>
      <c r="U65" s="2"/>
      <c r="V65" s="19"/>
      <c r="W65" s="2"/>
      <c r="X65" s="2">
        <f t="shared" si="2"/>
        <v>1078.5100000000002</v>
      </c>
      <c r="Y65" s="2"/>
      <c r="Z65" s="19">
        <f t="shared" si="3"/>
        <v>9.3320850289131896E-2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--581.29</f>
        <v>581.29</v>
      </c>
      <c r="E66" s="2"/>
      <c r="F66" s="19"/>
      <c r="G66" s="2"/>
      <c r="H66" s="2">
        <f>--741.24</f>
        <v>741.24</v>
      </c>
      <c r="I66" s="2"/>
      <c r="J66" s="19"/>
      <c r="K66" s="2"/>
      <c r="L66" s="2">
        <f t="shared" si="0"/>
        <v>-159.95000000000005</v>
      </c>
      <c r="M66" s="2"/>
      <c r="N66" s="19">
        <f t="shared" si="1"/>
        <v>-0.21578705952188232</v>
      </c>
      <c r="O66" s="11"/>
      <c r="P66" s="2">
        <f>--1395.93</f>
        <v>1395.93</v>
      </c>
      <c r="Q66" s="2"/>
      <c r="R66" s="19"/>
      <c r="S66" s="2"/>
      <c r="T66" s="2">
        <f>--2469.53</f>
        <v>2469.5300000000002</v>
      </c>
      <c r="U66" s="2"/>
      <c r="V66" s="19"/>
      <c r="W66" s="2"/>
      <c r="X66" s="2">
        <f t="shared" si="2"/>
        <v>-1073.6000000000001</v>
      </c>
      <c r="Y66" s="2"/>
      <c r="Z66" s="19">
        <f t="shared" si="3"/>
        <v>-0.43473859398347053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--2883.11</f>
        <v>2883.11</v>
      </c>
      <c r="E67" s="2"/>
      <c r="F67" s="19"/>
      <c r="G67" s="2"/>
      <c r="H67" s="2">
        <f>--2670.34</f>
        <v>2670.34</v>
      </c>
      <c r="I67" s="2"/>
      <c r="J67" s="19"/>
      <c r="K67" s="2"/>
      <c r="L67" s="2">
        <f t="shared" si="0"/>
        <v>212.76999999999998</v>
      </c>
      <c r="M67" s="2"/>
      <c r="N67" s="19">
        <f t="shared" si="1"/>
        <v>7.9678992188260661E-2</v>
      </c>
      <c r="O67" s="11"/>
      <c r="P67" s="2">
        <f>--5919.61</f>
        <v>5919.61</v>
      </c>
      <c r="Q67" s="2"/>
      <c r="R67" s="19"/>
      <c r="S67" s="2"/>
      <c r="T67" s="2">
        <f>--5118.1</f>
        <v>5118.1000000000004</v>
      </c>
      <c r="U67" s="2"/>
      <c r="V67" s="19"/>
      <c r="W67" s="2"/>
      <c r="X67" s="2">
        <f t="shared" si="2"/>
        <v>801.50999999999931</v>
      </c>
      <c r="Y67" s="2"/>
      <c r="Z67" s="19">
        <f t="shared" si="3"/>
        <v>0.15660303628299549</v>
      </c>
    </row>
    <row r="68" spans="1:26" s="24" customFormat="1" hidden="1" outlineLevel="1" x14ac:dyDescent="0.25">
      <c r="A68" s="44"/>
      <c r="B68" s="11" t="str">
        <f>CONCATENATE("          ", "4144", " - ", "NON-TAXABLE SALES-ACCESSORIES")</f>
        <v xml:space="preserve">          4144 - NON-TAXABLE SALES-ACCESSORIES</v>
      </c>
      <c r="C68" s="11"/>
      <c r="D68" s="2">
        <f>--71.85</f>
        <v>71.849999999999994</v>
      </c>
      <c r="E68" s="2"/>
      <c r="F68" s="19"/>
      <c r="G68" s="2"/>
      <c r="H68" s="2">
        <f>--165.85</f>
        <v>165.85</v>
      </c>
      <c r="I68" s="2"/>
      <c r="J68" s="19"/>
      <c r="K68" s="2"/>
      <c r="L68" s="2">
        <f t="shared" si="0"/>
        <v>-94</v>
      </c>
      <c r="M68" s="2"/>
      <c r="N68" s="19">
        <f t="shared" si="1"/>
        <v>-0.56677720832077183</v>
      </c>
      <c r="O68" s="11"/>
      <c r="P68" s="2">
        <f>--211.61</f>
        <v>211.61</v>
      </c>
      <c r="Q68" s="2"/>
      <c r="R68" s="19"/>
      <c r="S68" s="2"/>
      <c r="T68" s="2">
        <f>--340.6</f>
        <v>340.6</v>
      </c>
      <c r="U68" s="2"/>
      <c r="V68" s="19"/>
      <c r="W68" s="2"/>
      <c r="X68" s="2">
        <f t="shared" si="2"/>
        <v>-128.99</v>
      </c>
      <c r="Y68" s="2"/>
      <c r="Z68" s="19">
        <f t="shared" si="3"/>
        <v>-0.3787140340575455</v>
      </c>
    </row>
    <row r="69" spans="1:26" s="24" customFormat="1" hidden="1" outlineLevel="1" x14ac:dyDescent="0.25">
      <c r="A69" s="44"/>
      <c r="B69" s="11" t="str">
        <f>CONCATENATE("          ", "4145", " - ", "NON-TAXABLE SALES-SPECIAL ORDE")</f>
        <v xml:space="preserve">          4145 - NON-TAXABLE SALES-SPECIAL ORDE</v>
      </c>
      <c r="C69" s="11"/>
      <c r="D69" s="2">
        <f>0</f>
        <v>0</v>
      </c>
      <c r="E69" s="2"/>
      <c r="F69" s="19"/>
      <c r="G69" s="2"/>
      <c r="H69" s="2">
        <f>--59.85</f>
        <v>59.85</v>
      </c>
      <c r="I69" s="2"/>
      <c r="J69" s="19"/>
      <c r="K69" s="2"/>
      <c r="L69" s="2">
        <f t="shared" si="0"/>
        <v>-59.85</v>
      </c>
      <c r="M69" s="2"/>
      <c r="N69" s="19">
        <f t="shared" si="1"/>
        <v>-1</v>
      </c>
      <c r="O69" s="11"/>
      <c r="P69" s="2">
        <f>--90</f>
        <v>90</v>
      </c>
      <c r="Q69" s="2"/>
      <c r="R69" s="19"/>
      <c r="S69" s="2"/>
      <c r="T69" s="2">
        <f>--261.6</f>
        <v>261.60000000000002</v>
      </c>
      <c r="U69" s="2"/>
      <c r="V69" s="19"/>
      <c r="W69" s="2"/>
      <c r="X69" s="2">
        <f t="shared" si="2"/>
        <v>-171.60000000000002</v>
      </c>
      <c r="Y69" s="2"/>
      <c r="Z69" s="19">
        <f t="shared" si="3"/>
        <v>-0.65596330275229364</v>
      </c>
    </row>
    <row r="70" spans="1:26" s="24" customFormat="1" hidden="1" outlineLevel="1" x14ac:dyDescent="0.25">
      <c r="A70" s="44"/>
      <c r="B70" s="11" t="str">
        <f>CONCATENATE("          ", "4146", " - ", "NON-TAXABLE SALES-COIN OP MACH")</f>
        <v xml:space="preserve">          4146 - NON-TAXABLE SALES-COIN OP MACH</v>
      </c>
      <c r="C70" s="11"/>
      <c r="D70" s="2">
        <f>--40316.8</f>
        <v>40316.800000000003</v>
      </c>
      <c r="E70" s="2"/>
      <c r="F70" s="19"/>
      <c r="G70" s="2"/>
      <c r="H70" s="2">
        <f>--41126.65</f>
        <v>41126.65</v>
      </c>
      <c r="I70" s="2"/>
      <c r="J70" s="19"/>
      <c r="K70" s="2"/>
      <c r="L70" s="2">
        <f t="shared" si="0"/>
        <v>-809.84999999999854</v>
      </c>
      <c r="M70" s="2"/>
      <c r="N70" s="19">
        <f t="shared" si="1"/>
        <v>-1.9691611157242286E-2</v>
      </c>
      <c r="O70" s="11"/>
      <c r="P70" s="2">
        <f>--90410.3</f>
        <v>90410.3</v>
      </c>
      <c r="Q70" s="2"/>
      <c r="R70" s="19"/>
      <c r="S70" s="2"/>
      <c r="T70" s="2">
        <f>--90241.1</f>
        <v>90241.1</v>
      </c>
      <c r="U70" s="2"/>
      <c r="V70" s="19"/>
      <c r="W70" s="2"/>
      <c r="X70" s="2">
        <f t="shared" si="2"/>
        <v>169.19999999999709</v>
      </c>
      <c r="Y70" s="2"/>
      <c r="Z70" s="19">
        <f t="shared" si="3"/>
        <v>1.8749771445604839E-3</v>
      </c>
    </row>
    <row r="71" spans="1:26" s="24" customFormat="1" hidden="1" outlineLevel="1" x14ac:dyDescent="0.25">
      <c r="A71" s="44"/>
      <c r="B71" s="11" t="str">
        <f>CONCATENATE("          ", "4147", " - ", "NON-TAXABLE SALES-MISC")</f>
        <v xml:space="preserve">          4147 - NON-TAXABLE SALES-MISC</v>
      </c>
      <c r="C71" s="11"/>
      <c r="D71" s="2">
        <f>-240</f>
        <v>-240</v>
      </c>
      <c r="E71" s="2"/>
      <c r="F71" s="19"/>
      <c r="G71" s="2"/>
      <c r="H71" s="2">
        <f>--96</f>
        <v>96</v>
      </c>
      <c r="I71" s="2"/>
      <c r="J71" s="19"/>
      <c r="K71" s="2"/>
      <c r="L71" s="2">
        <f t="shared" si="0"/>
        <v>-336</v>
      </c>
      <c r="M71" s="2"/>
      <c r="N71" s="19">
        <f t="shared" si="1"/>
        <v>-3.5</v>
      </c>
      <c r="O71" s="11"/>
      <c r="P71" s="2">
        <f>--174.9</f>
        <v>174.9</v>
      </c>
      <c r="Q71" s="2"/>
      <c r="R71" s="19"/>
      <c r="S71" s="2"/>
      <c r="T71" s="2">
        <f>--286</f>
        <v>286</v>
      </c>
      <c r="U71" s="2"/>
      <c r="V71" s="19"/>
      <c r="W71" s="2"/>
      <c r="X71" s="2">
        <f t="shared" si="2"/>
        <v>-111.1</v>
      </c>
      <c r="Y71" s="2"/>
      <c r="Z71" s="19">
        <f t="shared" si="3"/>
        <v>-0.38846153846153847</v>
      </c>
    </row>
    <row r="72" spans="1:26" s="24" customFormat="1" hidden="1" outlineLevel="1" x14ac:dyDescent="0.25">
      <c r="A72" s="44"/>
      <c r="B72" s="11" t="str">
        <f>CONCATENATE("          ", "4151", " - ", "NON-TAXABLE SALES-FOOD")</f>
        <v xml:space="preserve">          4151 - NON-TAXABLE SALES-FOOD</v>
      </c>
      <c r="C72" s="11"/>
      <c r="D72" s="2">
        <f>--192132.5</f>
        <v>192132.5</v>
      </c>
      <c r="E72" s="2"/>
      <c r="F72" s="19"/>
      <c r="G72" s="2"/>
      <c r="H72" s="2">
        <f>--176065.32</f>
        <v>176065.32</v>
      </c>
      <c r="I72" s="2"/>
      <c r="J72" s="19"/>
      <c r="K72" s="2"/>
      <c r="L72" s="2">
        <f t="shared" si="0"/>
        <v>16067.179999999993</v>
      </c>
      <c r="M72" s="2"/>
      <c r="N72" s="19">
        <f t="shared" si="1"/>
        <v>9.125692669061683E-2</v>
      </c>
      <c r="O72" s="11"/>
      <c r="P72" s="2">
        <f>--388922.83</f>
        <v>388922.83</v>
      </c>
      <c r="Q72" s="2"/>
      <c r="R72" s="19"/>
      <c r="S72" s="2"/>
      <c r="T72" s="2">
        <f>--363856.61</f>
        <v>363856.61</v>
      </c>
      <c r="U72" s="2"/>
      <c r="V72" s="19"/>
      <c r="W72" s="2"/>
      <c r="X72" s="2">
        <f t="shared" si="2"/>
        <v>25066.22000000003</v>
      </c>
      <c r="Y72" s="2"/>
      <c r="Z72" s="19">
        <f t="shared" si="3"/>
        <v>6.889037964708139E-2</v>
      </c>
    </row>
    <row r="73" spans="1:26" s="24" customFormat="1" hidden="1" outlineLevel="1" x14ac:dyDescent="0.25">
      <c r="A73" s="44"/>
      <c r="B73" s="11" t="str">
        <f>CONCATENATE("          ", "4153", " - ", "NON-TAXABLE SALES-FOOD")</f>
        <v xml:space="preserve">          4153 - NON-TAXABLE SALES-FOOD</v>
      </c>
      <c r="C73" s="11"/>
      <c r="D73" s="2">
        <f>--2874</f>
        <v>2874</v>
      </c>
      <c r="E73" s="2"/>
      <c r="F73" s="19"/>
      <c r="G73" s="2"/>
      <c r="H73" s="2">
        <f>--2499.25</f>
        <v>2499.25</v>
      </c>
      <c r="I73" s="2"/>
      <c r="J73" s="19"/>
      <c r="K73" s="2"/>
      <c r="L73" s="2">
        <f t="shared" si="0"/>
        <v>374.75</v>
      </c>
      <c r="M73" s="2"/>
      <c r="N73" s="19">
        <f t="shared" si="1"/>
        <v>0.14994498349504851</v>
      </c>
      <c r="O73" s="11"/>
      <c r="P73" s="2">
        <f>--5280.5</f>
        <v>5280.5</v>
      </c>
      <c r="Q73" s="2"/>
      <c r="R73" s="19"/>
      <c r="S73" s="2"/>
      <c r="T73" s="2">
        <f>--4485.25</f>
        <v>4485.25</v>
      </c>
      <c r="U73" s="2"/>
      <c r="V73" s="19"/>
      <c r="W73" s="2"/>
      <c r="X73" s="2">
        <f t="shared" si="2"/>
        <v>795.25</v>
      </c>
      <c r="Y73" s="2"/>
      <c r="Z73" s="19">
        <f t="shared" si="3"/>
        <v>0.17730338331196702</v>
      </c>
    </row>
    <row r="74" spans="1:26" s="24" customFormat="1" hidden="1" outlineLevel="1" x14ac:dyDescent="0.25">
      <c r="A74" s="44"/>
      <c r="B74" s="11" t="str">
        <f>CONCATENATE("          ", "4186", " - ", "NON-TAXABLE SALES-COMPUTER SUP")</f>
        <v xml:space="preserve">          4186 - NON-TAXABLE SALES-COMPUTER SUP</v>
      </c>
      <c r="C74" s="11"/>
      <c r="D74" s="2">
        <f>--4.01</f>
        <v>4.01</v>
      </c>
      <c r="E74" s="2"/>
      <c r="F74" s="19"/>
      <c r="G74" s="2"/>
      <c r="H74" s="2">
        <f>-19</f>
        <v>-19</v>
      </c>
      <c r="I74" s="2"/>
      <c r="J74" s="19"/>
      <c r="K74" s="2"/>
      <c r="L74" s="2">
        <f t="shared" si="0"/>
        <v>23.009999999999998</v>
      </c>
      <c r="M74" s="2"/>
      <c r="N74" s="19">
        <f t="shared" si="1"/>
        <v>-1.2110526315789472</v>
      </c>
      <c r="O74" s="11"/>
      <c r="P74" s="2">
        <f>-30.97</f>
        <v>-30.97</v>
      </c>
      <c r="Q74" s="2"/>
      <c r="R74" s="19"/>
      <c r="S74" s="2"/>
      <c r="T74" s="2">
        <f>-67.98</f>
        <v>-67.98</v>
      </c>
      <c r="U74" s="2"/>
      <c r="V74" s="19"/>
      <c r="W74" s="2"/>
      <c r="X74" s="2">
        <f t="shared" si="2"/>
        <v>37.010000000000005</v>
      </c>
      <c r="Y74" s="2"/>
      <c r="Z74" s="19">
        <f t="shared" si="3"/>
        <v>-0.54442483083259785</v>
      </c>
    </row>
    <row r="75" spans="1:26" s="24" customFormat="1" hidden="1" outlineLevel="1" x14ac:dyDescent="0.25">
      <c r="A75" s="44"/>
      <c r="B75" s="11" t="str">
        <f>CONCATENATE("          ", "4201", " - ", "SALES RETURN TAXABLE-NEW TEXT")</f>
        <v xml:space="preserve">          4201 - SALES RETURN TAXABLE-NEW TEXT</v>
      </c>
      <c r="C75" s="11"/>
      <c r="D75" s="2">
        <f>-4543.92</f>
        <v>-4543.92</v>
      </c>
      <c r="E75" s="2"/>
      <c r="F75" s="19"/>
      <c r="G75" s="2"/>
      <c r="H75" s="2">
        <f>-12940.45</f>
        <v>-12940.45</v>
      </c>
      <c r="I75" s="2"/>
      <c r="J75" s="19"/>
      <c r="K75" s="2"/>
      <c r="L75" s="2">
        <f t="shared" si="0"/>
        <v>8396.5300000000007</v>
      </c>
      <c r="M75" s="2"/>
      <c r="N75" s="19">
        <f t="shared" si="1"/>
        <v>-0.64885919732312247</v>
      </c>
      <c r="O75" s="11"/>
      <c r="P75" s="2">
        <f>-77783.67</f>
        <v>-77783.67</v>
      </c>
      <c r="Q75" s="2"/>
      <c r="R75" s="19"/>
      <c r="S75" s="2"/>
      <c r="T75" s="2">
        <f>-111732.67</f>
        <v>-111732.67</v>
      </c>
      <c r="U75" s="2"/>
      <c r="V75" s="19"/>
      <c r="W75" s="2"/>
      <c r="X75" s="2">
        <f t="shared" si="2"/>
        <v>33949</v>
      </c>
      <c r="Y75" s="2"/>
      <c r="Z75" s="19">
        <f t="shared" si="3"/>
        <v>-0.30384130263780507</v>
      </c>
    </row>
    <row r="76" spans="1:26" s="24" customFormat="1" hidden="1" outlineLevel="1" x14ac:dyDescent="0.25">
      <c r="A76" s="44"/>
      <c r="B76" s="11" t="str">
        <f>CONCATENATE("          ", "4202", " - ", "SALES RETURN TAXABLE-USED TEXT")</f>
        <v xml:space="preserve">          4202 - SALES RETURN TAXABLE-USED TEXT</v>
      </c>
      <c r="C76" s="11"/>
      <c r="D76" s="2">
        <f>-3577.9</f>
        <v>-3577.9</v>
      </c>
      <c r="E76" s="2"/>
      <c r="F76" s="19"/>
      <c r="G76" s="2"/>
      <c r="H76" s="2">
        <f>-2444</f>
        <v>-2444</v>
      </c>
      <c r="I76" s="2"/>
      <c r="J76" s="19"/>
      <c r="K76" s="2"/>
      <c r="L76" s="2">
        <f t="shared" si="0"/>
        <v>-1133.9000000000001</v>
      </c>
      <c r="M76" s="2"/>
      <c r="N76" s="19">
        <f t="shared" si="1"/>
        <v>0.4639525368248773</v>
      </c>
      <c r="O76" s="11"/>
      <c r="P76" s="2">
        <f>-26929</f>
        <v>-26929</v>
      </c>
      <c r="Q76" s="2"/>
      <c r="R76" s="19"/>
      <c r="S76" s="2"/>
      <c r="T76" s="2">
        <f>-29099.65</f>
        <v>-29099.65</v>
      </c>
      <c r="U76" s="2"/>
      <c r="V76" s="19"/>
      <c r="W76" s="2"/>
      <c r="X76" s="2">
        <f t="shared" si="2"/>
        <v>2170.6500000000015</v>
      </c>
      <c r="Y76" s="2"/>
      <c r="Z76" s="19">
        <f t="shared" si="3"/>
        <v>-7.4593680680008226E-2</v>
      </c>
    </row>
    <row r="77" spans="1:26" s="24" customFormat="1" hidden="1" outlineLevel="1" x14ac:dyDescent="0.25">
      <c r="A77" s="44"/>
      <c r="B77" s="11" t="str">
        <f>CONCATENATE("          ", "4203", " - ", "SALES RETURN TAXABLE-RENTAL TE")</f>
        <v xml:space="preserve">          4203 - SALES RETURN TAXABLE-RENTAL TE</v>
      </c>
      <c r="C77" s="11"/>
      <c r="D77" s="2">
        <f>0</f>
        <v>0</v>
      </c>
      <c r="E77" s="2"/>
      <c r="F77" s="19"/>
      <c r="G77" s="2"/>
      <c r="H77" s="2">
        <f>0</f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-144.99</f>
        <v>-144.99</v>
      </c>
      <c r="Q77" s="2"/>
      <c r="R77" s="19"/>
      <c r="S77" s="2"/>
      <c r="T77" s="2">
        <f>-1529.55</f>
        <v>-1529.55</v>
      </c>
      <c r="U77" s="2"/>
      <c r="V77" s="19"/>
      <c r="W77" s="2"/>
      <c r="X77" s="2">
        <f t="shared" si="2"/>
        <v>1384.56</v>
      </c>
      <c r="Y77" s="2"/>
      <c r="Z77" s="19">
        <f t="shared" si="3"/>
        <v>-0.90520741394527804</v>
      </c>
    </row>
    <row r="78" spans="1:26" s="24" customFormat="1" hidden="1" outlineLevel="1" x14ac:dyDescent="0.25">
      <c r="A78" s="44"/>
      <c r="B78" s="11" t="str">
        <f>CONCATENATE("          ", "4204", " - ", "SALES RETURN TAXABLE-DIGITAL T")</f>
        <v xml:space="preserve">          4204 - SALES RETURN TAXABLE-DIGITAL T</v>
      </c>
      <c r="C78" s="11"/>
      <c r="D78" s="2">
        <f>-193.34</f>
        <v>-193.34</v>
      </c>
      <c r="E78" s="2"/>
      <c r="F78" s="19"/>
      <c r="G78" s="2"/>
      <c r="H78" s="2">
        <f>-358.14</f>
        <v>-358.14</v>
      </c>
      <c r="I78" s="2"/>
      <c r="J78" s="19"/>
      <c r="K78" s="2"/>
      <c r="L78" s="2">
        <f t="shared" si="0"/>
        <v>164.79999999999998</v>
      </c>
      <c r="M78" s="2"/>
      <c r="N78" s="19">
        <f t="shared" si="1"/>
        <v>-0.46015524655162782</v>
      </c>
      <c r="O78" s="11"/>
      <c r="P78" s="2">
        <f>-11250.06</f>
        <v>-11250.06</v>
      </c>
      <c r="Q78" s="2"/>
      <c r="R78" s="19"/>
      <c r="S78" s="2"/>
      <c r="T78" s="2">
        <f>-15499.78</f>
        <v>-15499.78</v>
      </c>
      <c r="U78" s="2"/>
      <c r="V78" s="19"/>
      <c r="W78" s="2"/>
      <c r="X78" s="2">
        <f t="shared" si="2"/>
        <v>4249.7200000000012</v>
      </c>
      <c r="Y78" s="2"/>
      <c r="Z78" s="19">
        <f t="shared" si="3"/>
        <v>-0.27417937544920001</v>
      </c>
    </row>
    <row r="79" spans="1:26" s="24" customFormat="1" hidden="1" outlineLevel="1" x14ac:dyDescent="0.25">
      <c r="A79" s="44"/>
      <c r="B79" s="11" t="str">
        <f>CONCATENATE("          ", "4213", " - ", "NON-TAXABLE SALES-TRADE BOOKS")</f>
        <v xml:space="preserve">          4213 - NON-TAXABLE SALES-TRADE BOOKS</v>
      </c>
      <c r="C79" s="11"/>
      <c r="D79" s="2">
        <f>-35.37</f>
        <v>-35.369999999999997</v>
      </c>
      <c r="E79" s="2"/>
      <c r="F79" s="19"/>
      <c r="G79" s="2"/>
      <c r="H79" s="2">
        <f t="shared" ref="H79:H81" si="6">0</f>
        <v>0</v>
      </c>
      <c r="I79" s="2"/>
      <c r="J79" s="19"/>
      <c r="K79" s="2"/>
      <c r="L79" s="2">
        <f t="shared" si="0"/>
        <v>-35.369999999999997</v>
      </c>
      <c r="M79" s="2"/>
      <c r="N79" s="19">
        <f t="shared" si="1"/>
        <v>0</v>
      </c>
      <c r="O79" s="11"/>
      <c r="P79" s="2">
        <f>-35.37</f>
        <v>-35.369999999999997</v>
      </c>
      <c r="Q79" s="2"/>
      <c r="R79" s="19"/>
      <c r="S79" s="2"/>
      <c r="T79" s="2">
        <f>-15</f>
        <v>-15</v>
      </c>
      <c r="U79" s="2"/>
      <c r="V79" s="19"/>
      <c r="W79" s="2"/>
      <c r="X79" s="2">
        <f t="shared" si="2"/>
        <v>-20.369999999999997</v>
      </c>
      <c r="Y79" s="2"/>
      <c r="Z79" s="19">
        <f t="shared" si="3"/>
        <v>1.3579999999999999</v>
      </c>
    </row>
    <row r="80" spans="1:26" s="24" customFormat="1" hidden="1" outlineLevel="1" x14ac:dyDescent="0.25">
      <c r="A80" s="44"/>
      <c r="B80" s="11" t="str">
        <f>CONCATENATE("          ", "4217", " - ", "NON-TAXABLE SALES-DORM/HOUSEWA")</f>
        <v xml:space="preserve">          4217 - NON-TAXABLE SALES-DORM/HOUSEWA</v>
      </c>
      <c r="C80" s="11"/>
      <c r="D80" s="2">
        <f>-2.98</f>
        <v>-2.98</v>
      </c>
      <c r="E80" s="2"/>
      <c r="F80" s="19"/>
      <c r="G80" s="2"/>
      <c r="H80" s="2">
        <f t="shared" si="6"/>
        <v>0</v>
      </c>
      <c r="I80" s="2"/>
      <c r="J80" s="19"/>
      <c r="K80" s="2"/>
      <c r="L80" s="2">
        <f t="shared" si="0"/>
        <v>-2.98</v>
      </c>
      <c r="M80" s="2"/>
      <c r="N80" s="19">
        <f t="shared" si="1"/>
        <v>0</v>
      </c>
      <c r="O80" s="11"/>
      <c r="P80" s="2">
        <f>-2.98</f>
        <v>-2.98</v>
      </c>
      <c r="Q80" s="2"/>
      <c r="R80" s="19"/>
      <c r="S80" s="2"/>
      <c r="T80" s="2">
        <f>-1.5</f>
        <v>-1.5</v>
      </c>
      <c r="U80" s="2"/>
      <c r="V80" s="19"/>
      <c r="W80" s="2"/>
      <c r="X80" s="2">
        <f t="shared" si="2"/>
        <v>-1.48</v>
      </c>
      <c r="Y80" s="2"/>
      <c r="Z80" s="19">
        <f t="shared" si="3"/>
        <v>0.98666666666666669</v>
      </c>
    </row>
    <row r="81" spans="1:26" s="24" customFormat="1" hidden="1" outlineLevel="1" x14ac:dyDescent="0.25">
      <c r="A81" s="44"/>
      <c r="B81" s="11" t="str">
        <f>CONCATENATE("          ", "4218", " - ", "SALES RETURN TAXABLE-STUDY GUI")</f>
        <v xml:space="preserve">          4218 - SALES RETURN TAXABLE-STUDY GUI</v>
      </c>
      <c r="C81" s="11"/>
      <c r="D81" s="2">
        <f>0</f>
        <v>0</v>
      </c>
      <c r="E81" s="2"/>
      <c r="F81" s="19"/>
      <c r="G81" s="2"/>
      <c r="H81" s="2">
        <f t="shared" si="6"/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-32.75</f>
        <v>-32.75</v>
      </c>
      <c r="Q81" s="2"/>
      <c r="R81" s="19"/>
      <c r="S81" s="2"/>
      <c r="T81" s="2">
        <f>-22.9</f>
        <v>-22.9</v>
      </c>
      <c r="U81" s="2"/>
      <c r="V81" s="19"/>
      <c r="W81" s="2"/>
      <c r="X81" s="2">
        <f t="shared" si="2"/>
        <v>-9.8500000000000014</v>
      </c>
      <c r="Y81" s="2"/>
      <c r="Z81" s="19">
        <f t="shared" si="3"/>
        <v>0.43013100436681234</v>
      </c>
    </row>
    <row r="82" spans="1:26" s="24" customFormat="1" hidden="1" outlineLevel="1" x14ac:dyDescent="0.25">
      <c r="A82" s="44"/>
      <c r="B82" s="11" t="str">
        <f>CONCATENATE("          ", "4225", " - ", "SALES RETURN TAXABLE-TEST FORM")</f>
        <v xml:space="preserve">          4225 - SALES RETURN TAXABLE-TEST FORM</v>
      </c>
      <c r="C82" s="11"/>
      <c r="D82" s="2">
        <f>-8.45</f>
        <v>-8.4499999999999993</v>
      </c>
      <c r="E82" s="2"/>
      <c r="F82" s="19"/>
      <c r="G82" s="2"/>
      <c r="H82" s="2">
        <f>-23.96</f>
        <v>-23.96</v>
      </c>
      <c r="I82" s="2"/>
      <c r="J82" s="19"/>
      <c r="K82" s="2"/>
      <c r="L82" s="2">
        <f t="shared" si="0"/>
        <v>15.510000000000002</v>
      </c>
      <c r="M82" s="2"/>
      <c r="N82" s="19">
        <f t="shared" si="1"/>
        <v>-0.64732888146911527</v>
      </c>
      <c r="O82" s="11"/>
      <c r="P82" s="2">
        <f>-41.55</f>
        <v>-41.55</v>
      </c>
      <c r="Q82" s="2"/>
      <c r="R82" s="19"/>
      <c r="S82" s="2"/>
      <c r="T82" s="2">
        <f>-61.29</f>
        <v>-61.29</v>
      </c>
      <c r="U82" s="2"/>
      <c r="V82" s="19"/>
      <c r="W82" s="2"/>
      <c r="X82" s="2">
        <f t="shared" si="2"/>
        <v>19.740000000000002</v>
      </c>
      <c r="Y82" s="2"/>
      <c r="Z82" s="19">
        <f t="shared" si="3"/>
        <v>-0.32207537934410185</v>
      </c>
    </row>
    <row r="83" spans="1:26" s="24" customFormat="1" hidden="1" outlineLevel="1" x14ac:dyDescent="0.25">
      <c r="A83" s="44"/>
      <c r="B83" s="11" t="str">
        <f>CONCATENATE("          ", "4226", " - ", "SALES RETURN TAXABLE-WRITING I")</f>
        <v xml:space="preserve">          4226 - SALES RETURN TAXABLE-WRITING I</v>
      </c>
      <c r="C83" s="11"/>
      <c r="D83" s="2">
        <f>-166.9</f>
        <v>-166.9</v>
      </c>
      <c r="E83" s="2"/>
      <c r="F83" s="19"/>
      <c r="G83" s="2"/>
      <c r="H83" s="2">
        <f>-123.89</f>
        <v>-123.89</v>
      </c>
      <c r="I83" s="2"/>
      <c r="J83" s="19"/>
      <c r="K83" s="2"/>
      <c r="L83" s="2">
        <f t="shared" si="0"/>
        <v>-43.010000000000005</v>
      </c>
      <c r="M83" s="2"/>
      <c r="N83" s="19">
        <f t="shared" si="1"/>
        <v>0.347162805714747</v>
      </c>
      <c r="O83" s="11"/>
      <c r="P83" s="2">
        <f>-475.97</f>
        <v>-475.97</v>
      </c>
      <c r="Q83" s="2"/>
      <c r="R83" s="19"/>
      <c r="S83" s="2"/>
      <c r="T83" s="2">
        <f>-241.15</f>
        <v>-241.15</v>
      </c>
      <c r="U83" s="2"/>
      <c r="V83" s="19"/>
      <c r="W83" s="2"/>
      <c r="X83" s="2">
        <f t="shared" si="2"/>
        <v>-234.82000000000002</v>
      </c>
      <c r="Y83" s="2"/>
      <c r="Z83" s="19">
        <f t="shared" si="3"/>
        <v>0.97375077752436245</v>
      </c>
    </row>
    <row r="84" spans="1:26" s="24" customFormat="1" hidden="1" outlineLevel="1" x14ac:dyDescent="0.25">
      <c r="A84" s="44"/>
      <c r="B84" s="11" t="str">
        <f>CONCATENATE("          ", "4227", " - ", "SALES RETURN TAXABLE-SCHOOL SU")</f>
        <v xml:space="preserve">          4227 - SALES RETURN TAXABLE-SCHOOL SU</v>
      </c>
      <c r="C84" s="11"/>
      <c r="D84" s="2">
        <f>-324.85</f>
        <v>-324.85000000000002</v>
      </c>
      <c r="E84" s="2"/>
      <c r="F84" s="19"/>
      <c r="G84" s="2"/>
      <c r="H84" s="2">
        <f>-154.62</f>
        <v>-154.62</v>
      </c>
      <c r="I84" s="2"/>
      <c r="J84" s="19"/>
      <c r="K84" s="2"/>
      <c r="L84" s="2">
        <f t="shared" si="0"/>
        <v>-170.23000000000002</v>
      </c>
      <c r="M84" s="2"/>
      <c r="N84" s="19">
        <f t="shared" si="1"/>
        <v>1.1009571853576512</v>
      </c>
      <c r="O84" s="11"/>
      <c r="P84" s="2">
        <f>-4826.48</f>
        <v>-4826.4799999999996</v>
      </c>
      <c r="Q84" s="2"/>
      <c r="R84" s="19"/>
      <c r="S84" s="2"/>
      <c r="T84" s="2">
        <f>-2100.84</f>
        <v>-2100.84</v>
      </c>
      <c r="U84" s="2"/>
      <c r="V84" s="19"/>
      <c r="W84" s="2"/>
      <c r="X84" s="2">
        <f t="shared" si="2"/>
        <v>-2725.6399999999994</v>
      </c>
      <c r="Y84" s="2"/>
      <c r="Z84" s="19">
        <f t="shared" si="3"/>
        <v>1.2974048475847753</v>
      </c>
    </row>
    <row r="85" spans="1:26" s="24" customFormat="1" hidden="1" outlineLevel="1" x14ac:dyDescent="0.25">
      <c r="A85" s="44"/>
      <c r="B85" s="11" t="str">
        <f>CONCATENATE("          ", "4228", " - ", "SALES RETURN TAXABLE-ART/TECH")</f>
        <v xml:space="preserve">          4228 - SALES RETURN TAXABLE-ART/TECH</v>
      </c>
      <c r="C85" s="11"/>
      <c r="D85" s="2">
        <f>-502.99</f>
        <v>-502.99</v>
      </c>
      <c r="E85" s="2"/>
      <c r="F85" s="19"/>
      <c r="G85" s="2"/>
      <c r="H85" s="2">
        <f>-995.36</f>
        <v>-995.36</v>
      </c>
      <c r="I85" s="2"/>
      <c r="J85" s="19"/>
      <c r="K85" s="2"/>
      <c r="L85" s="2">
        <f t="shared" si="0"/>
        <v>492.37</v>
      </c>
      <c r="M85" s="2"/>
      <c r="N85" s="19">
        <f t="shared" si="1"/>
        <v>-0.49466524674489631</v>
      </c>
      <c r="O85" s="11"/>
      <c r="P85" s="2">
        <f>-2430.26</f>
        <v>-2430.2600000000002</v>
      </c>
      <c r="Q85" s="2"/>
      <c r="R85" s="19"/>
      <c r="S85" s="2"/>
      <c r="T85" s="2">
        <f>-3776.79</f>
        <v>-3776.79</v>
      </c>
      <c r="U85" s="2"/>
      <c r="V85" s="19"/>
      <c r="W85" s="2"/>
      <c r="X85" s="2">
        <f t="shared" si="2"/>
        <v>1346.5299999999997</v>
      </c>
      <c r="Y85" s="2"/>
      <c r="Z85" s="19">
        <f t="shared" si="3"/>
        <v>-0.35652763325469505</v>
      </c>
    </row>
    <row r="86" spans="1:26" s="24" customFormat="1" hidden="1" outlineLevel="1" x14ac:dyDescent="0.25">
      <c r="A86" s="44"/>
      <c r="B86" s="11" t="str">
        <f>CONCATENATE("          ", "4233", " - ", "SALES RETURN TAXABLE-CANDY")</f>
        <v xml:space="preserve">          4233 - SALES RETURN TAXABLE-CANDY</v>
      </c>
      <c r="C86" s="11"/>
      <c r="D86" s="2">
        <f>0</f>
        <v>0</v>
      </c>
      <c r="E86" s="2"/>
      <c r="F86" s="19"/>
      <c r="G86" s="2"/>
      <c r="H86" s="2">
        <f>-1.89</f>
        <v>-1.89</v>
      </c>
      <c r="I86" s="2"/>
      <c r="J86" s="19"/>
      <c r="K86" s="2"/>
      <c r="L86" s="2">
        <f t="shared" si="0"/>
        <v>1.89</v>
      </c>
      <c r="M86" s="2"/>
      <c r="N86" s="19">
        <f t="shared" si="1"/>
        <v>-1</v>
      </c>
      <c r="O86" s="11"/>
      <c r="P86" s="2">
        <f>0</f>
        <v>0</v>
      </c>
      <c r="Q86" s="2"/>
      <c r="R86" s="19"/>
      <c r="S86" s="2"/>
      <c r="T86" s="2">
        <f>-3.58</f>
        <v>-3.58</v>
      </c>
      <c r="U86" s="2"/>
      <c r="V86" s="19"/>
      <c r="W86" s="2"/>
      <c r="X86" s="2">
        <f t="shared" si="2"/>
        <v>3.58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"4240", " - ", "SALES RETURN TAXABLE-LOGO CLOT")</f>
        <v xml:space="preserve">          4240 - SALES RETURN TAXABLE-LOGO CLOT</v>
      </c>
      <c r="C87" s="11"/>
      <c r="D87" s="2">
        <f>-9501.82</f>
        <v>-9501.82</v>
      </c>
      <c r="E87" s="2"/>
      <c r="F87" s="19"/>
      <c r="G87" s="2"/>
      <c r="H87" s="2">
        <f>-8092.81</f>
        <v>-8092.81</v>
      </c>
      <c r="I87" s="2"/>
      <c r="J87" s="19"/>
      <c r="K87" s="2"/>
      <c r="L87" s="2">
        <f t="shared" si="0"/>
        <v>-1409.0099999999993</v>
      </c>
      <c r="M87" s="2"/>
      <c r="N87" s="19">
        <f t="shared" si="1"/>
        <v>0.17410639814847986</v>
      </c>
      <c r="O87" s="11"/>
      <c r="P87" s="2">
        <f>-30294.8</f>
        <v>-30294.799999999999</v>
      </c>
      <c r="Q87" s="2"/>
      <c r="R87" s="19"/>
      <c r="S87" s="2"/>
      <c r="T87" s="2">
        <f>-28621.41</f>
        <v>-28621.41</v>
      </c>
      <c r="U87" s="2"/>
      <c r="V87" s="19"/>
      <c r="W87" s="2"/>
      <c r="X87" s="2">
        <f t="shared" si="2"/>
        <v>-1673.3899999999994</v>
      </c>
      <c r="Y87" s="2"/>
      <c r="Z87" s="19">
        <f t="shared" si="3"/>
        <v>5.8466371852399987E-2</v>
      </c>
    </row>
    <row r="88" spans="1:26" s="24" customFormat="1" hidden="1" outlineLevel="1" x14ac:dyDescent="0.25">
      <c r="A88" s="44"/>
      <c r="B88" s="11" t="str">
        <f>CONCATENATE("          ", "4241", " - ", "SALES RETURN TAXABLE-LOGO GIFT")</f>
        <v xml:space="preserve">          4241 - SALES RETURN TAXABLE-LOGO GIFT</v>
      </c>
      <c r="C88" s="11"/>
      <c r="D88" s="2">
        <f>-327.07</f>
        <v>-327.07</v>
      </c>
      <c r="E88" s="2"/>
      <c r="F88" s="19"/>
      <c r="G88" s="2"/>
      <c r="H88" s="2">
        <f>-816.93</f>
        <v>-816.93</v>
      </c>
      <c r="I88" s="2"/>
      <c r="J88" s="19"/>
      <c r="K88" s="2"/>
      <c r="L88" s="2">
        <f t="shared" si="0"/>
        <v>489.85999999999996</v>
      </c>
      <c r="M88" s="2"/>
      <c r="N88" s="19">
        <f t="shared" si="1"/>
        <v>-0.59963521966386346</v>
      </c>
      <c r="O88" s="11"/>
      <c r="P88" s="2">
        <f>-2717.95</f>
        <v>-2717.95</v>
      </c>
      <c r="Q88" s="2"/>
      <c r="R88" s="19"/>
      <c r="S88" s="2"/>
      <c r="T88" s="2">
        <f>-3417.67</f>
        <v>-3417.67</v>
      </c>
      <c r="U88" s="2"/>
      <c r="V88" s="19"/>
      <c r="W88" s="2"/>
      <c r="X88" s="2">
        <f t="shared" si="2"/>
        <v>699.72000000000025</v>
      </c>
      <c r="Y88" s="2"/>
      <c r="Z88" s="19">
        <f t="shared" si="3"/>
        <v>-0.20473597509414315</v>
      </c>
    </row>
    <row r="89" spans="1:26" s="24" customFormat="1" hidden="1" outlineLevel="1" x14ac:dyDescent="0.25">
      <c r="A89" s="44"/>
      <c r="B89" s="11" t="str">
        <f>CONCATENATE("          ", "4242", " - ", "SALES RETURN TAXABLE-EVERYDAY")</f>
        <v xml:space="preserve">          4242 - SALES RETURN TAXABLE-EVERYDAY</v>
      </c>
      <c r="C89" s="11"/>
      <c r="D89" s="2">
        <f>-165.1</f>
        <v>-165.1</v>
      </c>
      <c r="E89" s="2"/>
      <c r="F89" s="19"/>
      <c r="G89" s="2"/>
      <c r="H89" s="2">
        <f>-327.87</f>
        <v>-327.87</v>
      </c>
      <c r="I89" s="2"/>
      <c r="J89" s="19"/>
      <c r="K89" s="2"/>
      <c r="L89" s="2">
        <f t="shared" si="0"/>
        <v>162.77000000000001</v>
      </c>
      <c r="M89" s="2"/>
      <c r="N89" s="19">
        <f t="shared" si="1"/>
        <v>-0.49644676243633151</v>
      </c>
      <c r="O89" s="11"/>
      <c r="P89" s="2">
        <f>-1159.57</f>
        <v>-1159.57</v>
      </c>
      <c r="Q89" s="2"/>
      <c r="R89" s="19"/>
      <c r="S89" s="2"/>
      <c r="T89" s="2">
        <f>-1066.22</f>
        <v>-1066.22</v>
      </c>
      <c r="U89" s="2"/>
      <c r="V89" s="19"/>
      <c r="W89" s="2"/>
      <c r="X89" s="2">
        <f t="shared" si="2"/>
        <v>-93.349999999999909</v>
      </c>
      <c r="Y89" s="2"/>
      <c r="Z89" s="19">
        <f t="shared" si="3"/>
        <v>8.7552287520399077E-2</v>
      </c>
    </row>
    <row r="90" spans="1:26" s="24" customFormat="1" hidden="1" outlineLevel="1" x14ac:dyDescent="0.25">
      <c r="A90" s="44"/>
      <c r="B90" s="11" t="str">
        <f>CONCATENATE("          ", "4243", " - ", "SALES RETURN TAXABLE-CARDS")</f>
        <v xml:space="preserve">          4243 - SALES RETURN TAXABLE-CARDS</v>
      </c>
      <c r="C90" s="11"/>
      <c r="D90" s="2">
        <f>0</f>
        <v>0</v>
      </c>
      <c r="E90" s="2"/>
      <c r="F90" s="19"/>
      <c r="G90" s="2"/>
      <c r="H90" s="2">
        <f>0</f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-4.5</f>
        <v>-4.5</v>
      </c>
      <c r="Q90" s="2"/>
      <c r="R90" s="19"/>
      <c r="S90" s="2"/>
      <c r="T90" s="2">
        <f>-12.95</f>
        <v>-12.95</v>
      </c>
      <c r="U90" s="2"/>
      <c r="V90" s="19"/>
      <c r="W90" s="2"/>
      <c r="X90" s="2">
        <f t="shared" si="2"/>
        <v>8.4499999999999993</v>
      </c>
      <c r="Y90" s="2"/>
      <c r="Z90" s="19">
        <f t="shared" si="3"/>
        <v>-0.65250965250965254</v>
      </c>
    </row>
    <row r="91" spans="1:26" s="24" customFormat="1" hidden="1" outlineLevel="1" x14ac:dyDescent="0.25">
      <c r="A91" s="44"/>
      <c r="B91" s="11" t="str">
        <f>CONCATENATE("          ", "4244", " - ", "SALES RETURN TAXABLE-ACCESSORI")</f>
        <v xml:space="preserve">          4244 - SALES RETURN TAXABLE-ACCESSORI</v>
      </c>
      <c r="C91" s="11"/>
      <c r="D91" s="2">
        <f>-177.85</f>
        <v>-177.85</v>
      </c>
      <c r="E91" s="2"/>
      <c r="F91" s="19"/>
      <c r="G91" s="2"/>
      <c r="H91" s="2">
        <f>-424.7</f>
        <v>-424.7</v>
      </c>
      <c r="I91" s="2"/>
      <c r="J91" s="19"/>
      <c r="K91" s="2"/>
      <c r="L91" s="2">
        <f t="shared" si="0"/>
        <v>246.85</v>
      </c>
      <c r="M91" s="2"/>
      <c r="N91" s="19">
        <f t="shared" si="1"/>
        <v>-0.58123381210266067</v>
      </c>
      <c r="O91" s="11"/>
      <c r="P91" s="2">
        <f>-1432.36</f>
        <v>-1432.36</v>
      </c>
      <c r="Q91" s="2"/>
      <c r="R91" s="19"/>
      <c r="S91" s="2"/>
      <c r="T91" s="2">
        <f>-2448.06</f>
        <v>-2448.06</v>
      </c>
      <c r="U91" s="2"/>
      <c r="V91" s="19"/>
      <c r="W91" s="2"/>
      <c r="X91" s="2">
        <f t="shared" si="2"/>
        <v>1015.7</v>
      </c>
      <c r="Y91" s="2"/>
      <c r="Z91" s="19">
        <f t="shared" si="3"/>
        <v>-0.41489996160224835</v>
      </c>
    </row>
    <row r="92" spans="1:26" s="24" customFormat="1" hidden="1" outlineLevel="1" x14ac:dyDescent="0.25">
      <c r="A92" s="44"/>
      <c r="B92" s="11" t="str">
        <f>CONCATENATE("          ", "4245", " - ", "SALES RETURN TAXABLE-SPECIAL O")</f>
        <v xml:space="preserve">          4245 - SALES RETURN TAXABLE-SPECIAL O</v>
      </c>
      <c r="C92" s="11"/>
      <c r="D92" s="2">
        <f>0</f>
        <v>0</v>
      </c>
      <c r="E92" s="2"/>
      <c r="F92" s="19"/>
      <c r="G92" s="2"/>
      <c r="H92" s="2">
        <f t="shared" ref="H92:H95" si="7">0</f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-91.96</f>
        <v>-91.96</v>
      </c>
      <c r="Q92" s="2"/>
      <c r="R92" s="19"/>
      <c r="S92" s="2"/>
      <c r="T92" s="2">
        <f>-174.85</f>
        <v>-174.85</v>
      </c>
      <c r="U92" s="2"/>
      <c r="V92" s="19"/>
      <c r="W92" s="2"/>
      <c r="X92" s="2">
        <f t="shared" si="2"/>
        <v>82.89</v>
      </c>
      <c r="Y92" s="2"/>
      <c r="Z92" s="19">
        <f t="shared" si="3"/>
        <v>-0.47406348298541606</v>
      </c>
    </row>
    <row r="93" spans="1:26" s="24" customFormat="1" hidden="1" outlineLevel="1" x14ac:dyDescent="0.25">
      <c r="A93" s="44"/>
      <c r="B93" s="11" t="str">
        <f>CONCATENATE("          ", "4281", " - ", "SALES RETURN TAXABLE-ELECTRONI")</f>
        <v xml:space="preserve">          4281 - SALES RETURN TAXABLE-ELECTRONI</v>
      </c>
      <c r="C93" s="11"/>
      <c r="D93" s="2">
        <f>-19.99</f>
        <v>-19.989999999999998</v>
      </c>
      <c r="E93" s="2"/>
      <c r="F93" s="19"/>
      <c r="G93" s="2"/>
      <c r="H93" s="2">
        <f t="shared" si="7"/>
        <v>0</v>
      </c>
      <c r="I93" s="2"/>
      <c r="J93" s="19"/>
      <c r="K93" s="2"/>
      <c r="L93" s="2">
        <f t="shared" si="0"/>
        <v>-19.989999999999998</v>
      </c>
      <c r="M93" s="2"/>
      <c r="N93" s="19">
        <f t="shared" si="1"/>
        <v>0</v>
      </c>
      <c r="O93" s="11"/>
      <c r="P93" s="2">
        <f>-44.98</f>
        <v>-44.98</v>
      </c>
      <c r="Q93" s="2"/>
      <c r="R93" s="19"/>
      <c r="S93" s="2"/>
      <c r="T93" s="2">
        <f>0</f>
        <v>0</v>
      </c>
      <c r="U93" s="2"/>
      <c r="V93" s="19"/>
      <c r="W93" s="2"/>
      <c r="X93" s="2">
        <f t="shared" si="2"/>
        <v>-44.98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"4292", " - ", "SALES RETURN TAXABLE-GRAD MERC")</f>
        <v xml:space="preserve">          4292 - SALES RETURN TAXABLE-GRAD MERC</v>
      </c>
      <c r="C94" s="11"/>
      <c r="D94" s="2">
        <f>-39.95</f>
        <v>-39.950000000000003</v>
      </c>
      <c r="E94" s="2"/>
      <c r="F94" s="19"/>
      <c r="G94" s="2"/>
      <c r="H94" s="2">
        <f t="shared" si="7"/>
        <v>0</v>
      </c>
      <c r="I94" s="2"/>
      <c r="J94" s="19"/>
      <c r="K94" s="2"/>
      <c r="L94" s="2">
        <f t="shared" si="0"/>
        <v>-39.950000000000003</v>
      </c>
      <c r="M94" s="2"/>
      <c r="N94" s="19">
        <f t="shared" si="1"/>
        <v>0</v>
      </c>
      <c r="O94" s="11"/>
      <c r="P94" s="2">
        <f>-409.1</f>
        <v>-409.1</v>
      </c>
      <c r="Q94" s="2"/>
      <c r="R94" s="19"/>
      <c r="S94" s="2"/>
      <c r="T94" s="2">
        <f>-478.25</f>
        <v>-478.25</v>
      </c>
      <c r="U94" s="2"/>
      <c r="V94" s="19"/>
      <c r="W94" s="2"/>
      <c r="X94" s="2">
        <f t="shared" si="2"/>
        <v>69.149999999999977</v>
      </c>
      <c r="Y94" s="2"/>
      <c r="Z94" s="19">
        <f t="shared" si="3"/>
        <v>-0.14458964976476735</v>
      </c>
    </row>
    <row r="95" spans="1:26" s="24" customFormat="1" hidden="1" outlineLevel="1" x14ac:dyDescent="0.25">
      <c r="A95" s="44"/>
      <c r="B95" s="11" t="str">
        <f>CONCATENATE("          ", "4295", " - ", "SALES RETURN TAXABLE-CUSTOMER")</f>
        <v xml:space="preserve">          4295 - SALES RETURN TAXABLE-CUSTOMER</v>
      </c>
      <c r="C95" s="11"/>
      <c r="D95" s="2">
        <f>0</f>
        <v>0</v>
      </c>
      <c r="E95" s="2"/>
      <c r="F95" s="19"/>
      <c r="G95" s="2"/>
      <c r="H95" s="2">
        <f t="shared" si="7"/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--0.99</f>
        <v>0.99</v>
      </c>
      <c r="Q95" s="2"/>
      <c r="R95" s="19"/>
      <c r="S95" s="2"/>
      <c r="T95" s="2">
        <f>-99</f>
        <v>-99</v>
      </c>
      <c r="U95" s="2"/>
      <c r="V95" s="19"/>
      <c r="W95" s="2"/>
      <c r="X95" s="2">
        <f t="shared" si="2"/>
        <v>99.99</v>
      </c>
      <c r="Y95" s="2"/>
      <c r="Z95" s="19">
        <f t="shared" si="3"/>
        <v>-1.01</v>
      </c>
    </row>
    <row r="96" spans="1:26" s="24" customFormat="1" hidden="1" outlineLevel="1" x14ac:dyDescent="0.25">
      <c r="A96" s="44"/>
      <c r="B96" s="11" t="str">
        <f>CONCATENATE("          ", "4301", " - ", "SALES RETURN NON TAXABLE-NEW T")</f>
        <v xml:space="preserve">          4301 - SALES RETURN NON TAXABLE-NEW T</v>
      </c>
      <c r="C96" s="11"/>
      <c r="D96" s="2">
        <f>-5585.76</f>
        <v>-5585.76</v>
      </c>
      <c r="E96" s="2"/>
      <c r="F96" s="19"/>
      <c r="G96" s="2"/>
      <c r="H96" s="2">
        <f>-3879.18</f>
        <v>-3879.18</v>
      </c>
      <c r="I96" s="2"/>
      <c r="J96" s="19"/>
      <c r="K96" s="2"/>
      <c r="L96" s="2">
        <f t="shared" si="0"/>
        <v>-1706.5800000000004</v>
      </c>
      <c r="M96" s="2"/>
      <c r="N96" s="19">
        <f t="shared" si="1"/>
        <v>0.43993318175490709</v>
      </c>
      <c r="O96" s="11"/>
      <c r="P96" s="2">
        <f>-12310.98</f>
        <v>-12310.98</v>
      </c>
      <c r="Q96" s="2"/>
      <c r="R96" s="19"/>
      <c r="S96" s="2"/>
      <c r="T96" s="2">
        <f>-24921.37</f>
        <v>-24921.37</v>
      </c>
      <c r="U96" s="2"/>
      <c r="V96" s="19"/>
      <c r="W96" s="2"/>
      <c r="X96" s="2">
        <f t="shared" si="2"/>
        <v>12610.39</v>
      </c>
      <c r="Y96" s="2"/>
      <c r="Z96" s="19">
        <f t="shared" si="3"/>
        <v>-0.50600709351050921</v>
      </c>
    </row>
    <row r="97" spans="1:26" s="24" customFormat="1" hidden="1" outlineLevel="1" x14ac:dyDescent="0.25">
      <c r="A97" s="44"/>
      <c r="B97" s="11" t="str">
        <f>CONCATENATE("          ", "4302", " - ", "SALES RETURN NON TAXABLE-TEXT")</f>
        <v xml:space="preserve">          4302 - SALES RETURN NON TAXABLE-TEXT</v>
      </c>
      <c r="C97" s="11"/>
      <c r="D97" s="2">
        <f>-35.1</f>
        <v>-35.1</v>
      </c>
      <c r="E97" s="2"/>
      <c r="F97" s="19"/>
      <c r="G97" s="2"/>
      <c r="H97" s="2">
        <f>-60</f>
        <v>-60</v>
      </c>
      <c r="I97" s="2"/>
      <c r="J97" s="19"/>
      <c r="K97" s="2"/>
      <c r="L97" s="2">
        <f t="shared" si="0"/>
        <v>24.9</v>
      </c>
      <c r="M97" s="2"/>
      <c r="N97" s="19">
        <f t="shared" si="1"/>
        <v>-0.41499999999999998</v>
      </c>
      <c r="O97" s="11"/>
      <c r="P97" s="2">
        <f>-683.8</f>
        <v>-683.8</v>
      </c>
      <c r="Q97" s="2"/>
      <c r="R97" s="19"/>
      <c r="S97" s="2"/>
      <c r="T97" s="2">
        <f>-2152.04</f>
        <v>-2152.04</v>
      </c>
      <c r="U97" s="2"/>
      <c r="V97" s="19"/>
      <c r="W97" s="2"/>
      <c r="X97" s="2">
        <f t="shared" si="2"/>
        <v>1468.24</v>
      </c>
      <c r="Y97" s="2"/>
      <c r="Z97" s="19">
        <f t="shared" si="3"/>
        <v>-0.68225497667329604</v>
      </c>
    </row>
    <row r="98" spans="1:26" s="24" customFormat="1" hidden="1" outlineLevel="1" x14ac:dyDescent="0.25">
      <c r="A98" s="44"/>
      <c r="B98" s="11" t="str">
        <f>CONCATENATE("          ", "4303", " - ", "SALES RETURN NON-TAXABLE-RENTA")</f>
        <v xml:space="preserve">          4303 - SALES RETURN NON-TAXABLE-RENTA</v>
      </c>
      <c r="C98" s="11"/>
      <c r="D98" s="2">
        <f>0</f>
        <v>0</v>
      </c>
      <c r="E98" s="2"/>
      <c r="F98" s="19"/>
      <c r="G98" s="2"/>
      <c r="H98" s="2">
        <f t="shared" ref="H98:H99" si="8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-184.99</f>
        <v>-184.99</v>
      </c>
      <c r="Q98" s="2"/>
      <c r="R98" s="19"/>
      <c r="S98" s="2"/>
      <c r="T98" s="2">
        <f>-509.85</f>
        <v>-509.85</v>
      </c>
      <c r="U98" s="2"/>
      <c r="V98" s="19"/>
      <c r="W98" s="2"/>
      <c r="X98" s="2">
        <f t="shared" si="2"/>
        <v>324.86</v>
      </c>
      <c r="Y98" s="2"/>
      <c r="Z98" s="19">
        <f t="shared" si="3"/>
        <v>-0.63716779444934779</v>
      </c>
    </row>
    <row r="99" spans="1:26" s="24" customFormat="1" hidden="1" outlineLevel="1" x14ac:dyDescent="0.25">
      <c r="A99" s="44"/>
      <c r="B99" s="11" t="str">
        <f>CONCATENATE("          ", "4304", " - ", "SALES RETURN NON TAXABLE-DIGIT")</f>
        <v xml:space="preserve">          4304 - SALES RETURN NON TAXABLE-DIGIT</v>
      </c>
      <c r="C99" s="11"/>
      <c r="D99" s="2">
        <f>-617.98</f>
        <v>-617.98</v>
      </c>
      <c r="E99" s="2"/>
      <c r="F99" s="19"/>
      <c r="G99" s="2"/>
      <c r="H99" s="2">
        <f t="shared" si="8"/>
        <v>0</v>
      </c>
      <c r="I99" s="2"/>
      <c r="J99" s="19"/>
      <c r="K99" s="2"/>
      <c r="L99" s="2">
        <f t="shared" si="0"/>
        <v>-617.98</v>
      </c>
      <c r="M99" s="2"/>
      <c r="N99" s="19">
        <f t="shared" si="1"/>
        <v>0</v>
      </c>
      <c r="O99" s="11"/>
      <c r="P99" s="2">
        <f>-13133.29</f>
        <v>-13133.29</v>
      </c>
      <c r="Q99" s="2"/>
      <c r="R99" s="19"/>
      <c r="S99" s="2"/>
      <c r="T99" s="2">
        <f>-3743.75</f>
        <v>-3743.75</v>
      </c>
      <c r="U99" s="2"/>
      <c r="V99" s="19"/>
      <c r="W99" s="2"/>
      <c r="X99" s="2">
        <f t="shared" si="2"/>
        <v>-9389.5400000000009</v>
      </c>
      <c r="Y99" s="2"/>
      <c r="Z99" s="19">
        <f t="shared" si="3"/>
        <v>2.5080574290484141</v>
      </c>
    </row>
    <row r="100" spans="1:26" s="24" customFormat="1" hidden="1" outlineLevel="1" x14ac:dyDescent="0.25">
      <c r="A100" s="44"/>
      <c r="B100" s="11" t="str">
        <f>CONCATENATE("          ", "4311", " - ", "SALES RETURN NON TAXABLE-NO VA")</f>
        <v xml:space="preserve">          4311 - SALES RETURN NON TAXABLE-NO VA</v>
      </c>
      <c r="C100" s="11"/>
      <c r="D100" s="2">
        <f>-0.02</f>
        <v>-0.02</v>
      </c>
      <c r="E100" s="2"/>
      <c r="F100" s="19"/>
      <c r="G100" s="2"/>
      <c r="H100" s="2">
        <f>-228.36</f>
        <v>-228.36</v>
      </c>
      <c r="I100" s="2"/>
      <c r="J100" s="19"/>
      <c r="K100" s="2"/>
      <c r="L100" s="2">
        <f t="shared" si="0"/>
        <v>228.34</v>
      </c>
      <c r="M100" s="2"/>
      <c r="N100" s="19">
        <f t="shared" si="1"/>
        <v>-0.99991241898756344</v>
      </c>
      <c r="O100" s="11"/>
      <c r="P100" s="2">
        <f>-387.96</f>
        <v>-387.96</v>
      </c>
      <c r="Q100" s="2"/>
      <c r="R100" s="19"/>
      <c r="S100" s="2"/>
      <c r="T100" s="2">
        <f>-586.28</f>
        <v>-586.28</v>
      </c>
      <c r="U100" s="2"/>
      <c r="V100" s="19"/>
      <c r="W100" s="2"/>
      <c r="X100" s="2">
        <f t="shared" si="2"/>
        <v>198.32</v>
      </c>
      <c r="Y100" s="2"/>
      <c r="Z100" s="19">
        <f t="shared" si="3"/>
        <v>-0.33826840417547932</v>
      </c>
    </row>
    <row r="101" spans="1:26" s="24" customFormat="1" hidden="1" outlineLevel="1" x14ac:dyDescent="0.25">
      <c r="A101" s="44"/>
      <c r="B101" s="11" t="str">
        <f>CONCATENATE("          ", "4326", " - ", "SALES RETURN NON TAXABLE-WRITI")</f>
        <v xml:space="preserve">          4326 - SALES RETURN NON TAXABLE-WRITI</v>
      </c>
      <c r="C101" s="11"/>
      <c r="D101" s="2">
        <f t="shared" ref="D101:D103" si="9">0</f>
        <v>0</v>
      </c>
      <c r="E101" s="2"/>
      <c r="F101" s="19"/>
      <c r="G101" s="2"/>
      <c r="H101" s="2">
        <f>-2.5</f>
        <v>-2.5</v>
      </c>
      <c r="I101" s="2"/>
      <c r="J101" s="19"/>
      <c r="K101" s="2"/>
      <c r="L101" s="2">
        <f t="shared" si="0"/>
        <v>2.5</v>
      </c>
      <c r="M101" s="2"/>
      <c r="N101" s="19">
        <f t="shared" si="1"/>
        <v>-1</v>
      </c>
      <c r="O101" s="11"/>
      <c r="P101" s="2">
        <f>0</f>
        <v>0</v>
      </c>
      <c r="Q101" s="2"/>
      <c r="R101" s="19"/>
      <c r="S101" s="2"/>
      <c r="T101" s="2">
        <f>-8.08</f>
        <v>-8.08</v>
      </c>
      <c r="U101" s="2"/>
      <c r="V101" s="19"/>
      <c r="W101" s="2"/>
      <c r="X101" s="2">
        <f t="shared" si="2"/>
        <v>8.08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"4327", " - ", "SALES RETURN NON TAXABLE-SCHOO")</f>
        <v xml:space="preserve">          4327 - SALES RETURN NON TAXABLE-SCHOO</v>
      </c>
      <c r="C102" s="11"/>
      <c r="D102" s="2">
        <f t="shared" si="9"/>
        <v>0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-21.87</f>
        <v>-21.87</v>
      </c>
      <c r="Q102" s="2"/>
      <c r="R102" s="19"/>
      <c r="S102" s="2"/>
      <c r="T102" s="2">
        <f>0</f>
        <v>0</v>
      </c>
      <c r="U102" s="2"/>
      <c r="V102" s="19"/>
      <c r="W102" s="2"/>
      <c r="X102" s="2">
        <f t="shared" si="2"/>
        <v>-21.87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"4340", " - ", "SALES RETURN NON TAXABLE-LOGO")</f>
        <v xml:space="preserve">          4340 - SALES RETURN NON TAXABLE-LOGO</v>
      </c>
      <c r="C103" s="11"/>
      <c r="D103" s="2">
        <f t="shared" si="9"/>
        <v>0</v>
      </c>
      <c r="E103" s="2"/>
      <c r="F103" s="19"/>
      <c r="G103" s="2"/>
      <c r="H103" s="2">
        <f>-39.95</f>
        <v>-39.950000000000003</v>
      </c>
      <c r="I103" s="2"/>
      <c r="J103" s="19"/>
      <c r="K103" s="2"/>
      <c r="L103" s="2">
        <f t="shared" si="0"/>
        <v>39.950000000000003</v>
      </c>
      <c r="M103" s="2"/>
      <c r="N103" s="19">
        <f t="shared" si="1"/>
        <v>-1</v>
      </c>
      <c r="O103" s="11"/>
      <c r="P103" s="2">
        <f>-293.45</f>
        <v>-293.45</v>
      </c>
      <c r="Q103" s="2"/>
      <c r="R103" s="19"/>
      <c r="S103" s="2"/>
      <c r="T103" s="2">
        <f>-266.64</f>
        <v>-266.64</v>
      </c>
      <c r="U103" s="2"/>
      <c r="V103" s="19"/>
      <c r="W103" s="2"/>
      <c r="X103" s="2">
        <f t="shared" si="2"/>
        <v>-26.810000000000002</v>
      </c>
      <c r="Y103" s="2"/>
      <c r="Z103" s="19">
        <f t="shared" si="3"/>
        <v>0.10054755475547555</v>
      </c>
    </row>
    <row r="104" spans="1:26" s="24" customFormat="1" hidden="1" outlineLevel="1" x14ac:dyDescent="0.25">
      <c r="A104" s="44"/>
      <c r="B104" s="11" t="str">
        <f>CONCATENATE("          ", "4341", " - ", "SALES RETURN NON TAXABLE-LOGO")</f>
        <v xml:space="preserve">          4341 - SALES RETURN NON TAXABLE-LOGO</v>
      </c>
      <c r="C104" s="11"/>
      <c r="D104" s="2">
        <f>-6.95</f>
        <v>-6.95</v>
      </c>
      <c r="E104" s="2"/>
      <c r="F104" s="19"/>
      <c r="G104" s="2"/>
      <c r="H104" s="2">
        <f>-11.9</f>
        <v>-11.9</v>
      </c>
      <c r="I104" s="2"/>
      <c r="J104" s="19"/>
      <c r="K104" s="2"/>
      <c r="L104" s="2">
        <f t="shared" si="0"/>
        <v>4.95</v>
      </c>
      <c r="M104" s="2"/>
      <c r="N104" s="19">
        <f t="shared" si="1"/>
        <v>-0.41596638655462187</v>
      </c>
      <c r="O104" s="11"/>
      <c r="P104" s="2">
        <f>-10.9</f>
        <v>-10.9</v>
      </c>
      <c r="Q104" s="2"/>
      <c r="R104" s="19"/>
      <c r="S104" s="2"/>
      <c r="T104" s="2">
        <f>-60</f>
        <v>-60</v>
      </c>
      <c r="U104" s="2"/>
      <c r="V104" s="19"/>
      <c r="W104" s="2"/>
      <c r="X104" s="2">
        <f t="shared" si="2"/>
        <v>49.1</v>
      </c>
      <c r="Y104" s="2"/>
      <c r="Z104" s="19">
        <f t="shared" si="3"/>
        <v>-0.81833333333333336</v>
      </c>
    </row>
    <row r="105" spans="1:26" s="24" customFormat="1" hidden="1" outlineLevel="1" x14ac:dyDescent="0.25">
      <c r="A105" s="44"/>
      <c r="B105" s="11" t="str">
        <f>CONCATENATE("          ", "4342", " - ", "SALES RETURN NON TAXABLE-EVERY")</f>
        <v xml:space="preserve">          4342 - SALES RETURN NON TAXABLE-EVERY</v>
      </c>
      <c r="C105" s="11"/>
      <c r="D105" s="2">
        <f>-92.85</f>
        <v>-92.85</v>
      </c>
      <c r="E105" s="2"/>
      <c r="F105" s="19"/>
      <c r="G105" s="2"/>
      <c r="H105" s="2">
        <f t="shared" ref="H105:H106" si="10">0</f>
        <v>0</v>
      </c>
      <c r="I105" s="2"/>
      <c r="J105" s="19"/>
      <c r="K105" s="2"/>
      <c r="L105" s="2">
        <f t="shared" si="0"/>
        <v>-92.85</v>
      </c>
      <c r="M105" s="2"/>
      <c r="N105" s="19">
        <f t="shared" si="1"/>
        <v>0</v>
      </c>
      <c r="O105" s="11"/>
      <c r="P105" s="2">
        <f>-102.85</f>
        <v>-102.85</v>
      </c>
      <c r="Q105" s="2"/>
      <c r="R105" s="19"/>
      <c r="S105" s="2"/>
      <c r="T105" s="2">
        <f t="shared" ref="T105:T106" si="11">0</f>
        <v>0</v>
      </c>
      <c r="U105" s="2"/>
      <c r="V105" s="19"/>
      <c r="W105" s="2"/>
      <c r="X105" s="2">
        <f t="shared" si="2"/>
        <v>-102.85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"4346", " - ", "SALES RETURN NON TAXABLE-COIN-")</f>
        <v xml:space="preserve">          4346 - SALES RETURN NON TAXABLE-COIN-</v>
      </c>
      <c r="C106" s="11"/>
      <c r="D106" s="2">
        <f>0</f>
        <v>0</v>
      </c>
      <c r="E106" s="2"/>
      <c r="F106" s="19"/>
      <c r="G106" s="2"/>
      <c r="H106" s="2">
        <f t="shared" si="10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-8.15</f>
        <v>-8.15</v>
      </c>
      <c r="Q106" s="2"/>
      <c r="R106" s="19"/>
      <c r="S106" s="2"/>
      <c r="T106" s="2">
        <f t="shared" si="11"/>
        <v>0</v>
      </c>
      <c r="U106" s="2"/>
      <c r="V106" s="19"/>
      <c r="W106" s="2"/>
      <c r="X106" s="2">
        <f t="shared" si="2"/>
        <v>-8.15</v>
      </c>
      <c r="Y106" s="2"/>
      <c r="Z106" s="19">
        <f t="shared" si="3"/>
        <v>0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collapsed="1" x14ac:dyDescent="0.25">
      <c r="A108" s="10"/>
      <c r="B108" s="29" t="s">
        <v>8</v>
      </c>
      <c r="C108" s="10"/>
      <c r="D108" s="4">
        <f>SUM(OSRRefD16x_0)</f>
        <v>472591.70999999996</v>
      </c>
      <c r="E108" s="4"/>
      <c r="F108" s="12">
        <f t="shared" ref="F108:F159" si="12">IF(D$12=0,0,D108/D$12)</f>
        <v>0.46865531466928551</v>
      </c>
      <c r="G108" s="4"/>
      <c r="H108" s="4">
        <f>SUM(OSRRefH16x_0)</f>
        <v>450462.02999999997</v>
      </c>
      <c r="I108" s="4"/>
      <c r="J108" s="12">
        <f t="shared" ref="J108:J159" si="13">IF(H$12=0,0,H108/H$12)</f>
        <v>0.46993878878209872</v>
      </c>
      <c r="K108" s="4"/>
      <c r="L108" s="4">
        <f t="shared" ref="L108:L159" si="14">+D108-H108</f>
        <v>22129.679999999993</v>
      </c>
      <c r="M108" s="4"/>
      <c r="N108" s="12">
        <f t="shared" ref="N108:N159" si="15">IF(H108=0,0,L108/H108)</f>
        <v>4.9126626721457511E-2</v>
      </c>
      <c r="O108" s="10"/>
      <c r="P108" s="4">
        <f>SUM(OSRRefP16x_0)</f>
        <v>3348731.82</v>
      </c>
      <c r="Q108" s="4"/>
      <c r="R108" s="12">
        <f t="shared" ref="R108:R159" si="16">IF(P$12=0,0,P108/P$12)</f>
        <v>0.58351574772098169</v>
      </c>
      <c r="S108" s="4"/>
      <c r="T108" s="4">
        <f>SUM(OSRRefT16x_0)</f>
        <v>3663715.8399999989</v>
      </c>
      <c r="U108" s="4"/>
      <c r="V108" s="12">
        <f t="shared" ref="V108:V159" si="17">IF(T$12=0,0,T108/T$12)</f>
        <v>0.60159172893815549</v>
      </c>
      <c r="W108" s="4"/>
      <c r="X108" s="4">
        <f t="shared" ref="X108:X159" si="18">+P108-T108</f>
        <v>-314984.01999999909</v>
      </c>
      <c r="Y108" s="4"/>
      <c r="Z108" s="12">
        <f t="shared" ref="Z108:Z159" si="19">IF(T108=0,0,X108/T108)</f>
        <v>-8.5973922038669673E-2</v>
      </c>
    </row>
    <row r="109" spans="1:26" s="24" customFormat="1" hidden="1" outlineLevel="1" x14ac:dyDescent="0.25">
      <c r="A109" s="44"/>
      <c r="B109" s="11" t="str">
        <f>CONCATENATE("          ", "5001", " - ", "PURCHASES @ COST-NEW TEXT")</f>
        <v xml:space="preserve">          5001 - PURCHASES @ COST-NEW TEXT</v>
      </c>
      <c r="C109" s="11"/>
      <c r="D109" s="2">
        <v>-175502.53</v>
      </c>
      <c r="E109" s="2"/>
      <c r="F109" s="19">
        <f t="shared" si="12"/>
        <v>-0.17404070296198323</v>
      </c>
      <c r="G109" s="2"/>
      <c r="H109" s="2">
        <v>-327927.62</v>
      </c>
      <c r="I109" s="2"/>
      <c r="J109" s="19">
        <f t="shared" si="13"/>
        <v>-0.34210632259281948</v>
      </c>
      <c r="K109" s="2"/>
      <c r="L109" s="2">
        <f t="shared" si="14"/>
        <v>152425.09</v>
      </c>
      <c r="M109" s="2"/>
      <c r="N109" s="19">
        <f t="shared" si="15"/>
        <v>-0.46481321091526234</v>
      </c>
      <c r="O109" s="11"/>
      <c r="P109" s="2">
        <v>1757148.42</v>
      </c>
      <c r="Q109" s="2"/>
      <c r="R109" s="19">
        <f t="shared" si="16"/>
        <v>0.30618270714584772</v>
      </c>
      <c r="S109" s="2"/>
      <c r="T109" s="2">
        <v>1724550.02</v>
      </c>
      <c r="U109" s="2"/>
      <c r="V109" s="19">
        <f t="shared" si="17"/>
        <v>0.28317562646237626</v>
      </c>
      <c r="W109" s="2"/>
      <c r="X109" s="2">
        <f t="shared" si="18"/>
        <v>32598.399999999907</v>
      </c>
      <c r="Y109" s="2"/>
      <c r="Z109" s="19">
        <f t="shared" si="19"/>
        <v>1.8902554070307515E-2</v>
      </c>
    </row>
    <row r="110" spans="1:26" s="24" customFormat="1" hidden="1" outlineLevel="1" x14ac:dyDescent="0.25">
      <c r="A110" s="44"/>
      <c r="B110" s="11" t="str">
        <f>CONCATENATE("          ", "5002", " - ", "PURCHASES @ COST-USED TEXT")</f>
        <v xml:space="preserve">          5002 - PURCHASES @ COST-USED TEXT</v>
      </c>
      <c r="C110" s="11"/>
      <c r="D110" s="2">
        <v>14221.93</v>
      </c>
      <c r="E110" s="2"/>
      <c r="F110" s="19">
        <f t="shared" si="12"/>
        <v>1.4103470158955078E-2</v>
      </c>
      <c r="G110" s="2"/>
      <c r="H110" s="2">
        <v>1917.24</v>
      </c>
      <c r="I110" s="2"/>
      <c r="J110" s="19">
        <f t="shared" si="13"/>
        <v>2.000136267655214E-3</v>
      </c>
      <c r="K110" s="2"/>
      <c r="L110" s="2">
        <f t="shared" si="14"/>
        <v>12304.69</v>
      </c>
      <c r="M110" s="2"/>
      <c r="N110" s="19">
        <f t="shared" si="15"/>
        <v>6.417918466128393</v>
      </c>
      <c r="O110" s="11"/>
      <c r="P110" s="2">
        <v>368033.17</v>
      </c>
      <c r="Q110" s="2"/>
      <c r="R110" s="19">
        <f t="shared" si="16"/>
        <v>6.4129695037410658E-2</v>
      </c>
      <c r="S110" s="2"/>
      <c r="T110" s="2">
        <v>316967.42000000004</v>
      </c>
      <c r="U110" s="2"/>
      <c r="V110" s="19">
        <f t="shared" si="17"/>
        <v>5.2046879873431061E-2</v>
      </c>
      <c r="W110" s="2"/>
      <c r="X110" s="2">
        <f t="shared" si="18"/>
        <v>51065.749999999942</v>
      </c>
      <c r="Y110" s="2"/>
      <c r="Z110" s="19">
        <f t="shared" si="19"/>
        <v>0.16110725196930314</v>
      </c>
    </row>
    <row r="111" spans="1:26" s="24" customFormat="1" hidden="1" outlineLevel="1" x14ac:dyDescent="0.25">
      <c r="A111" s="44"/>
      <c r="B111" s="11" t="str">
        <f>CONCATENATE("          ", "5003", " - ", "PURCHASES @ COST-RENTAL TEXT")</f>
        <v xml:space="preserve">          5003 - PURCHASES @ COST-RENTAL TEXT</v>
      </c>
      <c r="C111" s="11"/>
      <c r="D111" s="2"/>
      <c r="E111" s="2"/>
      <c r="F111" s="19">
        <f t="shared" si="12"/>
        <v>0</v>
      </c>
      <c r="G111" s="2"/>
      <c r="H111" s="2">
        <v>707.2</v>
      </c>
      <c r="I111" s="2"/>
      <c r="J111" s="19">
        <f t="shared" si="13"/>
        <v>7.3777741361841362E-4</v>
      </c>
      <c r="K111" s="2"/>
      <c r="L111" s="2">
        <f t="shared" si="14"/>
        <v>-707.2</v>
      </c>
      <c r="M111" s="2"/>
      <c r="N111" s="19">
        <f t="shared" si="15"/>
        <v>-1</v>
      </c>
      <c r="O111" s="11"/>
      <c r="P111" s="2">
        <v>-78.400000000000006</v>
      </c>
      <c r="Q111" s="2"/>
      <c r="R111" s="19">
        <f t="shared" si="16"/>
        <v>-1.366118192806642E-5</v>
      </c>
      <c r="S111" s="2"/>
      <c r="T111" s="2">
        <v>185.1</v>
      </c>
      <c r="U111" s="2"/>
      <c r="V111" s="19">
        <f t="shared" si="17"/>
        <v>3.0393904410024501E-5</v>
      </c>
      <c r="W111" s="2"/>
      <c r="X111" s="2">
        <f t="shared" si="18"/>
        <v>-263.5</v>
      </c>
      <c r="Y111" s="2"/>
      <c r="Z111" s="19">
        <f t="shared" si="19"/>
        <v>-1.4235548352242031</v>
      </c>
    </row>
    <row r="112" spans="1:26" s="24" customFormat="1" hidden="1" outlineLevel="1" x14ac:dyDescent="0.25">
      <c r="A112" s="44"/>
      <c r="B112" s="11" t="str">
        <f>CONCATENATE("          ", "5004", " - ", "PURCHASES @ COST-DIGITAL TEXT")</f>
        <v xml:space="preserve">          5004 - PURCHASES @ COST-DIGITAL TEXT</v>
      </c>
      <c r="C112" s="11"/>
      <c r="D112" s="2">
        <v>-30949.360000000001</v>
      </c>
      <c r="E112" s="2"/>
      <c r="F112" s="19">
        <f t="shared" si="12"/>
        <v>-3.0691571059536783E-2</v>
      </c>
      <c r="G112" s="2"/>
      <c r="H112" s="2">
        <v>51916.84</v>
      </c>
      <c r="I112" s="2"/>
      <c r="J112" s="19">
        <f t="shared" si="13"/>
        <v>5.416158362336114E-2</v>
      </c>
      <c r="K112" s="2"/>
      <c r="L112" s="2">
        <f t="shared" si="14"/>
        <v>-82866.2</v>
      </c>
      <c r="M112" s="2"/>
      <c r="N112" s="19">
        <f t="shared" si="15"/>
        <v>-1.5961333548035668</v>
      </c>
      <c r="O112" s="11"/>
      <c r="P112" s="2">
        <v>322779.02999999997</v>
      </c>
      <c r="Q112" s="2"/>
      <c r="R112" s="19">
        <f t="shared" si="16"/>
        <v>5.6244171573913364E-2</v>
      </c>
      <c r="S112" s="2"/>
      <c r="T112" s="2">
        <v>291596.33</v>
      </c>
      <c r="U112" s="2"/>
      <c r="V112" s="19">
        <f t="shared" si="17"/>
        <v>4.7880880498832851E-2</v>
      </c>
      <c r="W112" s="2"/>
      <c r="X112" s="2">
        <f t="shared" si="18"/>
        <v>31182.699999999953</v>
      </c>
      <c r="Y112" s="2"/>
      <c r="Z112" s="19">
        <f t="shared" si="19"/>
        <v>0.10693790281928429</v>
      </c>
    </row>
    <row r="113" spans="1:26" s="24" customFormat="1" hidden="1" outlineLevel="1" x14ac:dyDescent="0.25">
      <c r="A113" s="44"/>
      <c r="B113" s="11" t="str">
        <f>CONCATENATE("          ", "5011", " - ", "PURCHASES @ COST-NO VALUE TEXT")</f>
        <v xml:space="preserve">          5011 - PURCHASES @ COST-NO VALUE TEXT</v>
      </c>
      <c r="C113" s="11"/>
      <c r="D113" s="2">
        <v>90</v>
      </c>
      <c r="E113" s="2"/>
      <c r="F113" s="19">
        <f t="shared" si="12"/>
        <v>8.9250355915544298E-5</v>
      </c>
      <c r="G113" s="2"/>
      <c r="H113" s="2">
        <v>1692</v>
      </c>
      <c r="I113" s="2"/>
      <c r="J113" s="19">
        <f t="shared" si="13"/>
        <v>1.7651574997770867E-3</v>
      </c>
      <c r="K113" s="2"/>
      <c r="L113" s="2">
        <f t="shared" si="14"/>
        <v>-1602</v>
      </c>
      <c r="M113" s="2"/>
      <c r="N113" s="19">
        <f t="shared" si="15"/>
        <v>-0.94680851063829785</v>
      </c>
      <c r="O113" s="11"/>
      <c r="P113" s="2">
        <v>3675</v>
      </c>
      <c r="Q113" s="2"/>
      <c r="R113" s="19">
        <f t="shared" si="16"/>
        <v>6.403679028781134E-4</v>
      </c>
      <c r="S113" s="2"/>
      <c r="T113" s="2">
        <v>2775</v>
      </c>
      <c r="U113" s="2"/>
      <c r="V113" s="19">
        <f t="shared" si="17"/>
        <v>4.556622622248406E-4</v>
      </c>
      <c r="W113" s="2"/>
      <c r="X113" s="2">
        <f t="shared" si="18"/>
        <v>900</v>
      </c>
      <c r="Y113" s="2"/>
      <c r="Z113" s="19">
        <f t="shared" si="19"/>
        <v>0.32432432432432434</v>
      </c>
    </row>
    <row r="114" spans="1:26" s="24" customFormat="1" hidden="1" outlineLevel="1" x14ac:dyDescent="0.25">
      <c r="A114" s="44"/>
      <c r="B114" s="11" t="str">
        <f>CONCATENATE("          ", "5013", " - ", "PURCHASES @ COST-TRADE BOOKS")</f>
        <v xml:space="preserve">          5013 - PURCHASES @ COST-TRADE BOOKS</v>
      </c>
      <c r="C114" s="11"/>
      <c r="D114" s="2">
        <v>212.56</v>
      </c>
      <c r="E114" s="2"/>
      <c r="F114" s="19">
        <f t="shared" si="12"/>
        <v>2.1078950726008996E-4</v>
      </c>
      <c r="G114" s="2"/>
      <c r="H114" s="2">
        <v>557.55999999999995</v>
      </c>
      <c r="I114" s="2"/>
      <c r="J114" s="19">
        <f t="shared" si="13"/>
        <v>5.8166738509202859E-4</v>
      </c>
      <c r="K114" s="2"/>
      <c r="L114" s="2">
        <f t="shared" si="14"/>
        <v>-344.99999999999994</v>
      </c>
      <c r="M114" s="2"/>
      <c r="N114" s="19">
        <f t="shared" si="15"/>
        <v>-0.6187674869072386</v>
      </c>
      <c r="O114" s="11"/>
      <c r="P114" s="2">
        <v>687.35</v>
      </c>
      <c r="Q114" s="2"/>
      <c r="R114" s="19">
        <f t="shared" si="16"/>
        <v>1.1977057905939353E-4</v>
      </c>
      <c r="S114" s="2"/>
      <c r="T114" s="2">
        <v>1136.94</v>
      </c>
      <c r="U114" s="2"/>
      <c r="V114" s="19">
        <f t="shared" si="17"/>
        <v>1.866885233924001E-4</v>
      </c>
      <c r="W114" s="2"/>
      <c r="X114" s="2">
        <f t="shared" si="18"/>
        <v>-449.59000000000003</v>
      </c>
      <c r="Y114" s="2"/>
      <c r="Z114" s="19">
        <f t="shared" si="19"/>
        <v>-0.39543863352507608</v>
      </c>
    </row>
    <row r="115" spans="1:26" s="24" customFormat="1" hidden="1" outlineLevel="1" x14ac:dyDescent="0.25">
      <c r="A115" s="44"/>
      <c r="B115" s="11" t="str">
        <f>CONCATENATE("          ", "5014", " - ", "PURCHASES @ COST-REMAINDERS")</f>
        <v xml:space="preserve">          5014 - PURCHASES @ COST-REMAINDERS</v>
      </c>
      <c r="C115" s="11"/>
      <c r="D115" s="2">
        <v>52</v>
      </c>
      <c r="E115" s="2"/>
      <c r="F115" s="19">
        <f t="shared" si="12"/>
        <v>5.1566872306758931E-5</v>
      </c>
      <c r="G115" s="2"/>
      <c r="H115" s="2">
        <v>87.6</v>
      </c>
      <c r="I115" s="2"/>
      <c r="J115" s="19">
        <f t="shared" si="13"/>
        <v>9.1387586867891724E-5</v>
      </c>
      <c r="K115" s="2"/>
      <c r="L115" s="2">
        <f t="shared" si="14"/>
        <v>-35.599999999999994</v>
      </c>
      <c r="M115" s="2"/>
      <c r="N115" s="19">
        <f t="shared" si="15"/>
        <v>-0.40639269406392692</v>
      </c>
      <c r="O115" s="11"/>
      <c r="P115" s="2">
        <v>341.97</v>
      </c>
      <c r="Q115" s="2"/>
      <c r="R115" s="19">
        <f t="shared" si="16"/>
        <v>5.9588193672715221E-5</v>
      </c>
      <c r="S115" s="2"/>
      <c r="T115" s="2">
        <v>488.86</v>
      </c>
      <c r="U115" s="2"/>
      <c r="V115" s="19">
        <f t="shared" si="17"/>
        <v>8.0272091355400207E-5</v>
      </c>
      <c r="W115" s="2"/>
      <c r="X115" s="2">
        <f t="shared" si="18"/>
        <v>-146.88999999999999</v>
      </c>
      <c r="Y115" s="2"/>
      <c r="Z115" s="19">
        <f t="shared" si="19"/>
        <v>-0.30047457349752482</v>
      </c>
    </row>
    <row r="116" spans="1:26" s="24" customFormat="1" hidden="1" outlineLevel="1" x14ac:dyDescent="0.25">
      <c r="A116" s="44"/>
      <c r="B116" s="11" t="str">
        <f>CONCATENATE("          ", "5017", " - ", "PURCHASES @ COST-DORM/HOUSEWAR")</f>
        <v xml:space="preserve">          5017 - PURCHASES @ COST-DORM/HOUSEWAR</v>
      </c>
      <c r="C116" s="11"/>
      <c r="D116" s="2"/>
      <c r="E116" s="2"/>
      <c r="F116" s="19">
        <f t="shared" si="12"/>
        <v>0</v>
      </c>
      <c r="G116" s="2"/>
      <c r="H116" s="2">
        <v>239.9</v>
      </c>
      <c r="I116" s="2"/>
      <c r="J116" s="19">
        <f t="shared" si="13"/>
        <v>2.5027262659368981E-4</v>
      </c>
      <c r="K116" s="2"/>
      <c r="L116" s="2">
        <f t="shared" si="14"/>
        <v>-239.9</v>
      </c>
      <c r="M116" s="2"/>
      <c r="N116" s="19">
        <f t="shared" si="15"/>
        <v>-1</v>
      </c>
      <c r="O116" s="11"/>
      <c r="P116" s="2">
        <v>0</v>
      </c>
      <c r="Q116" s="2"/>
      <c r="R116" s="19">
        <f t="shared" si="16"/>
        <v>0</v>
      </c>
      <c r="S116" s="2"/>
      <c r="T116" s="2">
        <v>239.9</v>
      </c>
      <c r="U116" s="2"/>
      <c r="V116" s="19">
        <f t="shared" si="17"/>
        <v>3.9392207822608743E-5</v>
      </c>
      <c r="W116" s="2"/>
      <c r="X116" s="2">
        <f t="shared" si="18"/>
        <v>-239.9</v>
      </c>
      <c r="Y116" s="2"/>
      <c r="Z116" s="19">
        <f t="shared" si="19"/>
        <v>-1</v>
      </c>
    </row>
    <row r="117" spans="1:26" s="24" customFormat="1" hidden="1" outlineLevel="1" x14ac:dyDescent="0.25">
      <c r="A117" s="44"/>
      <c r="B117" s="11" t="str">
        <f>CONCATENATE("          ", "5018", " - ", "PURCHASES @ COST-STUDY GUIDES")</f>
        <v xml:space="preserve">          5018 - PURCHASES @ COST-STUDY GUIDES</v>
      </c>
      <c r="C117" s="11"/>
      <c r="D117" s="2">
        <v>298.16000000000003</v>
      </c>
      <c r="E117" s="2"/>
      <c r="F117" s="19">
        <f t="shared" si="12"/>
        <v>2.9567651244198547E-4</v>
      </c>
      <c r="G117" s="2"/>
      <c r="H117" s="2">
        <v>-0.12</v>
      </c>
      <c r="I117" s="2"/>
      <c r="J117" s="19">
        <f t="shared" si="13"/>
        <v>-1.2518847516149551E-7</v>
      </c>
      <c r="K117" s="2"/>
      <c r="L117" s="2">
        <f t="shared" si="14"/>
        <v>298.28000000000003</v>
      </c>
      <c r="M117" s="2"/>
      <c r="N117" s="19">
        <f t="shared" si="15"/>
        <v>-2485.666666666667</v>
      </c>
      <c r="O117" s="11"/>
      <c r="P117" s="2">
        <v>802.09</v>
      </c>
      <c r="Q117" s="2"/>
      <c r="R117" s="19">
        <f t="shared" si="16"/>
        <v>1.3976399761074992E-4</v>
      </c>
      <c r="S117" s="2"/>
      <c r="T117" s="2">
        <v>1034.55</v>
      </c>
      <c r="U117" s="2"/>
      <c r="V117" s="19">
        <f t="shared" si="17"/>
        <v>1.6987581743593109E-4</v>
      </c>
      <c r="W117" s="2"/>
      <c r="X117" s="2">
        <f t="shared" si="18"/>
        <v>-232.45999999999992</v>
      </c>
      <c r="Y117" s="2"/>
      <c r="Z117" s="19">
        <f t="shared" si="19"/>
        <v>-0.22469672804601029</v>
      </c>
    </row>
    <row r="118" spans="1:26" s="24" customFormat="1" hidden="1" outlineLevel="1" x14ac:dyDescent="0.25">
      <c r="A118" s="44"/>
      <c r="B118" s="11" t="str">
        <f>CONCATENATE("          ", "5025", " - ", "PURCHASES @ COST-TEST FORMS")</f>
        <v xml:space="preserve">          5025 - PURCHASES @ COST-TEST FORMS</v>
      </c>
      <c r="C118" s="11"/>
      <c r="D118" s="2">
        <v>0</v>
      </c>
      <c r="E118" s="2"/>
      <c r="F118" s="19">
        <f t="shared" si="12"/>
        <v>0</v>
      </c>
      <c r="G118" s="2"/>
      <c r="H118" s="2">
        <v>0</v>
      </c>
      <c r="I118" s="2"/>
      <c r="J118" s="19">
        <f t="shared" si="13"/>
        <v>0</v>
      </c>
      <c r="K118" s="2"/>
      <c r="L118" s="2">
        <f t="shared" si="14"/>
        <v>0</v>
      </c>
      <c r="M118" s="2"/>
      <c r="N118" s="19">
        <f t="shared" si="15"/>
        <v>0</v>
      </c>
      <c r="O118" s="11"/>
      <c r="P118" s="2">
        <v>3252.39</v>
      </c>
      <c r="Q118" s="2"/>
      <c r="R118" s="19">
        <f t="shared" si="16"/>
        <v>5.6672820779367263E-4</v>
      </c>
      <c r="S118" s="2"/>
      <c r="T118" s="2">
        <v>1050</v>
      </c>
      <c r="U118" s="2"/>
      <c r="V118" s="19">
        <f t="shared" si="17"/>
        <v>1.724127478688586E-4</v>
      </c>
      <c r="W118" s="2"/>
      <c r="X118" s="2">
        <f t="shared" si="18"/>
        <v>2202.39</v>
      </c>
      <c r="Y118" s="2"/>
      <c r="Z118" s="19">
        <f t="shared" si="19"/>
        <v>2.0975142857142854</v>
      </c>
    </row>
    <row r="119" spans="1:26" s="24" customFormat="1" hidden="1" outlineLevel="1" x14ac:dyDescent="0.25">
      <c r="A119" s="44"/>
      <c r="B119" s="11" t="str">
        <f>CONCATENATE("          ", "5026", " - ", "PURCHASES @ COST-WRITING INSTR")</f>
        <v xml:space="preserve">          5026 - PURCHASES @ COST-WRITING INSTR</v>
      </c>
      <c r="C119" s="11"/>
      <c r="D119" s="2">
        <v>10530.19</v>
      </c>
      <c r="E119" s="2"/>
      <c r="F119" s="19">
        <f t="shared" si="12"/>
        <v>1.0442480059536728E-2</v>
      </c>
      <c r="G119" s="2"/>
      <c r="H119" s="2">
        <v>4384.4399999999996</v>
      </c>
      <c r="I119" s="2"/>
      <c r="J119" s="19">
        <f t="shared" si="13"/>
        <v>4.5740113169755615E-3</v>
      </c>
      <c r="K119" s="2"/>
      <c r="L119" s="2">
        <f t="shared" si="14"/>
        <v>6145.7500000000009</v>
      </c>
      <c r="M119" s="2"/>
      <c r="N119" s="19">
        <f t="shared" si="15"/>
        <v>1.4017183494357321</v>
      </c>
      <c r="O119" s="11"/>
      <c r="P119" s="2">
        <v>25317.57</v>
      </c>
      <c r="Q119" s="2"/>
      <c r="R119" s="19">
        <f t="shared" si="16"/>
        <v>4.411580736563221E-3</v>
      </c>
      <c r="S119" s="2"/>
      <c r="T119" s="2">
        <v>27224.929999999997</v>
      </c>
      <c r="U119" s="2"/>
      <c r="V119" s="19">
        <f t="shared" si="17"/>
        <v>4.4704047541307846E-3</v>
      </c>
      <c r="W119" s="2"/>
      <c r="X119" s="2">
        <f t="shared" si="18"/>
        <v>-1907.3599999999969</v>
      </c>
      <c r="Y119" s="2"/>
      <c r="Z119" s="19">
        <f t="shared" si="19"/>
        <v>-7.0059316956921372E-2</v>
      </c>
    </row>
    <row r="120" spans="1:26" s="24" customFormat="1" hidden="1" outlineLevel="1" x14ac:dyDescent="0.25">
      <c r="A120" s="44"/>
      <c r="B120" s="11" t="str">
        <f>CONCATENATE("          ", "5027", " - ", "PURCHASES @ COST-SCHOOL SUPPLI")</f>
        <v xml:space="preserve">          5027 - PURCHASES @ COST-SCHOOL SUPPLI</v>
      </c>
      <c r="C120" s="11"/>
      <c r="D120" s="2">
        <v>9839.7000000000007</v>
      </c>
      <c r="E120" s="2"/>
      <c r="F120" s="19">
        <f t="shared" si="12"/>
        <v>9.7577414122464595E-3</v>
      </c>
      <c r="G120" s="2"/>
      <c r="H120" s="2">
        <v>15846.8</v>
      </c>
      <c r="I120" s="2"/>
      <c r="J120" s="19">
        <f t="shared" si="13"/>
        <v>1.6531972734909892E-2</v>
      </c>
      <c r="K120" s="2"/>
      <c r="L120" s="2">
        <f t="shared" si="14"/>
        <v>-6007.0999999999985</v>
      </c>
      <c r="M120" s="2"/>
      <c r="N120" s="19">
        <f t="shared" si="15"/>
        <v>-0.37907337759042825</v>
      </c>
      <c r="O120" s="11"/>
      <c r="P120" s="2">
        <v>72022.38</v>
      </c>
      <c r="Q120" s="2"/>
      <c r="R120" s="19">
        <f t="shared" si="16"/>
        <v>1.2549883113167504E-2</v>
      </c>
      <c r="S120" s="2"/>
      <c r="T120" s="2">
        <v>74579.03</v>
      </c>
      <c r="U120" s="2"/>
      <c r="V120" s="19">
        <f t="shared" si="17"/>
        <v>1.2246071900660991E-2</v>
      </c>
      <c r="W120" s="2"/>
      <c r="X120" s="2">
        <f t="shared" si="18"/>
        <v>-2556.6499999999942</v>
      </c>
      <c r="Y120" s="2"/>
      <c r="Z120" s="19">
        <f t="shared" si="19"/>
        <v>-3.4281084106349925E-2</v>
      </c>
    </row>
    <row r="121" spans="1:26" s="24" customFormat="1" hidden="1" outlineLevel="1" x14ac:dyDescent="0.25">
      <c r="A121" s="44"/>
      <c r="B121" s="11" t="str">
        <f>CONCATENATE("          ", "5028", " - ", "PURCHASES @ COST-ART/TECH")</f>
        <v xml:space="preserve">          5028 - PURCHASES @ COST-ART/TECH</v>
      </c>
      <c r="C121" s="11"/>
      <c r="D121" s="2">
        <v>19494.289999999997</v>
      </c>
      <c r="E121" s="2"/>
      <c r="F121" s="19">
        <f t="shared" si="12"/>
        <v>1.9331914675787067E-2</v>
      </c>
      <c r="G121" s="2"/>
      <c r="H121" s="2">
        <v>29619.939999999995</v>
      </c>
      <c r="I121" s="2"/>
      <c r="J121" s="19">
        <f t="shared" si="13"/>
        <v>3.0900626024791558E-2</v>
      </c>
      <c r="K121" s="2"/>
      <c r="L121" s="2">
        <f t="shared" si="14"/>
        <v>-10125.649999999998</v>
      </c>
      <c r="M121" s="2"/>
      <c r="N121" s="19">
        <f t="shared" si="15"/>
        <v>-0.34185248180786321</v>
      </c>
      <c r="O121" s="11"/>
      <c r="P121" s="2">
        <v>90339.069999999992</v>
      </c>
      <c r="Q121" s="2"/>
      <c r="R121" s="19">
        <f t="shared" si="16"/>
        <v>1.5741562123499069E-2</v>
      </c>
      <c r="S121" s="2"/>
      <c r="T121" s="2">
        <v>82795.509999999995</v>
      </c>
      <c r="U121" s="2"/>
      <c r="V121" s="19">
        <f t="shared" si="17"/>
        <v>1.3595239419336724E-2</v>
      </c>
      <c r="W121" s="2"/>
      <c r="X121" s="2">
        <f t="shared" si="18"/>
        <v>7543.5599999999977</v>
      </c>
      <c r="Y121" s="2"/>
      <c r="Z121" s="19">
        <f t="shared" si="19"/>
        <v>9.1110737768267849E-2</v>
      </c>
    </row>
    <row r="122" spans="1:26" s="24" customFormat="1" hidden="1" outlineLevel="1" x14ac:dyDescent="0.25">
      <c r="A122" s="44"/>
      <c r="B122" s="11" t="str">
        <f>CONCATENATE("          ", "5031", " - ", "PURCHASES @ COST-FOOD")</f>
        <v xml:space="preserve">          5031 - PURCHASES @ COST-FOOD</v>
      </c>
      <c r="C122" s="11"/>
      <c r="D122" s="2">
        <v>7839.04</v>
      </c>
      <c r="E122" s="2"/>
      <c r="F122" s="19">
        <f t="shared" si="12"/>
        <v>7.7737456670687599E-3</v>
      </c>
      <c r="G122" s="2"/>
      <c r="H122" s="2">
        <v>6328.18</v>
      </c>
      <c r="I122" s="2"/>
      <c r="J122" s="19">
        <f t="shared" si="13"/>
        <v>6.6017933728956058E-3</v>
      </c>
      <c r="K122" s="2"/>
      <c r="L122" s="2">
        <f t="shared" si="14"/>
        <v>1510.8599999999997</v>
      </c>
      <c r="M122" s="2"/>
      <c r="N122" s="19">
        <f t="shared" si="15"/>
        <v>0.23875111011380834</v>
      </c>
      <c r="O122" s="11"/>
      <c r="P122" s="2">
        <v>15989.089999999998</v>
      </c>
      <c r="Q122" s="2"/>
      <c r="R122" s="19">
        <f t="shared" si="16"/>
        <v>2.7860952468651461E-3</v>
      </c>
      <c r="S122" s="2"/>
      <c r="T122" s="2">
        <v>13421.61</v>
      </c>
      <c r="U122" s="2"/>
      <c r="V122" s="19">
        <f t="shared" si="17"/>
        <v>2.20386348659443E-3</v>
      </c>
      <c r="W122" s="2"/>
      <c r="X122" s="2">
        <f t="shared" si="18"/>
        <v>2567.4799999999977</v>
      </c>
      <c r="Y122" s="2"/>
      <c r="Z122" s="19">
        <f t="shared" si="19"/>
        <v>0.19129448702502885</v>
      </c>
    </row>
    <row r="123" spans="1:26" s="24" customFormat="1" hidden="1" outlineLevel="1" x14ac:dyDescent="0.25">
      <c r="A123" s="44"/>
      <c r="B123" s="11" t="str">
        <f>CONCATENATE("          ", "5032", " - ", "PURCHASES @ COST-JUICE")</f>
        <v xml:space="preserve">          5032 - PURCHASES @ COST-JUICE</v>
      </c>
      <c r="C123" s="11"/>
      <c r="D123" s="2">
        <v>2565.13</v>
      </c>
      <c r="E123" s="2"/>
      <c r="F123" s="19">
        <f t="shared" si="12"/>
        <v>2.5437640607737797E-3</v>
      </c>
      <c r="G123" s="2"/>
      <c r="H123" s="2">
        <v>1808.19</v>
      </c>
      <c r="I123" s="2"/>
      <c r="J123" s="19">
        <f t="shared" si="13"/>
        <v>1.8863712408522049E-3</v>
      </c>
      <c r="K123" s="2"/>
      <c r="L123" s="2">
        <f t="shared" si="14"/>
        <v>756.94</v>
      </c>
      <c r="M123" s="2"/>
      <c r="N123" s="19">
        <f t="shared" si="15"/>
        <v>0.41861751254016449</v>
      </c>
      <c r="O123" s="11"/>
      <c r="P123" s="2">
        <v>3384.28</v>
      </c>
      <c r="Q123" s="2"/>
      <c r="R123" s="19">
        <f t="shared" si="16"/>
        <v>5.8971000989179367E-4</v>
      </c>
      <c r="S123" s="2"/>
      <c r="T123" s="2">
        <v>3835.77</v>
      </c>
      <c r="U123" s="2"/>
      <c r="V123" s="19">
        <f t="shared" si="17"/>
        <v>6.2984347227898257E-4</v>
      </c>
      <c r="W123" s="2"/>
      <c r="X123" s="2">
        <f t="shared" si="18"/>
        <v>-451.48999999999978</v>
      </c>
      <c r="Y123" s="2"/>
      <c r="Z123" s="19">
        <f t="shared" si="19"/>
        <v>-0.11770518044616851</v>
      </c>
    </row>
    <row r="124" spans="1:26" s="24" customFormat="1" hidden="1" outlineLevel="1" x14ac:dyDescent="0.25">
      <c r="A124" s="44"/>
      <c r="B124" s="11" t="str">
        <f>CONCATENATE("          ", "5033", " - ", "PURCHASES @ COST-CANDY")</f>
        <v xml:space="preserve">          5033 - PURCHASES @ COST-CANDY</v>
      </c>
      <c r="C124" s="11"/>
      <c r="D124" s="2">
        <v>2102.09</v>
      </c>
      <c r="E124" s="2"/>
      <c r="F124" s="19">
        <f t="shared" si="12"/>
        <v>2.0845808962945173E-3</v>
      </c>
      <c r="G124" s="2"/>
      <c r="H124" s="2">
        <v>1794.06</v>
      </c>
      <c r="I124" s="2"/>
      <c r="J124" s="19">
        <f t="shared" si="13"/>
        <v>1.8716302979019388E-3</v>
      </c>
      <c r="K124" s="2"/>
      <c r="L124" s="2">
        <f t="shared" si="14"/>
        <v>308.0300000000002</v>
      </c>
      <c r="M124" s="2"/>
      <c r="N124" s="19">
        <f t="shared" si="15"/>
        <v>0.1716943691961251</v>
      </c>
      <c r="O124" s="11"/>
      <c r="P124" s="2">
        <v>4455.2</v>
      </c>
      <c r="Q124" s="2"/>
      <c r="R124" s="19">
        <f t="shared" si="16"/>
        <v>7.7631757303471311E-4</v>
      </c>
      <c r="S124" s="2"/>
      <c r="T124" s="2">
        <v>3566.92</v>
      </c>
      <c r="U124" s="2"/>
      <c r="V124" s="19">
        <f t="shared" si="17"/>
        <v>5.8569759869370392E-4</v>
      </c>
      <c r="W124" s="2"/>
      <c r="X124" s="2">
        <f t="shared" si="18"/>
        <v>888.27999999999975</v>
      </c>
      <c r="Y124" s="2"/>
      <c r="Z124" s="19">
        <f t="shared" si="19"/>
        <v>0.2490327789801845</v>
      </c>
    </row>
    <row r="125" spans="1:26" s="24" customFormat="1" hidden="1" outlineLevel="1" x14ac:dyDescent="0.25">
      <c r="A125" s="44"/>
      <c r="B125" s="11" t="str">
        <f>CONCATENATE("          ", "5034", " - ", "PURCHASES @ COST-SODA")</f>
        <v xml:space="preserve">          5034 - PURCHASES @ COST-SODA</v>
      </c>
      <c r="C125" s="11"/>
      <c r="D125" s="2">
        <v>876</v>
      </c>
      <c r="E125" s="2"/>
      <c r="F125" s="19">
        <f t="shared" si="12"/>
        <v>8.687034642446312E-4</v>
      </c>
      <c r="G125" s="2"/>
      <c r="H125" s="2">
        <v>570.59</v>
      </c>
      <c r="I125" s="2"/>
      <c r="J125" s="19">
        <f t="shared" si="13"/>
        <v>5.9526076701998107E-4</v>
      </c>
      <c r="K125" s="2"/>
      <c r="L125" s="2">
        <f t="shared" si="14"/>
        <v>305.40999999999997</v>
      </c>
      <c r="M125" s="2"/>
      <c r="N125" s="19">
        <f t="shared" si="15"/>
        <v>0.53525298375365837</v>
      </c>
      <c r="O125" s="11"/>
      <c r="P125" s="2">
        <v>1494.54</v>
      </c>
      <c r="Q125" s="2"/>
      <c r="R125" s="19">
        <f t="shared" si="16"/>
        <v>2.604232504945457E-4</v>
      </c>
      <c r="S125" s="2"/>
      <c r="T125" s="2">
        <v>1257.75</v>
      </c>
      <c r="U125" s="2"/>
      <c r="V125" s="19">
        <f t="shared" si="17"/>
        <v>2.0652584155433991E-4</v>
      </c>
      <c r="W125" s="2"/>
      <c r="X125" s="2">
        <f t="shared" si="18"/>
        <v>236.78999999999996</v>
      </c>
      <c r="Y125" s="2"/>
      <c r="Z125" s="19">
        <f t="shared" si="19"/>
        <v>0.18826475849731661</v>
      </c>
    </row>
    <row r="126" spans="1:26" s="24" customFormat="1" hidden="1" outlineLevel="1" x14ac:dyDescent="0.25">
      <c r="A126" s="44"/>
      <c r="B126" s="11" t="str">
        <f>CONCATENATE("          ", "5035", " - ", "PURCHASES @ COST-HEALTH &amp; BEAU")</f>
        <v xml:space="preserve">          5035 - PURCHASES @ COST-HEALTH &amp; BEAU</v>
      </c>
      <c r="C126" s="11"/>
      <c r="D126" s="2">
        <v>291.13</v>
      </c>
      <c r="E126" s="2"/>
      <c r="F126" s="19">
        <f t="shared" si="12"/>
        <v>2.8870506797436013E-4</v>
      </c>
      <c r="G126" s="2"/>
      <c r="H126" s="2">
        <v>343.81</v>
      </c>
      <c r="I126" s="2"/>
      <c r="J126" s="19">
        <f t="shared" si="13"/>
        <v>3.5867541371061479E-4</v>
      </c>
      <c r="K126" s="2"/>
      <c r="L126" s="2">
        <f t="shared" si="14"/>
        <v>-52.680000000000007</v>
      </c>
      <c r="M126" s="2"/>
      <c r="N126" s="19">
        <f t="shared" si="15"/>
        <v>-0.15322416450946746</v>
      </c>
      <c r="O126" s="11"/>
      <c r="P126" s="2">
        <v>578.69000000000005</v>
      </c>
      <c r="Q126" s="2"/>
      <c r="R126" s="19">
        <f t="shared" si="16"/>
        <v>1.0083659910654026E-4</v>
      </c>
      <c r="S126" s="2"/>
      <c r="T126" s="2">
        <v>469.33</v>
      </c>
      <c r="U126" s="2"/>
      <c r="V126" s="19">
        <f t="shared" si="17"/>
        <v>7.7065214245039429E-5</v>
      </c>
      <c r="W126" s="2"/>
      <c r="X126" s="2">
        <f t="shared" si="18"/>
        <v>109.36000000000007</v>
      </c>
      <c r="Y126" s="2"/>
      <c r="Z126" s="19">
        <f t="shared" si="19"/>
        <v>0.23301301855837059</v>
      </c>
    </row>
    <row r="127" spans="1:26" s="24" customFormat="1" hidden="1" outlineLevel="1" x14ac:dyDescent="0.25">
      <c r="A127" s="44"/>
      <c r="B127" s="11" t="str">
        <f>CONCATENATE("          ", "5037", " - ", "PURCHASES @ COST-WATER")</f>
        <v xml:space="preserve">          5037 - PURCHASES @ COST-WATER</v>
      </c>
      <c r="C127" s="11"/>
      <c r="D127" s="2">
        <v>1463.27</v>
      </c>
      <c r="E127" s="2"/>
      <c r="F127" s="19">
        <f t="shared" si="12"/>
        <v>1.4510818700059834E-3</v>
      </c>
      <c r="G127" s="2"/>
      <c r="H127" s="2">
        <v>1459.34</v>
      </c>
      <c r="I127" s="2"/>
      <c r="J127" s="19">
        <f t="shared" si="13"/>
        <v>1.5224379111848073E-3</v>
      </c>
      <c r="K127" s="2"/>
      <c r="L127" s="2">
        <f t="shared" si="14"/>
        <v>3.9300000000000637</v>
      </c>
      <c r="M127" s="2"/>
      <c r="N127" s="19">
        <f t="shared" si="15"/>
        <v>2.6929982046679075E-3</v>
      </c>
      <c r="O127" s="11"/>
      <c r="P127" s="2">
        <v>2855.85</v>
      </c>
      <c r="Q127" s="2"/>
      <c r="R127" s="19">
        <f t="shared" si="16"/>
        <v>4.9763120419985311E-4</v>
      </c>
      <c r="S127" s="2"/>
      <c r="T127" s="2">
        <v>2666.08</v>
      </c>
      <c r="U127" s="2"/>
      <c r="V127" s="19">
        <f t="shared" si="17"/>
        <v>4.3777731317924429E-4</v>
      </c>
      <c r="W127" s="2"/>
      <c r="X127" s="2">
        <f t="shared" si="18"/>
        <v>189.76999999999998</v>
      </c>
      <c r="Y127" s="2"/>
      <c r="Z127" s="19">
        <f t="shared" si="19"/>
        <v>7.1179409470083416E-2</v>
      </c>
    </row>
    <row r="128" spans="1:26" s="24" customFormat="1" hidden="1" outlineLevel="1" x14ac:dyDescent="0.25">
      <c r="A128" s="44"/>
      <c r="B128" s="11" t="str">
        <f>CONCATENATE("          ", "5040", " - ", "PURCHASES @ COST-LOGO CLOTHING")</f>
        <v xml:space="preserve">          5040 - PURCHASES @ COST-LOGO CLOTHING</v>
      </c>
      <c r="C128" s="11"/>
      <c r="D128" s="2">
        <v>176749.05</v>
      </c>
      <c r="E128" s="2"/>
      <c r="F128" s="19">
        <f t="shared" si="12"/>
        <v>0.17527684022482595</v>
      </c>
      <c r="G128" s="2"/>
      <c r="H128" s="2">
        <v>148087.87</v>
      </c>
      <c r="I128" s="2"/>
      <c r="J128" s="19">
        <f t="shared" si="13"/>
        <v>0.15449078862678148</v>
      </c>
      <c r="K128" s="2"/>
      <c r="L128" s="2">
        <f t="shared" si="14"/>
        <v>28661.179999999993</v>
      </c>
      <c r="M128" s="2"/>
      <c r="N128" s="19">
        <f t="shared" si="15"/>
        <v>0.19354171276823681</v>
      </c>
      <c r="O128" s="11"/>
      <c r="P128" s="2">
        <v>512600.91000000003</v>
      </c>
      <c r="Q128" s="2"/>
      <c r="R128" s="19">
        <f t="shared" si="16"/>
        <v>8.9320590408193887E-2</v>
      </c>
      <c r="S128" s="2"/>
      <c r="T128" s="2">
        <v>443210.29</v>
      </c>
      <c r="U128" s="2"/>
      <c r="V128" s="19">
        <f t="shared" si="17"/>
        <v>7.2776289507289232E-2</v>
      </c>
      <c r="W128" s="2"/>
      <c r="X128" s="2">
        <f t="shared" si="18"/>
        <v>69390.620000000054</v>
      </c>
      <c r="Y128" s="2"/>
      <c r="Z128" s="19">
        <f t="shared" si="19"/>
        <v>0.15656364837558273</v>
      </c>
    </row>
    <row r="129" spans="1:26" s="24" customFormat="1" hidden="1" outlineLevel="1" x14ac:dyDescent="0.25">
      <c r="A129" s="44"/>
      <c r="B129" s="11" t="str">
        <f>CONCATENATE("          ", "5041", " - ", "PURCHASES @ COST-LOGO GIFTS")</f>
        <v xml:space="preserve">          5041 - PURCHASES @ COST-LOGO GIFTS</v>
      </c>
      <c r="C129" s="11"/>
      <c r="D129" s="2">
        <v>27759.98</v>
      </c>
      <c r="E129" s="2"/>
      <c r="F129" s="19">
        <f t="shared" si="12"/>
        <v>2.7528756613426571E-2</v>
      </c>
      <c r="G129" s="2"/>
      <c r="H129" s="2">
        <v>39602.310000000005</v>
      </c>
      <c r="I129" s="2"/>
      <c r="J129" s="19">
        <f t="shared" si="13"/>
        <v>4.1314606681440387E-2</v>
      </c>
      <c r="K129" s="2"/>
      <c r="L129" s="2">
        <f t="shared" si="14"/>
        <v>-11842.330000000005</v>
      </c>
      <c r="M129" s="2"/>
      <c r="N129" s="19">
        <f t="shared" si="15"/>
        <v>-0.29903129388159438</v>
      </c>
      <c r="O129" s="11"/>
      <c r="P129" s="2">
        <v>70456.460000000006</v>
      </c>
      <c r="Q129" s="2"/>
      <c r="R129" s="19">
        <f t="shared" si="16"/>
        <v>1.2277021914126716E-2</v>
      </c>
      <c r="S129" s="2"/>
      <c r="T129" s="2">
        <v>83100.850000000006</v>
      </c>
      <c r="U129" s="2"/>
      <c r="V129" s="19">
        <f t="shared" si="17"/>
        <v>1.364537704641699E-2</v>
      </c>
      <c r="W129" s="2"/>
      <c r="X129" s="2">
        <f t="shared" si="18"/>
        <v>-12644.39</v>
      </c>
      <c r="Y129" s="2"/>
      <c r="Z129" s="19">
        <f t="shared" si="19"/>
        <v>-0.15215716806747462</v>
      </c>
    </row>
    <row r="130" spans="1:26" s="24" customFormat="1" hidden="1" outlineLevel="1" x14ac:dyDescent="0.25">
      <c r="A130" s="44"/>
      <c r="B130" s="11" t="str">
        <f>CONCATENATE("          ", "5042", " - ", "PURCHASES @ COST-EVERYDAY GIFT")</f>
        <v xml:space="preserve">          5042 - PURCHASES @ COST-EVERYDAY GIFT</v>
      </c>
      <c r="C130" s="11"/>
      <c r="D130" s="2">
        <v>13956.79</v>
      </c>
      <c r="E130" s="2"/>
      <c r="F130" s="19">
        <f t="shared" si="12"/>
        <v>1.3840538610427885E-2</v>
      </c>
      <c r="G130" s="2"/>
      <c r="H130" s="2">
        <v>25064.3</v>
      </c>
      <c r="I130" s="2"/>
      <c r="J130" s="19">
        <f t="shared" si="13"/>
        <v>2.6148012483252266E-2</v>
      </c>
      <c r="K130" s="2"/>
      <c r="L130" s="2">
        <f t="shared" si="14"/>
        <v>-11107.509999999998</v>
      </c>
      <c r="M130" s="2"/>
      <c r="N130" s="19">
        <f t="shared" si="15"/>
        <v>-0.44316059096005067</v>
      </c>
      <c r="O130" s="11"/>
      <c r="P130" s="2">
        <v>49248.47</v>
      </c>
      <c r="Q130" s="2"/>
      <c r="R130" s="19">
        <f t="shared" si="16"/>
        <v>8.5815345452668525E-3</v>
      </c>
      <c r="S130" s="2"/>
      <c r="T130" s="2">
        <v>60335.35</v>
      </c>
      <c r="U130" s="2"/>
      <c r="V130" s="19">
        <f t="shared" si="17"/>
        <v>9.9072223686946063E-3</v>
      </c>
      <c r="W130" s="2"/>
      <c r="X130" s="2">
        <f t="shared" si="18"/>
        <v>-11086.879999999997</v>
      </c>
      <c r="Y130" s="2"/>
      <c r="Z130" s="19">
        <f t="shared" si="19"/>
        <v>-0.18375429992533396</v>
      </c>
    </row>
    <row r="131" spans="1:26" s="24" customFormat="1" hidden="1" outlineLevel="1" x14ac:dyDescent="0.25">
      <c r="A131" s="44"/>
      <c r="B131" s="11" t="str">
        <f>CONCATENATE("          ", "5043", " - ", "PURCHASES @ COST-CARDS")</f>
        <v xml:space="preserve">          5043 - PURCHASES @ COST-CARDS</v>
      </c>
      <c r="C131" s="11"/>
      <c r="D131" s="2">
        <v>331.09</v>
      </c>
      <c r="E131" s="2"/>
      <c r="F131" s="19">
        <f t="shared" si="12"/>
        <v>3.2833222600086177E-4</v>
      </c>
      <c r="G131" s="2"/>
      <c r="H131" s="2">
        <v>670.29</v>
      </c>
      <c r="I131" s="2"/>
      <c r="J131" s="19">
        <f t="shared" si="13"/>
        <v>6.9927152513332355E-4</v>
      </c>
      <c r="K131" s="2"/>
      <c r="L131" s="2">
        <f t="shared" si="14"/>
        <v>-339.2</v>
      </c>
      <c r="M131" s="2"/>
      <c r="N131" s="19">
        <f t="shared" si="15"/>
        <v>-0.50604962031359557</v>
      </c>
      <c r="O131" s="11"/>
      <c r="P131" s="2">
        <v>1340.08</v>
      </c>
      <c r="Q131" s="2"/>
      <c r="R131" s="19">
        <f t="shared" si="16"/>
        <v>2.3350863109902097E-4</v>
      </c>
      <c r="S131" s="2"/>
      <c r="T131" s="2">
        <v>1808.34</v>
      </c>
      <c r="U131" s="2"/>
      <c r="V131" s="19">
        <f t="shared" si="17"/>
        <v>2.9693416045825882E-4</v>
      </c>
      <c r="W131" s="2"/>
      <c r="X131" s="2">
        <f t="shared" si="18"/>
        <v>-468.26</v>
      </c>
      <c r="Y131" s="2"/>
      <c r="Z131" s="19">
        <f t="shared" si="19"/>
        <v>-0.25894466748509681</v>
      </c>
    </row>
    <row r="132" spans="1:26" s="24" customFormat="1" hidden="1" outlineLevel="1" x14ac:dyDescent="0.25">
      <c r="A132" s="44"/>
      <c r="B132" s="11" t="str">
        <f>CONCATENATE("          ", "5044", " - ", "PURCHASES @ COST-ACCESSORIES")</f>
        <v xml:space="preserve">          5044 - PURCHASES @ COST-ACCESSORIES</v>
      </c>
      <c r="C132" s="11"/>
      <c r="D132" s="2">
        <v>3747.48</v>
      </c>
      <c r="E132" s="2"/>
      <c r="F132" s="19">
        <f t="shared" si="12"/>
        <v>3.7162658198487109E-3</v>
      </c>
      <c r="G132" s="2"/>
      <c r="H132" s="2">
        <v>5410.78</v>
      </c>
      <c r="I132" s="2"/>
      <c r="J132" s="19">
        <f t="shared" si="13"/>
        <v>5.644727480285972E-3</v>
      </c>
      <c r="K132" s="2"/>
      <c r="L132" s="2">
        <f t="shared" si="14"/>
        <v>-1663.2999999999997</v>
      </c>
      <c r="M132" s="2"/>
      <c r="N132" s="19">
        <f t="shared" si="15"/>
        <v>-0.30740484736026963</v>
      </c>
      <c r="O132" s="11"/>
      <c r="P132" s="2">
        <v>24151.129999999997</v>
      </c>
      <c r="Q132" s="2"/>
      <c r="R132" s="19">
        <f t="shared" si="16"/>
        <v>4.208328835438555E-3</v>
      </c>
      <c r="S132" s="2"/>
      <c r="T132" s="2">
        <v>18947.070000000003</v>
      </c>
      <c r="U132" s="2"/>
      <c r="V132" s="19">
        <f t="shared" si="17"/>
        <v>3.1111584788224905E-3</v>
      </c>
      <c r="W132" s="2"/>
      <c r="X132" s="2">
        <f t="shared" si="18"/>
        <v>5204.059999999994</v>
      </c>
      <c r="Y132" s="2"/>
      <c r="Z132" s="19">
        <f t="shared" si="19"/>
        <v>0.27466304816523046</v>
      </c>
    </row>
    <row r="133" spans="1:26" s="24" customFormat="1" hidden="1" outlineLevel="1" x14ac:dyDescent="0.25">
      <c r="A133" s="44"/>
      <c r="B133" s="11" t="str">
        <f>CONCATENATE("          ", "5045", " - ", "PURCHASES @ COST-SPECIAL ORDER")</f>
        <v xml:space="preserve">          5045 - PURCHASES @ COST-SPECIAL ORDER</v>
      </c>
      <c r="C133" s="11"/>
      <c r="D133" s="2">
        <v>3599.17</v>
      </c>
      <c r="E133" s="2"/>
      <c r="F133" s="19">
        <f t="shared" si="12"/>
        <v>3.5691911500061067E-3</v>
      </c>
      <c r="G133" s="2"/>
      <c r="H133" s="2">
        <v>8833.39</v>
      </c>
      <c r="I133" s="2"/>
      <c r="J133" s="19">
        <f t="shared" si="13"/>
        <v>9.215321871723357E-3</v>
      </c>
      <c r="K133" s="2"/>
      <c r="L133" s="2">
        <f t="shared" si="14"/>
        <v>-5234.2199999999993</v>
      </c>
      <c r="M133" s="2"/>
      <c r="N133" s="19">
        <f t="shared" si="15"/>
        <v>-0.59254940628682751</v>
      </c>
      <c r="O133" s="11"/>
      <c r="P133" s="2">
        <v>28063.200000000001</v>
      </c>
      <c r="Q133" s="2"/>
      <c r="R133" s="19">
        <f t="shared" si="16"/>
        <v>4.8900061311698152E-3</v>
      </c>
      <c r="S133" s="2"/>
      <c r="T133" s="2">
        <v>41970.42</v>
      </c>
      <c r="U133" s="2"/>
      <c r="V133" s="19">
        <f t="shared" si="17"/>
        <v>6.8916528013429519E-3</v>
      </c>
      <c r="W133" s="2"/>
      <c r="X133" s="2">
        <f t="shared" si="18"/>
        <v>-13907.219999999998</v>
      </c>
      <c r="Y133" s="2"/>
      <c r="Z133" s="19">
        <f t="shared" si="19"/>
        <v>-0.3313576561778509</v>
      </c>
    </row>
    <row r="134" spans="1:26" s="24" customFormat="1" hidden="1" outlineLevel="1" x14ac:dyDescent="0.25">
      <c r="A134" s="44"/>
      <c r="B134" s="11" t="str">
        <f>CONCATENATE("          ", "5053", " - ", "PURCHASES @ COST-FOOD")</f>
        <v xml:space="preserve">          5053 - PURCHASES @ COST-FOOD</v>
      </c>
      <c r="C134" s="11"/>
      <c r="D134" s="2">
        <v>244395.69999999998</v>
      </c>
      <c r="E134" s="2"/>
      <c r="F134" s="19">
        <f t="shared" si="12"/>
        <v>0.24236003565809544</v>
      </c>
      <c r="G134" s="2"/>
      <c r="H134" s="2">
        <v>213715.34999999998</v>
      </c>
      <c r="I134" s="2"/>
      <c r="J134" s="19">
        <f t="shared" si="13"/>
        <v>0.22295582320921098</v>
      </c>
      <c r="K134" s="2"/>
      <c r="L134" s="2">
        <f t="shared" si="14"/>
        <v>30680.350000000006</v>
      </c>
      <c r="M134" s="2"/>
      <c r="N134" s="19">
        <f t="shared" si="15"/>
        <v>0.14355707252661079</v>
      </c>
      <c r="O134" s="11"/>
      <c r="P134" s="2">
        <v>577184.57000000007</v>
      </c>
      <c r="Q134" s="2"/>
      <c r="R134" s="19">
        <f t="shared" si="16"/>
        <v>0.10057427827605596</v>
      </c>
      <c r="S134" s="2"/>
      <c r="T134" s="2">
        <v>531722.65</v>
      </c>
      <c r="U134" s="2"/>
      <c r="V134" s="19">
        <f t="shared" si="17"/>
        <v>8.7310250657725089E-2</v>
      </c>
      <c r="W134" s="2"/>
      <c r="X134" s="2">
        <f t="shared" si="18"/>
        <v>45461.920000000042</v>
      </c>
      <c r="Y134" s="2"/>
      <c r="Z134" s="19">
        <f t="shared" si="19"/>
        <v>8.5499310589834829E-2</v>
      </c>
    </row>
    <row r="135" spans="1:26" s="24" customFormat="1" hidden="1" outlineLevel="1" x14ac:dyDescent="0.25">
      <c r="A135" s="44"/>
      <c r="B135" s="11" t="str">
        <f>CONCATENATE("          ", "5059", " - ", "PURCHASES @ COST-FOOD")</f>
        <v xml:space="preserve">          5059 - PURCHASES @ COST-FOOD</v>
      </c>
      <c r="C135" s="11"/>
      <c r="D135" s="2">
        <v>15105.409999999998</v>
      </c>
      <c r="E135" s="2"/>
      <c r="F135" s="19">
        <f t="shared" si="12"/>
        <v>1.497959131944691E-2</v>
      </c>
      <c r="G135" s="2"/>
      <c r="H135" s="2">
        <v>22649.58</v>
      </c>
      <c r="I135" s="2"/>
      <c r="J135" s="19">
        <f t="shared" si="13"/>
        <v>2.3628886527069216E-2</v>
      </c>
      <c r="K135" s="2"/>
      <c r="L135" s="2">
        <f t="shared" si="14"/>
        <v>-7544.1700000000037</v>
      </c>
      <c r="M135" s="2"/>
      <c r="N135" s="19">
        <f t="shared" si="15"/>
        <v>-0.33308211454693654</v>
      </c>
      <c r="O135" s="11"/>
      <c r="P135" s="2">
        <v>-43645.97</v>
      </c>
      <c r="Q135" s="2"/>
      <c r="R135" s="19">
        <f t="shared" si="16"/>
        <v>-7.6053002116955237E-3</v>
      </c>
      <c r="S135" s="2"/>
      <c r="T135" s="2">
        <v>-30213.74</v>
      </c>
      <c r="U135" s="2"/>
      <c r="V135" s="19">
        <f t="shared" si="17"/>
        <v>-4.9611751779002362E-3</v>
      </c>
      <c r="W135" s="2"/>
      <c r="X135" s="2">
        <f t="shared" si="18"/>
        <v>-13432.23</v>
      </c>
      <c r="Y135" s="2"/>
      <c r="Z135" s="19">
        <f t="shared" si="19"/>
        <v>0.44457356156503625</v>
      </c>
    </row>
    <row r="136" spans="1:26" s="24" customFormat="1" hidden="1" outlineLevel="1" x14ac:dyDescent="0.25">
      <c r="A136" s="44"/>
      <c r="B136" s="11" t="str">
        <f>CONCATENATE("          ", "5081", " - ", "PURCHASES @ COST-ELECTRONICS")</f>
        <v xml:space="preserve">          5081 - PURCHASES @ COST-ELECTRONICS</v>
      </c>
      <c r="C136" s="11"/>
      <c r="D136" s="2">
        <v>490.99</v>
      </c>
      <c r="E136" s="2"/>
      <c r="F136" s="19">
        <f t="shared" si="12"/>
        <v>4.8690035834414555E-4</v>
      </c>
      <c r="G136" s="2"/>
      <c r="H136" s="2">
        <v>627.16999999999996</v>
      </c>
      <c r="I136" s="2"/>
      <c r="J136" s="19">
        <f t="shared" si="13"/>
        <v>6.5428713305862611E-4</v>
      </c>
      <c r="K136" s="2"/>
      <c r="L136" s="2">
        <f t="shared" si="14"/>
        <v>-136.17999999999995</v>
      </c>
      <c r="M136" s="2"/>
      <c r="N136" s="19">
        <f t="shared" si="15"/>
        <v>-0.21713411036879945</v>
      </c>
      <c r="O136" s="11"/>
      <c r="P136" s="2">
        <v>963.07</v>
      </c>
      <c r="Q136" s="2"/>
      <c r="R136" s="19">
        <f t="shared" si="16"/>
        <v>1.6781472550335364E-4</v>
      </c>
      <c r="S136" s="2"/>
      <c r="T136" s="2">
        <v>1529.73</v>
      </c>
      <c r="U136" s="2"/>
      <c r="V136" s="19">
        <f t="shared" si="17"/>
        <v>2.5118566933088484E-4</v>
      </c>
      <c r="W136" s="2"/>
      <c r="X136" s="2">
        <f t="shared" si="18"/>
        <v>-566.66</v>
      </c>
      <c r="Y136" s="2"/>
      <c r="Z136" s="19">
        <f t="shared" si="19"/>
        <v>-0.37043138331601</v>
      </c>
    </row>
    <row r="137" spans="1:26" s="24" customFormat="1" hidden="1" outlineLevel="1" x14ac:dyDescent="0.25">
      <c r="A137" s="44"/>
      <c r="B137" s="11" t="str">
        <f>CONCATENATE("          ", "5082", " - ", "PURCHASES @ COST-COMPUTER HARD")</f>
        <v xml:space="preserve">          5082 - PURCHASES @ COST-COMPUTER HARD</v>
      </c>
      <c r="C137" s="11"/>
      <c r="D137" s="2"/>
      <c r="E137" s="2"/>
      <c r="F137" s="19">
        <f t="shared" si="12"/>
        <v>0</v>
      </c>
      <c r="G137" s="2"/>
      <c r="H137" s="2">
        <v>278</v>
      </c>
      <c r="I137" s="2"/>
      <c r="J137" s="19">
        <f t="shared" si="13"/>
        <v>2.9001996745746459E-4</v>
      </c>
      <c r="K137" s="2"/>
      <c r="L137" s="2">
        <f t="shared" si="14"/>
        <v>-278</v>
      </c>
      <c r="M137" s="2"/>
      <c r="N137" s="19">
        <f t="shared" si="15"/>
        <v>-1</v>
      </c>
      <c r="O137" s="11"/>
      <c r="P137" s="2">
        <v>149.6</v>
      </c>
      <c r="Q137" s="2"/>
      <c r="R137" s="19">
        <f t="shared" si="16"/>
        <v>2.6067765515800207E-5</v>
      </c>
      <c r="S137" s="2"/>
      <c r="T137" s="2">
        <v>471</v>
      </c>
      <c r="U137" s="2"/>
      <c r="V137" s="19">
        <f t="shared" si="17"/>
        <v>7.7339432615459433E-5</v>
      </c>
      <c r="W137" s="2"/>
      <c r="X137" s="2">
        <f t="shared" si="18"/>
        <v>-321.39999999999998</v>
      </c>
      <c r="Y137" s="2"/>
      <c r="Z137" s="19">
        <f t="shared" si="19"/>
        <v>-0.68237791932059444</v>
      </c>
    </row>
    <row r="138" spans="1:26" s="24" customFormat="1" hidden="1" outlineLevel="1" x14ac:dyDescent="0.25">
      <c r="A138" s="44"/>
      <c r="B138" s="11" t="str">
        <f>CONCATENATE("          ", "5083", " - ", "PURCHASES @ COST-COMPUTER EQUI")</f>
        <v xml:space="preserve">          5083 - PURCHASES @ COST-COMPUTER EQUI</v>
      </c>
      <c r="C138" s="11"/>
      <c r="D138" s="2">
        <v>76.150000000000006</v>
      </c>
      <c r="E138" s="2"/>
      <c r="F138" s="19">
        <f t="shared" si="12"/>
        <v>7.5515717810763328E-5</v>
      </c>
      <c r="G138" s="2"/>
      <c r="H138" s="2">
        <v>93.36</v>
      </c>
      <c r="I138" s="2"/>
      <c r="J138" s="19">
        <f t="shared" si="13"/>
        <v>9.7396633675643507E-5</v>
      </c>
      <c r="K138" s="2"/>
      <c r="L138" s="2">
        <f t="shared" si="14"/>
        <v>-17.209999999999994</v>
      </c>
      <c r="M138" s="2"/>
      <c r="N138" s="19">
        <f t="shared" si="15"/>
        <v>-0.18434018851756634</v>
      </c>
      <c r="O138" s="11"/>
      <c r="P138" s="2">
        <v>232.15</v>
      </c>
      <c r="Q138" s="2"/>
      <c r="R138" s="19">
        <f t="shared" si="16"/>
        <v>4.0452083987252793E-5</v>
      </c>
      <c r="S138" s="2"/>
      <c r="T138" s="2">
        <v>291.92</v>
      </c>
      <c r="U138" s="2"/>
      <c r="V138" s="19">
        <f t="shared" si="17"/>
        <v>4.7934027959883051E-5</v>
      </c>
      <c r="W138" s="2"/>
      <c r="X138" s="2">
        <f t="shared" si="18"/>
        <v>-59.77000000000001</v>
      </c>
      <c r="Y138" s="2"/>
      <c r="Z138" s="19">
        <f t="shared" si="19"/>
        <v>-0.20474787613044673</v>
      </c>
    </row>
    <row r="139" spans="1:26" s="24" customFormat="1" hidden="1" outlineLevel="1" x14ac:dyDescent="0.25">
      <c r="A139" s="44"/>
      <c r="B139" s="11" t="str">
        <f>CONCATENATE("          ", "5086", " - ", "PURCHASES @ COST-COMPUTER SUPP")</f>
        <v xml:space="preserve">          5086 - PURCHASES @ COST-COMPUTER SUPP</v>
      </c>
      <c r="C139" s="11"/>
      <c r="D139" s="2">
        <v>54</v>
      </c>
      <c r="E139" s="2"/>
      <c r="F139" s="19">
        <f t="shared" si="12"/>
        <v>5.3550213549326586E-5</v>
      </c>
      <c r="G139" s="2"/>
      <c r="H139" s="2">
        <v>214.62</v>
      </c>
      <c r="I139" s="2"/>
      <c r="J139" s="19">
        <f t="shared" si="13"/>
        <v>2.2389958782633473E-4</v>
      </c>
      <c r="K139" s="2"/>
      <c r="L139" s="2">
        <f t="shared" si="14"/>
        <v>-160.62</v>
      </c>
      <c r="M139" s="2"/>
      <c r="N139" s="19">
        <f t="shared" si="15"/>
        <v>-0.74839250768800669</v>
      </c>
      <c r="O139" s="11"/>
      <c r="P139" s="2">
        <v>141</v>
      </c>
      <c r="Q139" s="2"/>
      <c r="R139" s="19">
        <f t="shared" si="16"/>
        <v>2.4569217498180675E-5</v>
      </c>
      <c r="S139" s="2"/>
      <c r="T139" s="2">
        <v>457.53</v>
      </c>
      <c r="U139" s="2"/>
      <c r="V139" s="19">
        <f t="shared" si="17"/>
        <v>7.5127623364227493E-5</v>
      </c>
      <c r="W139" s="2"/>
      <c r="X139" s="2">
        <f t="shared" si="18"/>
        <v>-316.52999999999997</v>
      </c>
      <c r="Y139" s="2"/>
      <c r="Z139" s="19">
        <f t="shared" si="19"/>
        <v>-0.69182348698446006</v>
      </c>
    </row>
    <row r="140" spans="1:26" s="24" customFormat="1" hidden="1" outlineLevel="1" x14ac:dyDescent="0.25">
      <c r="A140" s="44"/>
      <c r="B140" s="11" t="str">
        <f>CONCATENATE("          ", "5092", " - ", "PURCHASES @ COST-GRAD MERCH")</f>
        <v xml:space="preserve">          5092 - PURCHASES @ COST-GRAD MERCH</v>
      </c>
      <c r="C140" s="11"/>
      <c r="D140" s="2">
        <v>1296.1400000000001</v>
      </c>
      <c r="E140" s="2"/>
      <c r="F140" s="19">
        <f t="shared" si="12"/>
        <v>1.2853439590708178E-3</v>
      </c>
      <c r="G140" s="2"/>
      <c r="H140" s="2">
        <v>572.4</v>
      </c>
      <c r="I140" s="2"/>
      <c r="J140" s="19">
        <f t="shared" si="13"/>
        <v>5.9714902652033362E-4</v>
      </c>
      <c r="K140" s="2"/>
      <c r="L140" s="2">
        <f t="shared" si="14"/>
        <v>723.74000000000012</v>
      </c>
      <c r="M140" s="2"/>
      <c r="N140" s="19">
        <f t="shared" si="15"/>
        <v>1.2643955276030749</v>
      </c>
      <c r="O140" s="11"/>
      <c r="P140" s="2">
        <v>1296.1400000000001</v>
      </c>
      <c r="Q140" s="2"/>
      <c r="R140" s="19">
        <f t="shared" si="16"/>
        <v>2.2585209622760216E-4</v>
      </c>
      <c r="S140" s="2"/>
      <c r="T140" s="2">
        <v>-2698.04</v>
      </c>
      <c r="U140" s="2"/>
      <c r="V140" s="19">
        <f t="shared" si="17"/>
        <v>-4.4302522881913833E-4</v>
      </c>
      <c r="W140" s="2"/>
      <c r="X140" s="2">
        <f t="shared" si="18"/>
        <v>3994.1800000000003</v>
      </c>
      <c r="Y140" s="2"/>
      <c r="Z140" s="19">
        <f t="shared" si="19"/>
        <v>-1.4804005870928527</v>
      </c>
    </row>
    <row r="141" spans="1:26" s="24" customFormat="1" hidden="1" outlineLevel="1" x14ac:dyDescent="0.25">
      <c r="A141" s="44"/>
      <c r="B141" s="11" t="str">
        <f>CONCATENATE("          ", "5095", " - ", "PURCHASES @ COST-CUSTOMER SERV")</f>
        <v xml:space="preserve">          5095 - PURCHASES @ COST-CUSTOMER SERV</v>
      </c>
      <c r="C141" s="11"/>
      <c r="D141" s="2"/>
      <c r="E141" s="2"/>
      <c r="F141" s="19">
        <f t="shared" si="12"/>
        <v>0</v>
      </c>
      <c r="G141" s="2"/>
      <c r="H141" s="2">
        <v>0</v>
      </c>
      <c r="I141" s="2"/>
      <c r="J141" s="19">
        <f t="shared" si="13"/>
        <v>0</v>
      </c>
      <c r="K141" s="2"/>
      <c r="L141" s="2">
        <f t="shared" si="14"/>
        <v>0</v>
      </c>
      <c r="M141" s="2"/>
      <c r="N141" s="19">
        <f t="shared" si="15"/>
        <v>0</v>
      </c>
      <c r="O141" s="11"/>
      <c r="P141" s="2">
        <v>0</v>
      </c>
      <c r="Q141" s="2"/>
      <c r="R141" s="19">
        <f t="shared" si="16"/>
        <v>0</v>
      </c>
      <c r="S141" s="2"/>
      <c r="T141" s="2">
        <v>0</v>
      </c>
      <c r="U141" s="2"/>
      <c r="V141" s="19">
        <f t="shared" si="17"/>
        <v>0</v>
      </c>
      <c r="W141" s="2"/>
      <c r="X141" s="2">
        <f t="shared" si="18"/>
        <v>0</v>
      </c>
      <c r="Y141" s="2"/>
      <c r="Z141" s="19">
        <f t="shared" si="19"/>
        <v>0</v>
      </c>
    </row>
    <row r="142" spans="1:26" s="24" customFormat="1" hidden="1" outlineLevel="1" x14ac:dyDescent="0.25">
      <c r="A142" s="44"/>
      <c r="B142" s="11" t="str">
        <f>CONCATENATE("          ", "5200", " - ", "PURCHASES OFFSET")</f>
        <v xml:space="preserve">          5200 - PURCHASES OFFSET</v>
      </c>
      <c r="C142" s="11"/>
      <c r="D142" s="2">
        <v>-102488</v>
      </c>
      <c r="E142" s="2"/>
      <c r="F142" s="19">
        <f t="shared" si="12"/>
        <v>-0.10163433863413672</v>
      </c>
      <c r="G142" s="2"/>
      <c r="H142" s="2">
        <v>-27974</v>
      </c>
      <c r="I142" s="2"/>
      <c r="J142" s="19">
        <f t="shared" si="13"/>
        <v>-2.9183520034730629E-2</v>
      </c>
      <c r="K142" s="2"/>
      <c r="L142" s="2">
        <f t="shared" si="14"/>
        <v>-74514</v>
      </c>
      <c r="M142" s="2"/>
      <c r="N142" s="19">
        <f t="shared" si="15"/>
        <v>2.6636877100164438</v>
      </c>
      <c r="O142" s="11"/>
      <c r="P142" s="2">
        <v>-2738772</v>
      </c>
      <c r="Q142" s="2"/>
      <c r="R142" s="19">
        <f t="shared" si="16"/>
        <v>-0.47723038968742759</v>
      </c>
      <c r="S142" s="2"/>
      <c r="T142" s="2">
        <v>-2464071</v>
      </c>
      <c r="U142" s="2"/>
      <c r="V142" s="19">
        <f t="shared" si="17"/>
        <v>-0.4046069067180631</v>
      </c>
      <c r="W142" s="2"/>
      <c r="X142" s="2">
        <f t="shared" si="18"/>
        <v>-274701</v>
      </c>
      <c r="Y142" s="2"/>
      <c r="Z142" s="19">
        <f t="shared" si="19"/>
        <v>0.11148258309115282</v>
      </c>
    </row>
    <row r="143" spans="1:26" s="24" customFormat="1" hidden="1" outlineLevel="1" x14ac:dyDescent="0.25">
      <c r="A143" s="44"/>
      <c r="B143" s="11" t="str">
        <f>CONCATENATE("          ", "5300", " - ", "COG$ OFFSET")</f>
        <v xml:space="preserve">          5300 - COG$ OFFSET</v>
      </c>
      <c r="C143" s="11"/>
      <c r="D143" s="2">
        <v>204645</v>
      </c>
      <c r="E143" s="2"/>
      <c r="F143" s="19">
        <f t="shared" si="12"/>
        <v>0.20294043429262848</v>
      </c>
      <c r="G143" s="2"/>
      <c r="H143" s="2">
        <v>203228</v>
      </c>
      <c r="I143" s="2"/>
      <c r="J143" s="19">
        <f t="shared" si="13"/>
        <v>0.21201502858433677</v>
      </c>
      <c r="K143" s="2"/>
      <c r="L143" s="2">
        <f t="shared" si="14"/>
        <v>1417</v>
      </c>
      <c r="M143" s="2"/>
      <c r="N143" s="19">
        <f t="shared" si="15"/>
        <v>6.9724644241935165E-3</v>
      </c>
      <c r="O143" s="11"/>
      <c r="P143" s="2">
        <v>2132393</v>
      </c>
      <c r="Q143" s="2"/>
      <c r="R143" s="19">
        <f t="shared" si="16"/>
        <v>0.37156898871346089</v>
      </c>
      <c r="S143" s="2"/>
      <c r="T143" s="2">
        <v>2364522</v>
      </c>
      <c r="U143" s="2"/>
      <c r="V143" s="19">
        <f t="shared" si="17"/>
        <v>0.38826070039654215</v>
      </c>
      <c r="W143" s="2"/>
      <c r="X143" s="2">
        <f t="shared" si="18"/>
        <v>-232129</v>
      </c>
      <c r="Y143" s="2"/>
      <c r="Z143" s="19">
        <f t="shared" si="19"/>
        <v>-9.8171638918986587E-2</v>
      </c>
    </row>
    <row r="144" spans="1:26" s="24" customFormat="1" hidden="1" outlineLevel="1" x14ac:dyDescent="0.25">
      <c r="A144" s="44"/>
      <c r="B144" s="11" t="str">
        <f>CONCATENATE("          ", "5500", " - ", "FREIGHT-IN")</f>
        <v xml:space="preserve">          5500 - FREIGHT-IN</v>
      </c>
      <c r="C144" s="11"/>
      <c r="D144" s="2">
        <v>35.229999999999997</v>
      </c>
      <c r="E144" s="2"/>
      <c r="F144" s="19">
        <f t="shared" si="12"/>
        <v>3.4936555987829173E-5</v>
      </c>
      <c r="G144" s="2"/>
      <c r="H144" s="2">
        <v>-317.36</v>
      </c>
      <c r="I144" s="2"/>
      <c r="J144" s="19">
        <f t="shared" si="13"/>
        <v>-3.3108178731043516E-4</v>
      </c>
      <c r="K144" s="2"/>
      <c r="L144" s="2">
        <f t="shared" si="14"/>
        <v>352.59000000000003</v>
      </c>
      <c r="M144" s="2"/>
      <c r="N144" s="19">
        <f t="shared" si="15"/>
        <v>-1.1110095790269725</v>
      </c>
      <c r="O144" s="11"/>
      <c r="P144" s="2">
        <v>35.229999999999997</v>
      </c>
      <c r="Q144" s="2"/>
      <c r="R144" s="19">
        <f t="shared" si="16"/>
        <v>6.1388193791553557E-6</v>
      </c>
      <c r="S144" s="2"/>
      <c r="T144" s="2">
        <v>0</v>
      </c>
      <c r="U144" s="2"/>
      <c r="V144" s="19">
        <f t="shared" si="17"/>
        <v>0</v>
      </c>
      <c r="W144" s="2"/>
      <c r="X144" s="2">
        <f t="shared" si="18"/>
        <v>35.229999999999997</v>
      </c>
      <c r="Y144" s="2"/>
      <c r="Z144" s="19">
        <f t="shared" si="19"/>
        <v>0</v>
      </c>
    </row>
    <row r="145" spans="1:26" s="24" customFormat="1" hidden="1" outlineLevel="1" x14ac:dyDescent="0.25">
      <c r="A145" s="44"/>
      <c r="B145" s="11" t="str">
        <f>CONCATENATE("          ", "5501", " - ", "FREIGHT-IN-NEW TEXT")</f>
        <v xml:space="preserve">          5501 - FREIGHT-IN-NEW TEXT</v>
      </c>
      <c r="C145" s="11"/>
      <c r="D145" s="2">
        <v>7434.02</v>
      </c>
      <c r="E145" s="2"/>
      <c r="F145" s="19">
        <f t="shared" si="12"/>
        <v>7.3720992320363858E-3</v>
      </c>
      <c r="G145" s="2"/>
      <c r="H145" s="2">
        <v>9955.06</v>
      </c>
      <c r="I145" s="2"/>
      <c r="J145" s="19">
        <f t="shared" si="13"/>
        <v>1.0385489846176646E-2</v>
      </c>
      <c r="K145" s="2"/>
      <c r="L145" s="2">
        <f t="shared" si="14"/>
        <v>-2521.0399999999991</v>
      </c>
      <c r="M145" s="2"/>
      <c r="N145" s="19">
        <f t="shared" si="15"/>
        <v>-0.25324206986195957</v>
      </c>
      <c r="O145" s="11"/>
      <c r="P145" s="2">
        <v>34017.480000000003</v>
      </c>
      <c r="Q145" s="2"/>
      <c r="R145" s="19">
        <f t="shared" si="16"/>
        <v>5.9275380486525624E-3</v>
      </c>
      <c r="S145" s="2"/>
      <c r="T145" s="2">
        <v>36210.86</v>
      </c>
      <c r="U145" s="2"/>
      <c r="V145" s="19">
        <f t="shared" si="17"/>
        <v>5.9459179764709876E-3</v>
      </c>
      <c r="W145" s="2"/>
      <c r="X145" s="2">
        <f t="shared" si="18"/>
        <v>-2193.3799999999974</v>
      </c>
      <c r="Y145" s="2"/>
      <c r="Z145" s="19">
        <f t="shared" si="19"/>
        <v>-6.0572436004005352E-2</v>
      </c>
    </row>
    <row r="146" spans="1:26" s="24" customFormat="1" hidden="1" outlineLevel="1" x14ac:dyDescent="0.25">
      <c r="A146" s="44"/>
      <c r="B146" s="11" t="str">
        <f>CONCATENATE("          ", "5502", " - ", "FREIGHT-IN-USED TEXT")</f>
        <v xml:space="preserve">          5502 - FREIGHT-IN-USED TEXT</v>
      </c>
      <c r="C146" s="11"/>
      <c r="D146" s="2">
        <v>591.29999999999995</v>
      </c>
      <c r="E146" s="2"/>
      <c r="F146" s="19">
        <f t="shared" si="12"/>
        <v>5.8637483836512599E-4</v>
      </c>
      <c r="G146" s="2"/>
      <c r="H146" s="2">
        <v>1475.4</v>
      </c>
      <c r="I146" s="2"/>
      <c r="J146" s="19">
        <f t="shared" si="13"/>
        <v>1.5391923021105874E-3</v>
      </c>
      <c r="K146" s="2"/>
      <c r="L146" s="2">
        <f t="shared" si="14"/>
        <v>-884.10000000000014</v>
      </c>
      <c r="M146" s="2"/>
      <c r="N146" s="19">
        <f t="shared" si="15"/>
        <v>-0.59922732818218793</v>
      </c>
      <c r="O146" s="11"/>
      <c r="P146" s="2">
        <v>6852.47</v>
      </c>
      <c r="Q146" s="2"/>
      <c r="R146" s="19">
        <f t="shared" si="16"/>
        <v>1.1940413179415471E-3</v>
      </c>
      <c r="S146" s="2"/>
      <c r="T146" s="2">
        <v>7732.55</v>
      </c>
      <c r="U146" s="2"/>
      <c r="V146" s="19">
        <f t="shared" si="17"/>
        <v>1.269704946222231E-3</v>
      </c>
      <c r="W146" s="2"/>
      <c r="X146" s="2">
        <f t="shared" si="18"/>
        <v>-880.07999999999993</v>
      </c>
      <c r="Y146" s="2"/>
      <c r="Z146" s="19">
        <f t="shared" si="19"/>
        <v>-0.11381497694809602</v>
      </c>
    </row>
    <row r="147" spans="1:26" s="24" customFormat="1" hidden="1" outlineLevel="1" x14ac:dyDescent="0.25">
      <c r="A147" s="44"/>
      <c r="B147" s="11" t="str">
        <f>CONCATENATE("          ", "5504", " - ", "FREIGHT-IN-DIGITAL TEXT")</f>
        <v xml:space="preserve">          5504 - FREIGHT-IN-DIGITAL TEXT</v>
      </c>
      <c r="C147" s="11"/>
      <c r="D147" s="2">
        <v>93.94</v>
      </c>
      <c r="E147" s="2"/>
      <c r="F147" s="19">
        <f t="shared" si="12"/>
        <v>9.315753816340257E-5</v>
      </c>
      <c r="G147" s="2"/>
      <c r="H147" s="2"/>
      <c r="I147" s="2"/>
      <c r="J147" s="19">
        <f t="shared" si="13"/>
        <v>0</v>
      </c>
      <c r="K147" s="2"/>
      <c r="L147" s="2">
        <f t="shared" si="14"/>
        <v>93.94</v>
      </c>
      <c r="M147" s="2"/>
      <c r="N147" s="19">
        <f t="shared" si="15"/>
        <v>0</v>
      </c>
      <c r="O147" s="11"/>
      <c r="P147" s="2">
        <v>100.97</v>
      </c>
      <c r="Q147" s="2"/>
      <c r="R147" s="19">
        <f t="shared" si="16"/>
        <v>1.7593999225470232E-5</v>
      </c>
      <c r="S147" s="2"/>
      <c r="T147" s="2">
        <v>166.22</v>
      </c>
      <c r="U147" s="2"/>
      <c r="V147" s="19">
        <f t="shared" si="17"/>
        <v>2.7293759000725406E-5</v>
      </c>
      <c r="W147" s="2"/>
      <c r="X147" s="2">
        <f t="shared" si="18"/>
        <v>-65.25</v>
      </c>
      <c r="Y147" s="2"/>
      <c r="Z147" s="19">
        <f t="shared" si="19"/>
        <v>-0.39255203946576828</v>
      </c>
    </row>
    <row r="148" spans="1:26" s="24" customFormat="1" hidden="1" outlineLevel="1" x14ac:dyDescent="0.25">
      <c r="A148" s="44"/>
      <c r="B148" s="11" t="str">
        <f>CONCATENATE("          ", "5513", " - ", "FREIGHT-IN-TRADE BOOKS")</f>
        <v xml:space="preserve">          5513 - FREIGHT-IN-TRADE BOOKS</v>
      </c>
      <c r="C148" s="11"/>
      <c r="D148" s="2"/>
      <c r="E148" s="2"/>
      <c r="F148" s="19">
        <f t="shared" si="12"/>
        <v>0</v>
      </c>
      <c r="G148" s="2"/>
      <c r="H148" s="2"/>
      <c r="I148" s="2"/>
      <c r="J148" s="19">
        <f t="shared" si="13"/>
        <v>0</v>
      </c>
      <c r="K148" s="2"/>
      <c r="L148" s="2">
        <f t="shared" si="14"/>
        <v>0</v>
      </c>
      <c r="M148" s="2"/>
      <c r="N148" s="19">
        <f t="shared" si="15"/>
        <v>0</v>
      </c>
      <c r="O148" s="11"/>
      <c r="P148" s="2"/>
      <c r="Q148" s="2"/>
      <c r="R148" s="19">
        <f t="shared" si="16"/>
        <v>0</v>
      </c>
      <c r="S148" s="2"/>
      <c r="T148" s="2">
        <v>12.22</v>
      </c>
      <c r="U148" s="2"/>
      <c r="V148" s="19">
        <f t="shared" si="17"/>
        <v>2.0065559799594783E-6</v>
      </c>
      <c r="W148" s="2"/>
      <c r="X148" s="2">
        <f t="shared" si="18"/>
        <v>-12.22</v>
      </c>
      <c r="Y148" s="2"/>
      <c r="Z148" s="19">
        <f t="shared" si="19"/>
        <v>-1</v>
      </c>
    </row>
    <row r="149" spans="1:26" s="24" customFormat="1" hidden="1" outlineLevel="1" x14ac:dyDescent="0.25">
      <c r="A149" s="44"/>
      <c r="B149" s="11" t="str">
        <f>CONCATENATE("          ", "5525", " - ", "FREIGHT-IN-TEST FORMS")</f>
        <v xml:space="preserve">          5525 - FREIGHT-IN-TEST FORMS</v>
      </c>
      <c r="C149" s="11"/>
      <c r="D149" s="2">
        <v>39.22</v>
      </c>
      <c r="E149" s="2"/>
      <c r="F149" s="19">
        <f t="shared" si="12"/>
        <v>3.8893321766751639E-5</v>
      </c>
      <c r="G149" s="2"/>
      <c r="H149" s="2">
        <v>50.92</v>
      </c>
      <c r="I149" s="2"/>
      <c r="J149" s="19">
        <f t="shared" si="13"/>
        <v>5.3121642960194602E-5</v>
      </c>
      <c r="K149" s="2"/>
      <c r="L149" s="2">
        <f t="shared" si="14"/>
        <v>-11.700000000000003</v>
      </c>
      <c r="M149" s="2"/>
      <c r="N149" s="19">
        <f t="shared" si="15"/>
        <v>-0.22977219167321294</v>
      </c>
      <c r="O149" s="11"/>
      <c r="P149" s="2">
        <v>39.22</v>
      </c>
      <c r="Q149" s="2"/>
      <c r="R149" s="19">
        <f t="shared" si="16"/>
        <v>6.8340759594230219E-6</v>
      </c>
      <c r="S149" s="2"/>
      <c r="T149" s="2">
        <v>50.92</v>
      </c>
      <c r="U149" s="2"/>
      <c r="V149" s="19">
        <f t="shared" si="17"/>
        <v>8.361197258554553E-6</v>
      </c>
      <c r="W149" s="2"/>
      <c r="X149" s="2">
        <f t="shared" si="18"/>
        <v>-11.700000000000003</v>
      </c>
      <c r="Y149" s="2"/>
      <c r="Z149" s="19">
        <f t="shared" si="19"/>
        <v>-0.22977219167321294</v>
      </c>
    </row>
    <row r="150" spans="1:26" s="24" customFormat="1" hidden="1" outlineLevel="1" x14ac:dyDescent="0.25">
      <c r="A150" s="44"/>
      <c r="B150" s="11" t="str">
        <f>CONCATENATE("          ", "5526", " - ", "FREIGHT-IN-WRITING INSTRUMENTS")</f>
        <v xml:space="preserve">          5526 - FREIGHT-IN-WRITING INSTRUMENTS</v>
      </c>
      <c r="C150" s="11"/>
      <c r="D150" s="2"/>
      <c r="E150" s="2"/>
      <c r="F150" s="19">
        <f t="shared" si="12"/>
        <v>0</v>
      </c>
      <c r="G150" s="2"/>
      <c r="H150" s="2">
        <v>23.74</v>
      </c>
      <c r="I150" s="2"/>
      <c r="J150" s="19">
        <f t="shared" si="13"/>
        <v>2.4766453336115862E-5</v>
      </c>
      <c r="K150" s="2"/>
      <c r="L150" s="2">
        <f t="shared" si="14"/>
        <v>-23.74</v>
      </c>
      <c r="M150" s="2"/>
      <c r="N150" s="19">
        <f t="shared" si="15"/>
        <v>-1</v>
      </c>
      <c r="O150" s="11"/>
      <c r="P150" s="2">
        <v>56.57</v>
      </c>
      <c r="Q150" s="2"/>
      <c r="R150" s="19">
        <f t="shared" si="16"/>
        <v>9.8573094600856804E-6</v>
      </c>
      <c r="S150" s="2"/>
      <c r="T150" s="2">
        <v>66.48</v>
      </c>
      <c r="U150" s="2"/>
      <c r="V150" s="19">
        <f t="shared" si="17"/>
        <v>1.0916189979354019E-5</v>
      </c>
      <c r="W150" s="2"/>
      <c r="X150" s="2">
        <f t="shared" si="18"/>
        <v>-9.9100000000000037</v>
      </c>
      <c r="Y150" s="2"/>
      <c r="Z150" s="19">
        <f t="shared" si="19"/>
        <v>-0.14906738868832736</v>
      </c>
    </row>
    <row r="151" spans="1:26" s="24" customFormat="1" hidden="1" outlineLevel="1" x14ac:dyDescent="0.25">
      <c r="A151" s="44"/>
      <c r="B151" s="11" t="str">
        <f>CONCATENATE("          ", "5527", " - ", "FREIGHT-IN-SCHOOL SUPPLIES")</f>
        <v xml:space="preserve">          5527 - FREIGHT-IN-SCHOOL SUPPLIES</v>
      </c>
      <c r="C151" s="11"/>
      <c r="D151" s="2">
        <v>344.59</v>
      </c>
      <c r="E151" s="2"/>
      <c r="F151" s="19">
        <f t="shared" si="12"/>
        <v>3.4171977938819345E-4</v>
      </c>
      <c r="G151" s="2"/>
      <c r="H151" s="2">
        <v>207.6</v>
      </c>
      <c r="I151" s="2"/>
      <c r="J151" s="19">
        <f t="shared" si="13"/>
        <v>2.1657606202938725E-4</v>
      </c>
      <c r="K151" s="2"/>
      <c r="L151" s="2">
        <f t="shared" si="14"/>
        <v>136.98999999999998</v>
      </c>
      <c r="M151" s="2"/>
      <c r="N151" s="19">
        <f t="shared" si="15"/>
        <v>0.65987475915221572</v>
      </c>
      <c r="O151" s="11"/>
      <c r="P151" s="2">
        <v>738.49</v>
      </c>
      <c r="Q151" s="2"/>
      <c r="R151" s="19">
        <f t="shared" si="16"/>
        <v>1.2868171227114502E-4</v>
      </c>
      <c r="S151" s="2"/>
      <c r="T151" s="2">
        <v>932.7</v>
      </c>
      <c r="U151" s="2"/>
      <c r="V151" s="19">
        <f t="shared" si="17"/>
        <v>1.5315178089265184E-4</v>
      </c>
      <c r="W151" s="2"/>
      <c r="X151" s="2">
        <f t="shared" si="18"/>
        <v>-194.21000000000004</v>
      </c>
      <c r="Y151" s="2"/>
      <c r="Z151" s="19">
        <f t="shared" si="19"/>
        <v>-0.20822343733247564</v>
      </c>
    </row>
    <row r="152" spans="1:26" s="24" customFormat="1" hidden="1" outlineLevel="1" x14ac:dyDescent="0.25">
      <c r="A152" s="44"/>
      <c r="B152" s="11" t="str">
        <f>CONCATENATE("          ", "5528", " - ", "FREIGHT-IN-ART/TECH")</f>
        <v xml:space="preserve">          5528 - FREIGHT-IN-ART/TECH</v>
      </c>
      <c r="C152" s="11"/>
      <c r="D152" s="2">
        <v>185.67</v>
      </c>
      <c r="E152" s="2"/>
      <c r="F152" s="19">
        <f t="shared" si="12"/>
        <v>1.8412348425376788E-4</v>
      </c>
      <c r="G152" s="2"/>
      <c r="H152" s="2">
        <v>546.16999999999996</v>
      </c>
      <c r="I152" s="2"/>
      <c r="J152" s="19">
        <f t="shared" si="13"/>
        <v>5.6978491232461672E-4</v>
      </c>
      <c r="K152" s="2"/>
      <c r="L152" s="2">
        <f t="shared" si="14"/>
        <v>-360.5</v>
      </c>
      <c r="M152" s="2"/>
      <c r="N152" s="19">
        <f t="shared" si="15"/>
        <v>-0.66005089990296062</v>
      </c>
      <c r="O152" s="11"/>
      <c r="P152" s="2">
        <v>818.44</v>
      </c>
      <c r="Q152" s="2"/>
      <c r="R152" s="19">
        <f t="shared" si="16"/>
        <v>1.4261298134192195E-4</v>
      </c>
      <c r="S152" s="2"/>
      <c r="T152" s="2">
        <v>1103.95</v>
      </c>
      <c r="U152" s="2"/>
      <c r="V152" s="19">
        <f t="shared" si="17"/>
        <v>1.8127147905697757E-4</v>
      </c>
      <c r="W152" s="2"/>
      <c r="X152" s="2">
        <f t="shared" si="18"/>
        <v>-285.51</v>
      </c>
      <c r="Y152" s="2"/>
      <c r="Z152" s="19">
        <f t="shared" si="19"/>
        <v>-0.2586258435617555</v>
      </c>
    </row>
    <row r="153" spans="1:26" s="24" customFormat="1" hidden="1" outlineLevel="1" x14ac:dyDescent="0.25">
      <c r="A153" s="44"/>
      <c r="B153" s="11" t="str">
        <f>CONCATENATE("          ", "5540", " - ", "FREIGHT-IN-LOGO CLOTHING")</f>
        <v xml:space="preserve">          5540 - FREIGHT-IN-LOGO CLOTHING</v>
      </c>
      <c r="C153" s="11"/>
      <c r="D153" s="2">
        <v>9102.58</v>
      </c>
      <c r="E153" s="2"/>
      <c r="F153" s="19">
        <f t="shared" si="12"/>
        <v>9.0267611638857256E-3</v>
      </c>
      <c r="G153" s="2"/>
      <c r="H153" s="2">
        <v>4650.07</v>
      </c>
      <c r="I153" s="2"/>
      <c r="J153" s="19">
        <f t="shared" si="13"/>
        <v>4.851126439118462E-3</v>
      </c>
      <c r="K153" s="2"/>
      <c r="L153" s="2">
        <f t="shared" si="14"/>
        <v>4452.51</v>
      </c>
      <c r="M153" s="2"/>
      <c r="N153" s="19">
        <f t="shared" si="15"/>
        <v>0.95751461805951321</v>
      </c>
      <c r="O153" s="11"/>
      <c r="P153" s="2">
        <v>14107.44</v>
      </c>
      <c r="Q153" s="2"/>
      <c r="R153" s="19">
        <f t="shared" si="16"/>
        <v>2.4582181681030782E-3</v>
      </c>
      <c r="S153" s="2"/>
      <c r="T153" s="2">
        <v>10343.31</v>
      </c>
      <c r="U153" s="2"/>
      <c r="V153" s="19">
        <f t="shared" si="17"/>
        <v>1.6983985706280416E-3</v>
      </c>
      <c r="W153" s="2"/>
      <c r="X153" s="2">
        <f t="shared" si="18"/>
        <v>3764.130000000001</v>
      </c>
      <c r="Y153" s="2"/>
      <c r="Z153" s="19">
        <f t="shared" si="19"/>
        <v>0.36391928695939707</v>
      </c>
    </row>
    <row r="154" spans="1:26" s="24" customFormat="1" hidden="1" outlineLevel="1" x14ac:dyDescent="0.25">
      <c r="A154" s="44"/>
      <c r="B154" s="11" t="str">
        <f>CONCATENATE("          ", "5541", " - ", "FREIGHT-IN-LOGO GIFTS")</f>
        <v xml:space="preserve">          5541 - FREIGHT-IN-LOGO GIFTS</v>
      </c>
      <c r="C154" s="11"/>
      <c r="D154" s="2">
        <v>718.84</v>
      </c>
      <c r="E154" s="2"/>
      <c r="F154" s="19">
        <f t="shared" si="12"/>
        <v>7.1285250940366523E-4</v>
      </c>
      <c r="G154" s="2"/>
      <c r="H154" s="2">
        <v>953.44</v>
      </c>
      <c r="I154" s="2"/>
      <c r="J154" s="19">
        <f t="shared" si="13"/>
        <v>9.9466416464980239E-4</v>
      </c>
      <c r="K154" s="2"/>
      <c r="L154" s="2">
        <f t="shared" si="14"/>
        <v>-234.60000000000002</v>
      </c>
      <c r="M154" s="2"/>
      <c r="N154" s="19">
        <f t="shared" si="15"/>
        <v>-0.2460563852995469</v>
      </c>
      <c r="O154" s="11"/>
      <c r="P154" s="2">
        <v>1536.85</v>
      </c>
      <c r="Q154" s="2"/>
      <c r="R154" s="19">
        <f t="shared" si="16"/>
        <v>2.6779575824169483E-4</v>
      </c>
      <c r="S154" s="2"/>
      <c r="T154" s="2">
        <v>3124.56</v>
      </c>
      <c r="U154" s="2"/>
      <c r="V154" s="19">
        <f t="shared" si="17"/>
        <v>5.1306092902963889E-4</v>
      </c>
      <c r="W154" s="2"/>
      <c r="X154" s="2">
        <f t="shared" si="18"/>
        <v>-1587.71</v>
      </c>
      <c r="Y154" s="2"/>
      <c r="Z154" s="19">
        <f t="shared" si="19"/>
        <v>-0.50813874593542774</v>
      </c>
    </row>
    <row r="155" spans="1:26" s="24" customFormat="1" hidden="1" outlineLevel="1" x14ac:dyDescent="0.25">
      <c r="A155" s="44"/>
      <c r="B155" s="11" t="str">
        <f>CONCATENATE("          ", "5542", " - ", "FREIGHT-IN-EVERYDAY GIFTS")</f>
        <v xml:space="preserve">          5542 - FREIGHT-IN-EVERYDAY GIFTS</v>
      </c>
      <c r="C155" s="11"/>
      <c r="D155" s="2">
        <v>596.04999999999995</v>
      </c>
      <c r="E155" s="2"/>
      <c r="F155" s="19">
        <f t="shared" si="12"/>
        <v>5.9108527381622423E-4</v>
      </c>
      <c r="G155" s="2"/>
      <c r="H155" s="2">
        <v>315.79000000000002</v>
      </c>
      <c r="I155" s="2"/>
      <c r="J155" s="19">
        <f t="shared" si="13"/>
        <v>3.294439047604056E-4</v>
      </c>
      <c r="K155" s="2"/>
      <c r="L155" s="2">
        <f t="shared" si="14"/>
        <v>280.25999999999993</v>
      </c>
      <c r="M155" s="2"/>
      <c r="N155" s="19">
        <f t="shared" si="15"/>
        <v>0.88748852085246499</v>
      </c>
      <c r="O155" s="11"/>
      <c r="P155" s="2">
        <v>767.73</v>
      </c>
      <c r="Q155" s="2"/>
      <c r="R155" s="19">
        <f t="shared" si="16"/>
        <v>1.3377677553105143E-4</v>
      </c>
      <c r="S155" s="2"/>
      <c r="T155" s="2">
        <v>793.32</v>
      </c>
      <c r="U155" s="2"/>
      <c r="V155" s="19">
        <f t="shared" si="17"/>
        <v>1.3026522013268849E-4</v>
      </c>
      <c r="W155" s="2"/>
      <c r="X155" s="2">
        <f t="shared" si="18"/>
        <v>-25.590000000000032</v>
      </c>
      <c r="Y155" s="2"/>
      <c r="Z155" s="19">
        <f t="shared" si="19"/>
        <v>-3.2256844652851349E-2</v>
      </c>
    </row>
    <row r="156" spans="1:26" s="24" customFormat="1" hidden="1" outlineLevel="1" x14ac:dyDescent="0.25">
      <c r="A156" s="44"/>
      <c r="B156" s="11" t="str">
        <f>CONCATENATE("          ", "5543", " - ", "FREIGHT-IN-CARDS")</f>
        <v xml:space="preserve">          5543 - FREIGHT-IN-CARDS</v>
      </c>
      <c r="C156" s="11"/>
      <c r="D156" s="2"/>
      <c r="E156" s="2"/>
      <c r="F156" s="19">
        <f t="shared" si="12"/>
        <v>0</v>
      </c>
      <c r="G156" s="2"/>
      <c r="H156" s="2"/>
      <c r="I156" s="2"/>
      <c r="J156" s="19">
        <f t="shared" si="13"/>
        <v>0</v>
      </c>
      <c r="K156" s="2"/>
      <c r="L156" s="2">
        <f t="shared" si="14"/>
        <v>0</v>
      </c>
      <c r="M156" s="2"/>
      <c r="N156" s="19">
        <f t="shared" si="15"/>
        <v>0</v>
      </c>
      <c r="O156" s="11"/>
      <c r="P156" s="2">
        <v>4.58</v>
      </c>
      <c r="Q156" s="2"/>
      <c r="R156" s="19">
        <f t="shared" si="16"/>
        <v>7.980639442671454E-7</v>
      </c>
      <c r="S156" s="2"/>
      <c r="T156" s="2"/>
      <c r="U156" s="2"/>
      <c r="V156" s="19">
        <f t="shared" si="17"/>
        <v>0</v>
      </c>
      <c r="W156" s="2"/>
      <c r="X156" s="2">
        <f t="shared" si="18"/>
        <v>4.58</v>
      </c>
      <c r="Y156" s="2"/>
      <c r="Z156" s="19">
        <f t="shared" si="19"/>
        <v>0</v>
      </c>
    </row>
    <row r="157" spans="1:26" s="24" customFormat="1" hidden="1" outlineLevel="1" x14ac:dyDescent="0.25">
      <c r="A157" s="44"/>
      <c r="B157" s="11" t="str">
        <f>CONCATENATE("          ", "5544", " - ", "FREIGHT-IN-ACCESSORIES")</f>
        <v xml:space="preserve">          5544 - FREIGHT-IN-ACCESSORIES</v>
      </c>
      <c r="C157" s="11"/>
      <c r="D157" s="2">
        <v>223.25</v>
      </c>
      <c r="E157" s="2"/>
      <c r="F157" s="19">
        <f t="shared" si="12"/>
        <v>2.2139046620161406E-4</v>
      </c>
      <c r="G157" s="2"/>
      <c r="H157" s="2">
        <v>107.33</v>
      </c>
      <c r="I157" s="2"/>
      <c r="J157" s="19">
        <f t="shared" si="13"/>
        <v>1.1197065865902762E-4</v>
      </c>
      <c r="K157" s="2"/>
      <c r="L157" s="2">
        <f t="shared" si="14"/>
        <v>115.92</v>
      </c>
      <c r="M157" s="2"/>
      <c r="N157" s="19">
        <f t="shared" si="15"/>
        <v>1.0800335414143296</v>
      </c>
      <c r="O157" s="11"/>
      <c r="P157" s="2">
        <v>359.09</v>
      </c>
      <c r="Q157" s="2"/>
      <c r="R157" s="19">
        <f t="shared" si="16"/>
        <v>6.2571349726395028E-5</v>
      </c>
      <c r="S157" s="2"/>
      <c r="T157" s="2">
        <v>577.97</v>
      </c>
      <c r="U157" s="2"/>
      <c r="V157" s="19">
        <f t="shared" si="17"/>
        <v>9.4904186557870672E-5</v>
      </c>
      <c r="W157" s="2"/>
      <c r="X157" s="2">
        <f t="shared" si="18"/>
        <v>-218.88000000000005</v>
      </c>
      <c r="Y157" s="2"/>
      <c r="Z157" s="19">
        <f t="shared" si="19"/>
        <v>-0.37870477706455358</v>
      </c>
    </row>
    <row r="158" spans="1:26" s="24" customFormat="1" hidden="1" outlineLevel="1" x14ac:dyDescent="0.25">
      <c r="A158" s="44"/>
      <c r="B158" s="11" t="str">
        <f>CONCATENATE("          ", "5545", " - ", "FREIGHT-IN-SPECIAL ORDERS")</f>
        <v xml:space="preserve">          5545 - FREIGHT-IN-SPECIAL ORDERS</v>
      </c>
      <c r="C158" s="11"/>
      <c r="D158" s="2">
        <v>84.47</v>
      </c>
      <c r="E158" s="2"/>
      <c r="F158" s="19">
        <f t="shared" si="12"/>
        <v>8.3766417379844754E-5</v>
      </c>
      <c r="G158" s="2"/>
      <c r="H158" s="2">
        <v>74.5</v>
      </c>
      <c r="I158" s="2"/>
      <c r="J158" s="19">
        <f t="shared" si="13"/>
        <v>7.7721178329428464E-5</v>
      </c>
      <c r="K158" s="2"/>
      <c r="L158" s="2">
        <f t="shared" si="14"/>
        <v>9.9699999999999989</v>
      </c>
      <c r="M158" s="2"/>
      <c r="N158" s="19">
        <f t="shared" si="15"/>
        <v>0.13382550335570467</v>
      </c>
      <c r="O158" s="11"/>
      <c r="P158" s="2">
        <v>346.98</v>
      </c>
      <c r="Q158" s="2"/>
      <c r="R158" s="19">
        <f t="shared" si="16"/>
        <v>6.0461185017863344E-5</v>
      </c>
      <c r="S158" s="2"/>
      <c r="T158" s="2">
        <v>1261.06</v>
      </c>
      <c r="U158" s="2"/>
      <c r="V158" s="19">
        <f t="shared" si="17"/>
        <v>2.0706935221666934E-4</v>
      </c>
      <c r="W158" s="2"/>
      <c r="X158" s="2">
        <f t="shared" si="18"/>
        <v>-914.07999999999993</v>
      </c>
      <c r="Y158" s="2"/>
      <c r="Z158" s="19">
        <f t="shared" si="19"/>
        <v>-0.72485052257624538</v>
      </c>
    </row>
    <row r="159" spans="1:26" s="24" customFormat="1" hidden="1" outlineLevel="1" x14ac:dyDescent="0.25">
      <c r="A159" s="44"/>
      <c r="B159" s="11" t="str">
        <f>CONCATENATE("          ", "5592", " - ", "FREIGHT-IN-GRAD MERCH")</f>
        <v xml:space="preserve">          5592 - FREIGHT-IN-GRAD MERCH</v>
      </c>
      <c r="C159" s="11"/>
      <c r="D159" s="2"/>
      <c r="E159" s="2"/>
      <c r="F159" s="19">
        <f t="shared" si="12"/>
        <v>0</v>
      </c>
      <c r="G159" s="2"/>
      <c r="H159" s="2"/>
      <c r="I159" s="2"/>
      <c r="J159" s="19">
        <f t="shared" si="13"/>
        <v>0</v>
      </c>
      <c r="K159" s="2"/>
      <c r="L159" s="2">
        <f t="shared" si="14"/>
        <v>0</v>
      </c>
      <c r="M159" s="2"/>
      <c r="N159" s="19">
        <f t="shared" si="15"/>
        <v>0</v>
      </c>
      <c r="O159" s="11"/>
      <c r="P159" s="2">
        <v>70.78</v>
      </c>
      <c r="Q159" s="2"/>
      <c r="R159" s="19">
        <f t="shared" si="16"/>
        <v>1.2333398684547719E-5</v>
      </c>
      <c r="S159" s="2"/>
      <c r="T159" s="2">
        <v>114.3</v>
      </c>
      <c r="U159" s="2"/>
      <c r="V159" s="19">
        <f t="shared" si="17"/>
        <v>1.8768359125152892E-5</v>
      </c>
      <c r="W159" s="2"/>
      <c r="X159" s="2">
        <f t="shared" si="18"/>
        <v>-43.519999999999996</v>
      </c>
      <c r="Y159" s="2"/>
      <c r="Z159" s="19">
        <f t="shared" si="19"/>
        <v>-0.3807524059492563</v>
      </c>
    </row>
    <row r="160" spans="1:26" x14ac:dyDescent="0.25">
      <c r="A160" s="9"/>
      <c r="B160" s="10"/>
      <c r="C160" s="10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O160" s="10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x14ac:dyDescent="0.25">
      <c r="A161" s="10"/>
      <c r="B161" s="28" t="s">
        <v>6</v>
      </c>
      <c r="C161" s="28"/>
      <c r="D161" s="21">
        <f>D12-D108</f>
        <v>535807.63000000035</v>
      </c>
      <c r="E161" s="14"/>
      <c r="F161" s="22">
        <f>IF(D$12=0,0,D161/D$12)</f>
        <v>0.53134468533071455</v>
      </c>
      <c r="G161" s="14"/>
      <c r="H161" s="21">
        <f>H12-H108</f>
        <v>508092.65999999974</v>
      </c>
      <c r="I161" s="14"/>
      <c r="J161" s="22">
        <f>IF(H$12=0,0,H161/H$12)</f>
        <v>0.53006121121790128</v>
      </c>
      <c r="K161" s="16"/>
      <c r="L161" s="21">
        <f>+D161-H161</f>
        <v>27714.970000000612</v>
      </c>
      <c r="M161" s="16"/>
      <c r="N161" s="22">
        <f>IF(H161=0,0,L161/H161)</f>
        <v>5.4547078086112533E-2</v>
      </c>
      <c r="O161" s="29"/>
      <c r="P161" s="21">
        <f>P12-P108</f>
        <v>2390156.689999999</v>
      </c>
      <c r="Q161" s="14"/>
      <c r="R161" s="22">
        <f>IF(P$12=0,0,P161/P$12)</f>
        <v>0.41648425227901831</v>
      </c>
      <c r="S161" s="14"/>
      <c r="T161" s="21">
        <f>T12-T108</f>
        <v>2426321.08</v>
      </c>
      <c r="U161" s="14"/>
      <c r="V161" s="22">
        <f>IF(T$12=0,0,T161/T$12)</f>
        <v>0.39840827106184445</v>
      </c>
      <c r="W161" s="16"/>
      <c r="X161" s="21">
        <f>+P161-T161</f>
        <v>-36164.390000001062</v>
      </c>
      <c r="Y161" s="16"/>
      <c r="Z161" s="22">
        <f>IF(T161=0,0,X161/T161)</f>
        <v>-1.4905030623564899E-2</v>
      </c>
    </row>
    <row r="162" spans="1:26" x14ac:dyDescent="0.25">
      <c r="A162" s="9"/>
      <c r="B162" s="10"/>
      <c r="C162" s="9"/>
      <c r="D162" s="1"/>
      <c r="E162" s="1"/>
      <c r="F162" s="5"/>
      <c r="G162" s="1"/>
      <c r="H162" s="1"/>
      <c r="I162" s="1"/>
      <c r="J162" s="5"/>
      <c r="K162" s="1"/>
      <c r="L162" s="1"/>
      <c r="M162" s="1"/>
      <c r="N162" s="5"/>
      <c r="O162" s="37"/>
      <c r="P162" s="1"/>
      <c r="Q162" s="1"/>
      <c r="R162" s="5"/>
      <c r="S162" s="1"/>
      <c r="T162" s="1"/>
      <c r="U162" s="1"/>
      <c r="V162" s="5"/>
      <c r="W162" s="1"/>
      <c r="X162" s="1"/>
      <c r="Y162" s="1"/>
      <c r="Z162" s="5"/>
    </row>
    <row r="163" spans="1:26" s="23" customFormat="1" x14ac:dyDescent="0.25">
      <c r="A163" s="10"/>
      <c r="B163" s="29" t="s">
        <v>9</v>
      </c>
      <c r="C163" s="10"/>
      <c r="D163" s="20">
        <f>SUM(OSRRefD22x_0)</f>
        <v>542482.10000000009</v>
      </c>
      <c r="E163" s="20"/>
      <c r="F163" s="35">
        <f t="shared" ref="F163:F173" si="20">IF(D$12=0,0,D163/D$12)</f>
        <v>0.53796356114235455</v>
      </c>
      <c r="G163" s="20"/>
      <c r="H163" s="20">
        <f>SUM(OSRRefH22x_0)</f>
        <v>549994.95000000007</v>
      </c>
      <c r="I163" s="20"/>
      <c r="J163" s="35">
        <f t="shared" ref="J163:J173" si="21">IF(H$12=0,0,H163/H$12)</f>
        <v>0.57377524280852477</v>
      </c>
      <c r="K163" s="4"/>
      <c r="L163" s="20">
        <f t="shared" ref="L163:L173" si="22">+D163-H163</f>
        <v>-7512.8499999999767</v>
      </c>
      <c r="M163" s="4"/>
      <c r="N163" s="35">
        <f t="shared" ref="N163:N173" si="23">IF(H163=0,0,L163/H163)</f>
        <v>-1.3659852695011064E-2</v>
      </c>
      <c r="O163" s="10"/>
      <c r="P163" s="20">
        <f>SUM(OSRRefP22x_0)</f>
        <v>1960199.8500000003</v>
      </c>
      <c r="Q163" s="20"/>
      <c r="R163" s="35">
        <f t="shared" ref="R163:R173" si="24">IF(P$12=0,0,P163/P$12)</f>
        <v>0.3415643720180932</v>
      </c>
      <c r="S163" s="20"/>
      <c r="T163" s="20">
        <f>SUM(OSRRefT22x_0)</f>
        <v>2029988.7499999995</v>
      </c>
      <c r="U163" s="20"/>
      <c r="V163" s="35">
        <f t="shared" ref="V163:V173" si="25">IF(T$12=0,0,T163/T$12)</f>
        <v>0.3333294652670184</v>
      </c>
      <c r="W163" s="4"/>
      <c r="X163" s="20">
        <f t="shared" ref="X163:X173" si="26">+P163-T163</f>
        <v>-69788.899999999208</v>
      </c>
      <c r="Y163" s="4"/>
      <c r="Z163" s="35">
        <f t="shared" ref="Z163:Z173" si="27">IF(T163=0,0,X163/T163)</f>
        <v>-3.4378958996693562E-2</v>
      </c>
    </row>
    <row r="164" spans="1:26" s="27" customFormat="1" outlineLevel="1" collapsed="1" x14ac:dyDescent="0.25">
      <c r="A164" s="25"/>
      <c r="B164" s="13" t="str">
        <f>CONCATENATE("     ","*Benefits                                         ")</f>
        <v xml:space="preserve">     *Benefits                                         </v>
      </c>
      <c r="C164" s="13"/>
      <c r="D164" s="1">
        <f>SUM(OSRRefD22_0x_0)</f>
        <v>77629.350000000006</v>
      </c>
      <c r="E164" s="1"/>
      <c r="F164" s="5">
        <f t="shared" si="20"/>
        <v>7.6982745744359551E-2</v>
      </c>
      <c r="G164" s="1"/>
      <c r="H164" s="1">
        <f>SUM(OSRRefH22_0x_0)</f>
        <v>87535.030000000013</v>
      </c>
      <c r="I164" s="1"/>
      <c r="J164" s="5">
        <f t="shared" si="21"/>
        <v>9.1319807740964723E-2</v>
      </c>
      <c r="K164" s="1"/>
      <c r="L164" s="1">
        <f t="shared" si="22"/>
        <v>-9905.6800000000076</v>
      </c>
      <c r="M164" s="1"/>
      <c r="N164" s="5">
        <f t="shared" si="23"/>
        <v>-0.11316246764295398</v>
      </c>
      <c r="O164" s="13"/>
      <c r="P164" s="1">
        <f>SUM(OSRRefP22_0x_0)</f>
        <v>276001.83</v>
      </c>
      <c r="Q164" s="1"/>
      <c r="R164" s="5">
        <f t="shared" si="24"/>
        <v>4.8093255256495666E-2</v>
      </c>
      <c r="S164" s="1"/>
      <c r="T164" s="1">
        <f>SUM(OSRRefT22_0x_0)</f>
        <v>271768.11</v>
      </c>
      <c r="U164" s="1"/>
      <c r="V164" s="5">
        <f t="shared" si="25"/>
        <v>4.4625034884024979E-2</v>
      </c>
      <c r="W164" s="1"/>
      <c r="X164" s="1">
        <f t="shared" si="26"/>
        <v>4233.7200000000303</v>
      </c>
      <c r="Y164" s="1"/>
      <c r="Z164" s="5">
        <f t="shared" si="27"/>
        <v>1.5578428241635968E-2</v>
      </c>
    </row>
    <row r="165" spans="1:26" s="24" customFormat="1" hidden="1" outlineLevel="2" x14ac:dyDescent="0.25">
      <c r="A165" s="26"/>
      <c r="B165" s="11" t="str">
        <f>CONCATENATE("          ", "6111", " - ", "F.I.C.A.")</f>
        <v xml:space="preserve">          6111 - F.I.C.A.</v>
      </c>
      <c r="C165" s="11"/>
      <c r="D165" s="6">
        <v>19899.060000000001</v>
      </c>
      <c r="E165" s="2"/>
      <c r="F165" s="7">
        <f t="shared" si="20"/>
        <v>1.9733313193164122E-2</v>
      </c>
      <c r="G165" s="2"/>
      <c r="H165" s="6">
        <v>20604.070000000003</v>
      </c>
      <c r="I165" s="2"/>
      <c r="J165" s="7">
        <f t="shared" si="21"/>
        <v>2.1494934211839296E-2</v>
      </c>
      <c r="K165" s="2"/>
      <c r="L165" s="6">
        <f t="shared" si="22"/>
        <v>-705.01000000000204</v>
      </c>
      <c r="M165" s="2"/>
      <c r="N165" s="7">
        <f t="shared" si="23"/>
        <v>-3.4217026053590477E-2</v>
      </c>
      <c r="O165" s="11"/>
      <c r="P165" s="6">
        <v>59042.71</v>
      </c>
      <c r="Q165" s="2"/>
      <c r="R165" s="7">
        <f t="shared" si="24"/>
        <v>1.0288178607602888E-2</v>
      </c>
      <c r="S165" s="2"/>
      <c r="T165" s="6">
        <v>59174.15</v>
      </c>
      <c r="U165" s="2"/>
      <c r="V165" s="7">
        <f t="shared" si="25"/>
        <v>9.7165502898133513E-3</v>
      </c>
      <c r="W165" s="2"/>
      <c r="X165" s="6">
        <f t="shared" si="26"/>
        <v>-131.44000000000233</v>
      </c>
      <c r="Y165" s="2"/>
      <c r="Z165" s="7">
        <f t="shared" si="27"/>
        <v>-2.2212401868045815E-3</v>
      </c>
    </row>
    <row r="166" spans="1:26" s="24" customFormat="1" hidden="1" outlineLevel="2" x14ac:dyDescent="0.25">
      <c r="A166" s="26"/>
      <c r="B166" s="11" t="str">
        <f>CONCATENATE("          ", "6112", " - ", "COMPENSATION INSURANCE")</f>
        <v xml:space="preserve">          6112 - COMPENSATION INSURANCE</v>
      </c>
      <c r="C166" s="11"/>
      <c r="D166" s="6">
        <v>296.35000000000002</v>
      </c>
      <c r="E166" s="2"/>
      <c r="F166" s="7">
        <f t="shared" si="20"/>
        <v>2.9388158861746175E-4</v>
      </c>
      <c r="G166" s="2"/>
      <c r="H166" s="6">
        <v>5769.69</v>
      </c>
      <c r="I166" s="2"/>
      <c r="J166" s="7">
        <f t="shared" si="21"/>
        <v>6.0191557771210749E-3</v>
      </c>
      <c r="K166" s="2"/>
      <c r="L166" s="6">
        <f t="shared" si="22"/>
        <v>-5473.3399999999992</v>
      </c>
      <c r="M166" s="2"/>
      <c r="N166" s="7">
        <f t="shared" si="23"/>
        <v>-0.94863675518095425</v>
      </c>
      <c r="O166" s="11"/>
      <c r="P166" s="6">
        <v>11116.64</v>
      </c>
      <c r="Q166" s="2"/>
      <c r="R166" s="7">
        <f t="shared" si="24"/>
        <v>1.9370719575104625E-3</v>
      </c>
      <c r="S166" s="2"/>
      <c r="T166" s="6">
        <v>10414.23</v>
      </c>
      <c r="U166" s="2"/>
      <c r="V166" s="7">
        <f t="shared" si="25"/>
        <v>1.7100438202269554E-3</v>
      </c>
      <c r="W166" s="2"/>
      <c r="X166" s="6">
        <f t="shared" si="26"/>
        <v>702.40999999999985</v>
      </c>
      <c r="Y166" s="2"/>
      <c r="Z166" s="7">
        <f t="shared" si="27"/>
        <v>6.7447137234341842E-2</v>
      </c>
    </row>
    <row r="167" spans="1:26" s="24" customFormat="1" hidden="1" outlineLevel="2" x14ac:dyDescent="0.25">
      <c r="A167" s="26"/>
      <c r="B167" s="11" t="str">
        <f>CONCATENATE("          ", "6113", " - ", "GROUP INSURANCE")</f>
        <v xml:space="preserve">          6113 - GROUP INSURANCE</v>
      </c>
      <c r="C167" s="11"/>
      <c r="D167" s="6">
        <v>25383.670000000002</v>
      </c>
      <c r="E167" s="2"/>
      <c r="F167" s="7">
        <f t="shared" si="20"/>
        <v>2.5172239799363606E-2</v>
      </c>
      <c r="G167" s="2"/>
      <c r="H167" s="6">
        <v>27455.01</v>
      </c>
      <c r="I167" s="2"/>
      <c r="J167" s="7">
        <f t="shared" si="21"/>
        <v>2.8642090312030091E-2</v>
      </c>
      <c r="K167" s="2"/>
      <c r="L167" s="6">
        <f t="shared" si="22"/>
        <v>-2071.3399999999965</v>
      </c>
      <c r="M167" s="2"/>
      <c r="N167" s="7">
        <f t="shared" si="23"/>
        <v>-7.5444882373016678E-2</v>
      </c>
      <c r="O167" s="11"/>
      <c r="P167" s="6">
        <v>101549.93</v>
      </c>
      <c r="Q167" s="2"/>
      <c r="R167" s="7">
        <f t="shared" si="24"/>
        <v>1.769505189429094E-2</v>
      </c>
      <c r="S167" s="2"/>
      <c r="T167" s="6">
        <v>92408.3</v>
      </c>
      <c r="U167" s="2"/>
      <c r="V167" s="7">
        <f t="shared" si="25"/>
        <v>1.5173684694180806E-2</v>
      </c>
      <c r="W167" s="2"/>
      <c r="X167" s="6">
        <f t="shared" si="26"/>
        <v>9141.6299999999901</v>
      </c>
      <c r="Y167" s="2"/>
      <c r="Z167" s="7">
        <f t="shared" si="27"/>
        <v>9.8926503355217979E-2</v>
      </c>
    </row>
    <row r="168" spans="1:26" s="24" customFormat="1" hidden="1" outlineLevel="2" x14ac:dyDescent="0.25">
      <c r="A168" s="26"/>
      <c r="B168" s="11" t="str">
        <f>CONCATENATE("          ", "6114", " - ", "STATE UNEMPLOYMENT INSURANCE")</f>
        <v xml:space="preserve">          6114 - STATE UNEMPLOYMENT INSURANCE</v>
      </c>
      <c r="C168" s="11"/>
      <c r="D168" s="6">
        <v>806.06</v>
      </c>
      <c r="E168" s="2"/>
      <c r="F168" s="7">
        <f t="shared" si="20"/>
        <v>7.993460209920404E-4</v>
      </c>
      <c r="G168" s="2"/>
      <c r="H168" s="6">
        <v>769.71</v>
      </c>
      <c r="I168" s="2"/>
      <c r="J168" s="7">
        <f t="shared" si="21"/>
        <v>8.0299017680462265E-4</v>
      </c>
      <c r="K168" s="2"/>
      <c r="L168" s="6">
        <f t="shared" si="22"/>
        <v>36.349999999999909</v>
      </c>
      <c r="M168" s="2"/>
      <c r="N168" s="7">
        <f t="shared" si="23"/>
        <v>4.7225578464616426E-2</v>
      </c>
      <c r="O168" s="11"/>
      <c r="P168" s="6">
        <v>2537.13</v>
      </c>
      <c r="Q168" s="2"/>
      <c r="R168" s="7">
        <f t="shared" si="24"/>
        <v>4.4209431766779531E-4</v>
      </c>
      <c r="S168" s="2"/>
      <c r="T168" s="6">
        <v>2685.52</v>
      </c>
      <c r="U168" s="2"/>
      <c r="V168" s="7">
        <f t="shared" si="25"/>
        <v>4.4096941205407346E-4</v>
      </c>
      <c r="W168" s="2"/>
      <c r="X168" s="6">
        <f t="shared" si="26"/>
        <v>-148.38999999999987</v>
      </c>
      <c r="Y168" s="2"/>
      <c r="Z168" s="7">
        <f t="shared" si="27"/>
        <v>-5.5255592957788389E-2</v>
      </c>
    </row>
    <row r="169" spans="1:26" s="24" customFormat="1" hidden="1" outlineLevel="2" x14ac:dyDescent="0.25">
      <c r="A169" s="26"/>
      <c r="B169" s="11" t="str">
        <f>CONCATENATE("          ", "6115", " - ", "P.E.R.S.")</f>
        <v xml:space="preserve">          6115 - P.E.R.S.</v>
      </c>
      <c r="C169" s="11"/>
      <c r="D169" s="6">
        <v>13247.35</v>
      </c>
      <c r="E169" s="2"/>
      <c r="F169" s="7">
        <f t="shared" si="20"/>
        <v>1.3137007804864287E-2</v>
      </c>
      <c r="G169" s="2"/>
      <c r="H169" s="6">
        <v>12326.81</v>
      </c>
      <c r="I169" s="2"/>
      <c r="J169" s="7">
        <f t="shared" si="21"/>
        <v>1.2859787895878954E-2</v>
      </c>
      <c r="K169" s="2"/>
      <c r="L169" s="6">
        <f t="shared" si="22"/>
        <v>920.54000000000087</v>
      </c>
      <c r="M169" s="2"/>
      <c r="N169" s="7">
        <f t="shared" si="23"/>
        <v>7.4677876920306308E-2</v>
      </c>
      <c r="O169" s="11"/>
      <c r="P169" s="6">
        <v>36431.009999999995</v>
      </c>
      <c r="Q169" s="2"/>
      <c r="R169" s="7">
        <f t="shared" si="24"/>
        <v>6.3480950948113122E-3</v>
      </c>
      <c r="S169" s="2"/>
      <c r="T169" s="6">
        <v>36561</v>
      </c>
      <c r="U169" s="2"/>
      <c r="V169" s="7">
        <f t="shared" si="25"/>
        <v>6.0034118807936561E-3</v>
      </c>
      <c r="W169" s="2"/>
      <c r="X169" s="6">
        <f t="shared" si="26"/>
        <v>-129.99000000000524</v>
      </c>
      <c r="Y169" s="2"/>
      <c r="Z169" s="7">
        <f t="shared" si="27"/>
        <v>-3.5554279149915278E-3</v>
      </c>
    </row>
    <row r="170" spans="1:26" s="24" customFormat="1" hidden="1" outlineLevel="2" x14ac:dyDescent="0.25">
      <c r="A170" s="26"/>
      <c r="B170" s="11" t="str">
        <f>CONCATENATE("          ", "6117", " - ", "RETIREMENT STAFF HOURLY")</f>
        <v xml:space="preserve">          6117 - RETIREMENT STAFF HOURLY</v>
      </c>
      <c r="C170" s="11"/>
      <c r="D170" s="6">
        <v>91.29</v>
      </c>
      <c r="E170" s="2"/>
      <c r="F170" s="7">
        <f t="shared" si="20"/>
        <v>9.0529611017000451E-5</v>
      </c>
      <c r="G170" s="2"/>
      <c r="H170" s="6">
        <v>293.82</v>
      </c>
      <c r="I170" s="2"/>
      <c r="J170" s="7">
        <f t="shared" si="21"/>
        <v>3.0652398143292175E-4</v>
      </c>
      <c r="K170" s="2"/>
      <c r="L170" s="6">
        <f t="shared" si="22"/>
        <v>-202.52999999999997</v>
      </c>
      <c r="M170" s="2"/>
      <c r="N170" s="7">
        <f t="shared" si="23"/>
        <v>-0.68929957116601992</v>
      </c>
      <c r="O170" s="11"/>
      <c r="P170" s="6">
        <v>552.63</v>
      </c>
      <c r="Q170" s="2"/>
      <c r="R170" s="7">
        <f t="shared" si="24"/>
        <v>9.6295650113614091E-5</v>
      </c>
      <c r="S170" s="2"/>
      <c r="T170" s="6">
        <v>1400.79</v>
      </c>
      <c r="U170" s="2"/>
      <c r="V170" s="7">
        <f t="shared" si="25"/>
        <v>2.3001338389258899E-4</v>
      </c>
      <c r="W170" s="2"/>
      <c r="X170" s="6">
        <f t="shared" si="26"/>
        <v>-848.16</v>
      </c>
      <c r="Y170" s="2"/>
      <c r="Z170" s="7">
        <f t="shared" si="27"/>
        <v>-0.60548690381855952</v>
      </c>
    </row>
    <row r="171" spans="1:26" s="24" customFormat="1" hidden="1" outlineLevel="2" x14ac:dyDescent="0.25">
      <c r="A171" s="26"/>
      <c r="B171" s="11" t="str">
        <f>CONCATENATE("          ", "6118", " - ", "VACATION")</f>
        <v xml:space="preserve">          6118 - VACATION</v>
      </c>
      <c r="C171" s="11"/>
      <c r="D171" s="6">
        <v>8818.23</v>
      </c>
      <c r="E171" s="2"/>
      <c r="F171" s="7">
        <f t="shared" si="20"/>
        <v>8.7447796227236689E-3</v>
      </c>
      <c r="G171" s="2"/>
      <c r="H171" s="6">
        <v>10278.5</v>
      </c>
      <c r="I171" s="2"/>
      <c r="J171" s="7">
        <f t="shared" si="21"/>
        <v>1.0722914516228598E-2</v>
      </c>
      <c r="K171" s="2"/>
      <c r="L171" s="6">
        <f t="shared" si="22"/>
        <v>-1460.2700000000004</v>
      </c>
      <c r="M171" s="2"/>
      <c r="N171" s="7">
        <f t="shared" si="23"/>
        <v>-0.1420703410030647</v>
      </c>
      <c r="O171" s="11"/>
      <c r="P171" s="6">
        <v>29763.279999999999</v>
      </c>
      <c r="Q171" s="2"/>
      <c r="R171" s="7">
        <f t="shared" si="24"/>
        <v>5.1862446792854677E-3</v>
      </c>
      <c r="S171" s="2"/>
      <c r="T171" s="6">
        <v>32414.42</v>
      </c>
      <c r="U171" s="2"/>
      <c r="V171" s="7">
        <f t="shared" si="25"/>
        <v>5.3225325931193215E-3</v>
      </c>
      <c r="W171" s="2"/>
      <c r="X171" s="6">
        <f t="shared" si="26"/>
        <v>-2651.1399999999994</v>
      </c>
      <c r="Y171" s="2"/>
      <c r="Z171" s="7">
        <f t="shared" si="27"/>
        <v>-8.1788907529426705E-2</v>
      </c>
    </row>
    <row r="172" spans="1:26" s="24" customFormat="1" hidden="1" outlineLevel="2" x14ac:dyDescent="0.25">
      <c r="A172" s="26"/>
      <c r="B172" s="11" t="str">
        <f>CONCATENATE("          ", "6119", " - ", "SICK LEAVE")</f>
        <v xml:space="preserve">          6119 - SICK LEAVE</v>
      </c>
      <c r="C172" s="11"/>
      <c r="D172" s="6">
        <v>6251.77</v>
      </c>
      <c r="E172" s="2"/>
      <c r="F172" s="7">
        <f t="shared" si="20"/>
        <v>6.1996966400235829E-3</v>
      </c>
      <c r="G172" s="2"/>
      <c r="H172" s="6">
        <v>7467.44</v>
      </c>
      <c r="I172" s="2"/>
      <c r="J172" s="7">
        <f t="shared" si="21"/>
        <v>7.7903118913329834E-3</v>
      </c>
      <c r="K172" s="2"/>
      <c r="L172" s="6">
        <f t="shared" si="22"/>
        <v>-1215.6699999999992</v>
      </c>
      <c r="M172" s="2"/>
      <c r="N172" s="7">
        <f t="shared" si="23"/>
        <v>-0.16279608540544005</v>
      </c>
      <c r="O172" s="11"/>
      <c r="P172" s="6">
        <v>24522.31</v>
      </c>
      <c r="Q172" s="2"/>
      <c r="R172" s="7">
        <f t="shared" si="24"/>
        <v>4.2730068648780921E-3</v>
      </c>
      <c r="S172" s="2"/>
      <c r="T172" s="6">
        <v>26543.85</v>
      </c>
      <c r="U172" s="2"/>
      <c r="V172" s="7">
        <f t="shared" si="25"/>
        <v>4.3585696357321922E-3</v>
      </c>
      <c r="W172" s="2"/>
      <c r="X172" s="6">
        <f t="shared" si="26"/>
        <v>-2021.5399999999972</v>
      </c>
      <c r="Y172" s="2"/>
      <c r="Z172" s="7">
        <f t="shared" si="27"/>
        <v>-7.6158507526225369E-2</v>
      </c>
    </row>
    <row r="173" spans="1:26" s="24" customFormat="1" hidden="1" outlineLevel="2" x14ac:dyDescent="0.25">
      <c r="A173" s="26"/>
      <c r="B173" s="11" t="str">
        <f>CONCATENATE("          ", "6156", " - ", "EMPLOYEE MEALS")</f>
        <v xml:space="preserve">          6156 - EMPLOYEE MEALS</v>
      </c>
      <c r="C173" s="11"/>
      <c r="D173" s="6">
        <v>2835.57</v>
      </c>
      <c r="E173" s="2"/>
      <c r="F173" s="7">
        <f t="shared" si="20"/>
        <v>2.8119514635937775E-3</v>
      </c>
      <c r="G173" s="2"/>
      <c r="H173" s="6">
        <v>2569.98</v>
      </c>
      <c r="I173" s="2"/>
      <c r="J173" s="7">
        <f t="shared" si="21"/>
        <v>2.6810989782961687E-3</v>
      </c>
      <c r="K173" s="2"/>
      <c r="L173" s="6">
        <f t="shared" si="22"/>
        <v>265.59000000000015</v>
      </c>
      <c r="M173" s="2"/>
      <c r="N173" s="7">
        <f t="shared" si="23"/>
        <v>0.10334321667872907</v>
      </c>
      <c r="O173" s="11"/>
      <c r="P173" s="6">
        <v>10486.19</v>
      </c>
      <c r="Q173" s="2"/>
      <c r="R173" s="7">
        <f t="shared" si="24"/>
        <v>1.8272161903350869E-3</v>
      </c>
      <c r="S173" s="2"/>
      <c r="T173" s="6">
        <v>10165.85</v>
      </c>
      <c r="U173" s="2"/>
      <c r="V173" s="7">
        <f t="shared" si="25"/>
        <v>1.6692591742120345E-3</v>
      </c>
      <c r="W173" s="2"/>
      <c r="X173" s="6">
        <f t="shared" si="26"/>
        <v>320.34000000000015</v>
      </c>
      <c r="Y173" s="2"/>
      <c r="Z173" s="7">
        <f t="shared" si="27"/>
        <v>3.1511383701313726E-2</v>
      </c>
    </row>
    <row r="174" spans="1:26" s="27" customFormat="1" outlineLevel="1" collapsed="1" x14ac:dyDescent="0.25">
      <c r="A174" s="25"/>
      <c r="B174" s="13" t="str">
        <f>CONCATENATE("     ","*Payroll                                          ")</f>
        <v xml:space="preserve">     *Payroll                                          </v>
      </c>
      <c r="C174" s="13"/>
      <c r="D174" s="1">
        <f>SUM(OSRRefD22_1x_0)</f>
        <v>263833.62</v>
      </c>
      <c r="E174" s="1"/>
      <c r="F174" s="5">
        <f t="shared" ref="F174:F181" si="28">IF(D$12=0,0,D174/D$12)</f>
        <v>0.26163604986096073</v>
      </c>
      <c r="G174" s="1"/>
      <c r="H174" s="1">
        <f>SUM(OSRRefH22_1x_0)</f>
        <v>248302.59</v>
      </c>
      <c r="I174" s="1"/>
      <c r="J174" s="5">
        <f t="shared" ref="J174:J181" si="29">IF(H$12=0,0,H174/H$12)</f>
        <v>0.25903852183958337</v>
      </c>
      <c r="K174" s="1"/>
      <c r="L174" s="1">
        <f t="shared" ref="L174:L181" si="30">+D174-H174</f>
        <v>15531.029999999999</v>
      </c>
      <c r="M174" s="1"/>
      <c r="N174" s="5">
        <f t="shared" ref="N174:N181" si="31">IF(H174=0,0,L174/H174)</f>
        <v>6.2548803860644375E-2</v>
      </c>
      <c r="O174" s="13"/>
      <c r="P174" s="1">
        <f>SUM(OSRRefP22_1x_0)</f>
        <v>971669.97</v>
      </c>
      <c r="Q174" s="1"/>
      <c r="R174" s="5">
        <f t="shared" ref="R174:R181" si="32">IF(P$12=0,0,P174/P$12)</f>
        <v>0.16931326829348009</v>
      </c>
      <c r="S174" s="1"/>
      <c r="T174" s="1">
        <f>SUM(OSRRefT22_1x_0)</f>
        <v>931372.05999999994</v>
      </c>
      <c r="U174" s="1"/>
      <c r="V174" s="5">
        <f t="shared" ref="V174:V181" si="33">IF(T$12=0,0,T174/T$12)</f>
        <v>0.15293372966940899</v>
      </c>
      <c r="W174" s="1"/>
      <c r="X174" s="1">
        <f t="shared" ref="X174:X181" si="34">+P174-T174</f>
        <v>40297.910000000033</v>
      </c>
      <c r="Y174" s="1"/>
      <c r="Z174" s="5">
        <f t="shared" ref="Z174:Z181" si="35">IF(T174=0,0,X174/T174)</f>
        <v>4.3267252401795298E-2</v>
      </c>
    </row>
    <row r="175" spans="1:26" s="24" customFormat="1" hidden="1" outlineLevel="2" x14ac:dyDescent="0.25">
      <c r="A175" s="26"/>
      <c r="B175" s="11" t="str">
        <f>CONCATENATE("          ", "6001", " - ", "ADMINISTRATIVE SALARIES")</f>
        <v xml:space="preserve">          6001 - ADMINISTRATIVE SALARIES</v>
      </c>
      <c r="C175" s="11"/>
      <c r="D175" s="6">
        <v>12324.99</v>
      </c>
      <c r="E175" s="2"/>
      <c r="F175" s="7">
        <f t="shared" si="28"/>
        <v>1.2222330490616938E-2</v>
      </c>
      <c r="G175" s="2"/>
      <c r="H175" s="6">
        <v>13006.5</v>
      </c>
      <c r="I175" s="2"/>
      <c r="J175" s="7">
        <f t="shared" si="29"/>
        <v>1.3568865851566596E-2</v>
      </c>
      <c r="K175" s="2"/>
      <c r="L175" s="6">
        <f t="shared" si="30"/>
        <v>-681.51000000000022</v>
      </c>
      <c r="M175" s="2"/>
      <c r="N175" s="7">
        <f t="shared" si="31"/>
        <v>-5.2397647330181082E-2</v>
      </c>
      <c r="O175" s="11"/>
      <c r="P175" s="6">
        <v>46083.689999999995</v>
      </c>
      <c r="Q175" s="2"/>
      <c r="R175" s="7">
        <f t="shared" si="32"/>
        <v>8.0300723597782533E-3</v>
      </c>
      <c r="S175" s="2"/>
      <c r="T175" s="6">
        <v>46302.25</v>
      </c>
      <c r="U175" s="2"/>
      <c r="V175" s="7">
        <f t="shared" si="33"/>
        <v>7.6029506238198645E-3</v>
      </c>
      <c r="W175" s="2"/>
      <c r="X175" s="6">
        <f t="shared" si="34"/>
        <v>-218.56000000000495</v>
      </c>
      <c r="Y175" s="2"/>
      <c r="Z175" s="7">
        <f t="shared" si="35"/>
        <v>-4.7202889708384569E-3</v>
      </c>
    </row>
    <row r="176" spans="1:26" s="24" customFormat="1" hidden="1" outlineLevel="2" x14ac:dyDescent="0.25">
      <c r="A176" s="26"/>
      <c r="B176" s="11" t="str">
        <f>CONCATENATE("          ", "6002", " - ", "STAFF SALARIES")</f>
        <v xml:space="preserve">          6002 - STAFF SALARIES</v>
      </c>
      <c r="C176" s="11"/>
      <c r="D176" s="6">
        <v>85017.090000000011</v>
      </c>
      <c r="E176" s="2"/>
      <c r="F176" s="7">
        <f t="shared" si="28"/>
        <v>8.4308950460042928E-2</v>
      </c>
      <c r="G176" s="2"/>
      <c r="H176" s="6">
        <v>76890.26999999999</v>
      </c>
      <c r="I176" s="2"/>
      <c r="J176" s="7">
        <f t="shared" si="29"/>
        <v>8.0214797133797353E-2</v>
      </c>
      <c r="K176" s="2"/>
      <c r="L176" s="6">
        <f t="shared" si="30"/>
        <v>8126.8200000000215</v>
      </c>
      <c r="M176" s="2"/>
      <c r="N176" s="7">
        <f t="shared" si="31"/>
        <v>0.10569373732203077</v>
      </c>
      <c r="O176" s="11"/>
      <c r="P176" s="6">
        <v>316110.94</v>
      </c>
      <c r="Q176" s="2"/>
      <c r="R176" s="7">
        <f t="shared" si="32"/>
        <v>5.5082258428470511E-2</v>
      </c>
      <c r="S176" s="2"/>
      <c r="T176" s="6">
        <v>293127.62</v>
      </c>
      <c r="U176" s="2"/>
      <c r="V176" s="7">
        <f t="shared" si="33"/>
        <v>4.8132322324246281E-2</v>
      </c>
      <c r="W176" s="2"/>
      <c r="X176" s="6">
        <f t="shared" si="34"/>
        <v>22983.320000000007</v>
      </c>
      <c r="Y176" s="2"/>
      <c r="Z176" s="7">
        <f t="shared" si="35"/>
        <v>7.8407213895435743E-2</v>
      </c>
    </row>
    <row r="177" spans="1:26" s="24" customFormat="1" hidden="1" outlineLevel="2" x14ac:dyDescent="0.25">
      <c r="A177" s="26"/>
      <c r="B177" s="11" t="str">
        <f>CONCATENATE("          ", "6004", " - ", "STAFF HOURLY")</f>
        <v xml:space="preserve">          6004 - STAFF HOURLY</v>
      </c>
      <c r="C177" s="11"/>
      <c r="D177" s="6">
        <v>4439.95</v>
      </c>
      <c r="E177" s="2"/>
      <c r="F177" s="7">
        <f t="shared" si="28"/>
        <v>4.4029679749691209E-3</v>
      </c>
      <c r="G177" s="2"/>
      <c r="H177" s="6">
        <v>7272.79</v>
      </c>
      <c r="I177" s="2"/>
      <c r="J177" s="7">
        <f t="shared" si="29"/>
        <v>7.5872457522481078E-3</v>
      </c>
      <c r="K177" s="2"/>
      <c r="L177" s="6">
        <f t="shared" si="30"/>
        <v>-2832.84</v>
      </c>
      <c r="M177" s="2"/>
      <c r="N177" s="7">
        <f t="shared" si="31"/>
        <v>-0.38951214045778859</v>
      </c>
      <c r="O177" s="11"/>
      <c r="P177" s="6">
        <v>10796.8</v>
      </c>
      <c r="Q177" s="2"/>
      <c r="R177" s="7">
        <f t="shared" si="32"/>
        <v>1.8813399112365752E-3</v>
      </c>
      <c r="S177" s="2"/>
      <c r="T177" s="6">
        <v>24870.5</v>
      </c>
      <c r="U177" s="2"/>
      <c r="V177" s="7">
        <f t="shared" si="33"/>
        <v>4.0838011865451879E-3</v>
      </c>
      <c r="W177" s="2"/>
      <c r="X177" s="6">
        <f t="shared" si="34"/>
        <v>-14073.7</v>
      </c>
      <c r="Y177" s="2"/>
      <c r="Z177" s="7">
        <f t="shared" si="35"/>
        <v>-0.56587925453850951</v>
      </c>
    </row>
    <row r="178" spans="1:26" s="24" customFormat="1" hidden="1" outlineLevel="2" x14ac:dyDescent="0.25">
      <c r="A178" s="26"/>
      <c r="B178" s="11" t="str">
        <f>CONCATENATE("          ", "6005", " - ", "TEMPORARY WAGES-HOURLY")</f>
        <v xml:space="preserve">          6005 - TEMPORARY WAGES-HOURLY</v>
      </c>
      <c r="C178" s="11"/>
      <c r="D178" s="6">
        <v>34724.25</v>
      </c>
      <c r="E178" s="2"/>
      <c r="F178" s="7">
        <f t="shared" si="28"/>
        <v>3.4435018571114882E-2</v>
      </c>
      <c r="G178" s="2"/>
      <c r="H178" s="6">
        <v>35859.990000000005</v>
      </c>
      <c r="I178" s="2"/>
      <c r="J178" s="7">
        <f t="shared" si="29"/>
        <v>3.7410478895053986E-2</v>
      </c>
      <c r="K178" s="2"/>
      <c r="L178" s="6">
        <f t="shared" si="30"/>
        <v>-1135.7400000000052</v>
      </c>
      <c r="M178" s="2"/>
      <c r="N178" s="7">
        <f t="shared" si="31"/>
        <v>-3.1671509110850427E-2</v>
      </c>
      <c r="O178" s="11"/>
      <c r="P178" s="6">
        <v>101931.33</v>
      </c>
      <c r="Q178" s="2"/>
      <c r="R178" s="7">
        <f t="shared" si="32"/>
        <v>1.7761510756374672E-2</v>
      </c>
      <c r="S178" s="2"/>
      <c r="T178" s="6">
        <v>103226.24000000001</v>
      </c>
      <c r="U178" s="2"/>
      <c r="V178" s="7">
        <f t="shared" si="33"/>
        <v>1.6950018752924081E-2</v>
      </c>
      <c r="W178" s="2"/>
      <c r="X178" s="6">
        <f t="shared" si="34"/>
        <v>-1294.9100000000035</v>
      </c>
      <c r="Y178" s="2"/>
      <c r="Z178" s="7">
        <f t="shared" si="35"/>
        <v>-1.2544387938570691E-2</v>
      </c>
    </row>
    <row r="179" spans="1:26" s="24" customFormat="1" hidden="1" outlineLevel="2" x14ac:dyDescent="0.25">
      <c r="A179" s="26"/>
      <c r="B179" s="11" t="str">
        <f>CONCATENATE("          ", "6006", " - ", "TEMPORARY PART TIME")</f>
        <v xml:space="preserve">          6006 - TEMPORARY PART TIME</v>
      </c>
      <c r="C179" s="11"/>
      <c r="D179" s="6">
        <v>7667.09</v>
      </c>
      <c r="E179" s="2"/>
      <c r="F179" s="7">
        <f t="shared" si="28"/>
        <v>7.603227903739007E-3</v>
      </c>
      <c r="G179" s="2"/>
      <c r="H179" s="6">
        <v>12966.35</v>
      </c>
      <c r="I179" s="2"/>
      <c r="J179" s="7">
        <f t="shared" si="29"/>
        <v>1.3526979874252146E-2</v>
      </c>
      <c r="K179" s="2"/>
      <c r="L179" s="6">
        <f t="shared" si="30"/>
        <v>-5299.26</v>
      </c>
      <c r="M179" s="2"/>
      <c r="N179" s="7">
        <f t="shared" si="31"/>
        <v>-0.4086932714295079</v>
      </c>
      <c r="O179" s="11"/>
      <c r="P179" s="6">
        <v>25227.070000000003</v>
      </c>
      <c r="Q179" s="2"/>
      <c r="R179" s="7">
        <f t="shared" si="32"/>
        <v>4.3958111324243184E-3</v>
      </c>
      <c r="S179" s="2"/>
      <c r="T179" s="6">
        <v>51925.11</v>
      </c>
      <c r="U179" s="2"/>
      <c r="V179" s="7">
        <f t="shared" si="33"/>
        <v>8.5262389509454754E-3</v>
      </c>
      <c r="W179" s="2"/>
      <c r="X179" s="6">
        <f t="shared" si="34"/>
        <v>-26698.039999999997</v>
      </c>
      <c r="Y179" s="2"/>
      <c r="Z179" s="7">
        <f t="shared" si="35"/>
        <v>-0.51416434168362857</v>
      </c>
    </row>
    <row r="180" spans="1:26" s="24" customFormat="1" hidden="1" outlineLevel="2" x14ac:dyDescent="0.25">
      <c r="A180" s="26"/>
      <c r="B180" s="11" t="str">
        <f>CONCATENATE("          ", "6007", " - ", "STUDENT HOURLY")</f>
        <v xml:space="preserve">          6007 - STUDENT HOURLY</v>
      </c>
      <c r="C180" s="11"/>
      <c r="D180" s="6">
        <v>116993.25</v>
      </c>
      <c r="E180" s="2"/>
      <c r="F180" s="7">
        <f t="shared" si="28"/>
        <v>0.11601876891351393</v>
      </c>
      <c r="G180" s="2"/>
      <c r="H180" s="6">
        <v>96750.56</v>
      </c>
      <c r="I180" s="2"/>
      <c r="J180" s="7">
        <f t="shared" si="29"/>
        <v>0.10093379231183984</v>
      </c>
      <c r="K180" s="2"/>
      <c r="L180" s="6">
        <f t="shared" si="30"/>
        <v>20242.690000000002</v>
      </c>
      <c r="M180" s="2"/>
      <c r="N180" s="7">
        <f t="shared" si="31"/>
        <v>0.20922555900451639</v>
      </c>
      <c r="O180" s="11"/>
      <c r="P180" s="6">
        <v>459941.35</v>
      </c>
      <c r="Q180" s="2"/>
      <c r="R180" s="7">
        <f t="shared" si="32"/>
        <v>8.0144674216715187E-2</v>
      </c>
      <c r="S180" s="2"/>
      <c r="T180" s="6">
        <v>393378.39</v>
      </c>
      <c r="U180" s="2"/>
      <c r="V180" s="7">
        <f t="shared" si="33"/>
        <v>6.4593761116311932E-2</v>
      </c>
      <c r="W180" s="2"/>
      <c r="X180" s="6">
        <f t="shared" si="34"/>
        <v>66562.959999999963</v>
      </c>
      <c r="Y180" s="2"/>
      <c r="Z180" s="7">
        <f t="shared" si="35"/>
        <v>0.16920848143183453</v>
      </c>
    </row>
    <row r="181" spans="1:26" s="24" customFormat="1" hidden="1" outlineLevel="2" x14ac:dyDescent="0.25">
      <c r="A181" s="26"/>
      <c r="B181" s="11" t="str">
        <f>CONCATENATE("          ", "6008", " - ", "STUDENT HOURLY-FICA EXEMPT")</f>
        <v xml:space="preserve">          6008 - STUDENT HOURLY-FICA EXEMPT</v>
      </c>
      <c r="C181" s="11"/>
      <c r="D181" s="6">
        <v>2667</v>
      </c>
      <c r="E181" s="2"/>
      <c r="F181" s="7">
        <f t="shared" si="28"/>
        <v>2.644785546963963E-3</v>
      </c>
      <c r="G181" s="2"/>
      <c r="H181" s="6">
        <v>5556.13</v>
      </c>
      <c r="I181" s="2"/>
      <c r="J181" s="7">
        <f t="shared" si="29"/>
        <v>5.7963620208253339E-3</v>
      </c>
      <c r="K181" s="2"/>
      <c r="L181" s="6">
        <f t="shared" si="30"/>
        <v>-2889.13</v>
      </c>
      <c r="M181" s="2"/>
      <c r="N181" s="7">
        <f t="shared" si="31"/>
        <v>-0.51998963307194035</v>
      </c>
      <c r="O181" s="11"/>
      <c r="P181" s="6">
        <v>11578.79</v>
      </c>
      <c r="Q181" s="2"/>
      <c r="R181" s="7">
        <f t="shared" si="32"/>
        <v>2.0176014884805637E-3</v>
      </c>
      <c r="S181" s="2"/>
      <c r="T181" s="6">
        <v>18541.95</v>
      </c>
      <c r="U181" s="2"/>
      <c r="V181" s="7">
        <f t="shared" si="33"/>
        <v>3.0446367146161743E-3</v>
      </c>
      <c r="W181" s="2"/>
      <c r="X181" s="6">
        <f t="shared" si="34"/>
        <v>-6963.16</v>
      </c>
      <c r="Y181" s="2"/>
      <c r="Z181" s="7">
        <f t="shared" si="35"/>
        <v>-0.37553547496352863</v>
      </c>
    </row>
    <row r="182" spans="1:26" s="27" customFormat="1" outlineLevel="1" collapsed="1" x14ac:dyDescent="0.25">
      <c r="A182" s="25"/>
      <c r="B182" s="13" t="str">
        <f>CONCATENATE("     ","Advertising/Promo                                 ")</f>
        <v xml:space="preserve">     Advertising/Promo                                 </v>
      </c>
      <c r="C182" s="13"/>
      <c r="D182" s="1">
        <f>SUM(OSRRefD22_2x_0)</f>
        <v>11193.54</v>
      </c>
      <c r="E182" s="1"/>
      <c r="F182" s="5">
        <f t="shared" ref="F182:F186" si="36">IF(D$12=0,0,D182/D$12)</f>
        <v>1.1100304766165353E-2</v>
      </c>
      <c r="G182" s="1"/>
      <c r="H182" s="1">
        <f>SUM(OSRRefH22_2x_0)</f>
        <v>6305.22</v>
      </c>
      <c r="I182" s="1"/>
      <c r="J182" s="5">
        <f t="shared" ref="J182:J186" si="37">IF(H$12=0,0,H182/H$12)</f>
        <v>6.5778406446480404E-3</v>
      </c>
      <c r="K182" s="1"/>
      <c r="L182" s="1">
        <f t="shared" ref="L182:L186" si="38">+D182-H182</f>
        <v>4888.3200000000006</v>
      </c>
      <c r="M182" s="1"/>
      <c r="N182" s="5">
        <f t="shared" ref="N182:N186" si="39">IF(H182=0,0,L182/H182)</f>
        <v>0.77528143347892708</v>
      </c>
      <c r="O182" s="13"/>
      <c r="P182" s="1">
        <f>SUM(OSRRefP22_2x_0)</f>
        <v>18819.740000000002</v>
      </c>
      <c r="Q182" s="1"/>
      <c r="R182" s="5">
        <f t="shared" ref="R182:R186" si="40">IF(P$12=0,0,P182/P$12)</f>
        <v>3.2793353568738356E-3</v>
      </c>
      <c r="S182" s="1"/>
      <c r="T182" s="1">
        <f>SUM(OSRRefT22_2x_0)</f>
        <v>19318.8</v>
      </c>
      <c r="U182" s="1"/>
      <c r="V182" s="5">
        <f t="shared" ref="V182:V186" si="41">IF(T$12=0,0,T182/T$12)</f>
        <v>3.1721975176465765E-3</v>
      </c>
      <c r="W182" s="1"/>
      <c r="X182" s="1">
        <f t="shared" ref="X182:X186" si="42">+P182-T182</f>
        <v>-499.05999999999767</v>
      </c>
      <c r="Y182" s="1"/>
      <c r="Z182" s="5">
        <f t="shared" ref="Z182:Z186" si="43">IF(T182=0,0,X182/T182)</f>
        <v>-2.5832867465888032E-2</v>
      </c>
    </row>
    <row r="183" spans="1:26" s="24" customFormat="1" hidden="1" outlineLevel="2" x14ac:dyDescent="0.25">
      <c r="A183" s="26"/>
      <c r="B183" s="11" t="str">
        <f>CONCATENATE("          ", "6362", " - ", "ADVERTISING EXPENSE")</f>
        <v xml:space="preserve">          6362 - ADVERTISING EXPENSE</v>
      </c>
      <c r="C183" s="11"/>
      <c r="D183" s="6">
        <v>11193.54</v>
      </c>
      <c r="E183" s="2"/>
      <c r="F183" s="7">
        <f t="shared" si="36"/>
        <v>1.1100304766165353E-2</v>
      </c>
      <c r="G183" s="2"/>
      <c r="H183" s="6">
        <v>6305.22</v>
      </c>
      <c r="I183" s="2"/>
      <c r="J183" s="7">
        <f t="shared" si="37"/>
        <v>6.5778406446480404E-3</v>
      </c>
      <c r="K183" s="2"/>
      <c r="L183" s="6">
        <f t="shared" si="38"/>
        <v>4888.3200000000006</v>
      </c>
      <c r="M183" s="2"/>
      <c r="N183" s="7">
        <f t="shared" si="39"/>
        <v>0.77528143347892708</v>
      </c>
      <c r="O183" s="11"/>
      <c r="P183" s="6">
        <v>18819.740000000002</v>
      </c>
      <c r="Q183" s="2"/>
      <c r="R183" s="7">
        <f t="shared" si="40"/>
        <v>3.2793353568738356E-3</v>
      </c>
      <c r="S183" s="2"/>
      <c r="T183" s="6">
        <v>19318.8</v>
      </c>
      <c r="U183" s="2"/>
      <c r="V183" s="7">
        <f t="shared" si="41"/>
        <v>3.1721975176465765E-3</v>
      </c>
      <c r="W183" s="2"/>
      <c r="X183" s="6">
        <f t="shared" si="42"/>
        <v>-499.05999999999767</v>
      </c>
      <c r="Y183" s="2"/>
      <c r="Z183" s="7">
        <f t="shared" si="43"/>
        <v>-2.5832867465888032E-2</v>
      </c>
    </row>
    <row r="184" spans="1:26" s="27" customFormat="1" outlineLevel="1" collapsed="1" x14ac:dyDescent="0.25">
      <c r="A184" s="25"/>
      <c r="B184" s="13" t="str">
        <f>CONCATENATE("     ","Bad Debts/Over/Short                              ")</f>
        <v xml:space="preserve">     Bad Debts/Over/Short                              </v>
      </c>
      <c r="C184" s="13"/>
      <c r="D184" s="1">
        <f>SUM(OSRRefD22_3x_0)</f>
        <v>33.39</v>
      </c>
      <c r="E184" s="1"/>
      <c r="F184" s="5">
        <f t="shared" si="36"/>
        <v>3.3111882044666935E-5</v>
      </c>
      <c r="G184" s="1"/>
      <c r="H184" s="1">
        <f>SUM(OSRRefH22_3x_0)</f>
        <v>846.44</v>
      </c>
      <c r="I184" s="1"/>
      <c r="J184" s="5">
        <f t="shared" si="37"/>
        <v>8.8303777429746895E-4</v>
      </c>
      <c r="K184" s="1"/>
      <c r="L184" s="1">
        <f t="shared" si="38"/>
        <v>-813.05000000000007</v>
      </c>
      <c r="M184" s="1"/>
      <c r="N184" s="5">
        <f t="shared" si="39"/>
        <v>-0.96055243135957658</v>
      </c>
      <c r="O184" s="13"/>
      <c r="P184" s="1">
        <f>SUM(OSRRefP22_3x_0)</f>
        <v>-268.59999999999997</v>
      </c>
      <c r="Q184" s="1"/>
      <c r="R184" s="5">
        <f t="shared" si="40"/>
        <v>-4.6803488085186727E-5</v>
      </c>
      <c r="S184" s="1"/>
      <c r="T184" s="1">
        <f>SUM(OSRRefT22_3x_0)</f>
        <v>603.67999999999995</v>
      </c>
      <c r="U184" s="1"/>
      <c r="V184" s="5">
        <f t="shared" si="41"/>
        <v>9.9125835841402422E-5</v>
      </c>
      <c r="W184" s="1"/>
      <c r="X184" s="1">
        <f t="shared" si="42"/>
        <v>-872.28</v>
      </c>
      <c r="Y184" s="1"/>
      <c r="Z184" s="5">
        <f t="shared" si="43"/>
        <v>-1.4449377153458787</v>
      </c>
    </row>
    <row r="185" spans="1:26" s="24" customFormat="1" hidden="1" outlineLevel="2" x14ac:dyDescent="0.25">
      <c r="A185" s="26"/>
      <c r="B185" s="11" t="str">
        <f>CONCATENATE("          ", "6272", " - ", "CASH (OVER/SHORT)")</f>
        <v xml:space="preserve">          6272 - CASH (OVER/SHORT)</v>
      </c>
      <c r="C185" s="11"/>
      <c r="D185" s="6">
        <v>-11.41</v>
      </c>
      <c r="E185" s="2"/>
      <c r="F185" s="7">
        <f t="shared" si="36"/>
        <v>-1.1314961788848451E-5</v>
      </c>
      <c r="G185" s="2"/>
      <c r="H185" s="6">
        <v>846.44</v>
      </c>
      <c r="I185" s="2"/>
      <c r="J185" s="7">
        <f t="shared" si="37"/>
        <v>8.8303777429746895E-4</v>
      </c>
      <c r="K185" s="2"/>
      <c r="L185" s="6">
        <f t="shared" si="38"/>
        <v>-857.85</v>
      </c>
      <c r="M185" s="2"/>
      <c r="N185" s="7">
        <f t="shared" si="39"/>
        <v>-1.013479986768111</v>
      </c>
      <c r="O185" s="11"/>
      <c r="P185" s="6">
        <v>-313.39999999999998</v>
      </c>
      <c r="Q185" s="2"/>
      <c r="R185" s="7">
        <f t="shared" si="40"/>
        <v>-5.4609877758367542E-5</v>
      </c>
      <c r="S185" s="2"/>
      <c r="T185" s="6">
        <v>603.67999999999995</v>
      </c>
      <c r="U185" s="2"/>
      <c r="V185" s="7">
        <f t="shared" si="41"/>
        <v>9.9125835841402422E-5</v>
      </c>
      <c r="W185" s="2"/>
      <c r="X185" s="6">
        <f t="shared" si="42"/>
        <v>-917.07999999999993</v>
      </c>
      <c r="Y185" s="2"/>
      <c r="Z185" s="7">
        <f t="shared" si="43"/>
        <v>-1.51914921812881</v>
      </c>
    </row>
    <row r="186" spans="1:26" s="24" customFormat="1" hidden="1" outlineLevel="2" x14ac:dyDescent="0.25">
      <c r="A186" s="26"/>
      <c r="B186" s="11" t="str">
        <f>CONCATENATE("          ", "6342", " - ", "BAD DEBT")</f>
        <v xml:space="preserve">          6342 - BAD DEBT</v>
      </c>
      <c r="C186" s="11"/>
      <c r="D186" s="6">
        <v>44.8</v>
      </c>
      <c r="E186" s="2"/>
      <c r="F186" s="7">
        <f t="shared" si="36"/>
        <v>4.4426843833515383E-5</v>
      </c>
      <c r="G186" s="2"/>
      <c r="H186" s="6"/>
      <c r="I186" s="2"/>
      <c r="J186" s="7">
        <f t="shared" si="37"/>
        <v>0</v>
      </c>
      <c r="K186" s="2"/>
      <c r="L186" s="6">
        <f t="shared" si="38"/>
        <v>44.8</v>
      </c>
      <c r="M186" s="2"/>
      <c r="N186" s="7">
        <f t="shared" si="39"/>
        <v>0</v>
      </c>
      <c r="O186" s="11"/>
      <c r="P186" s="6">
        <v>44.8</v>
      </c>
      <c r="Q186" s="2"/>
      <c r="R186" s="7">
        <f t="shared" si="40"/>
        <v>7.8063896731808107E-6</v>
      </c>
      <c r="S186" s="2"/>
      <c r="T186" s="6"/>
      <c r="U186" s="2"/>
      <c r="V186" s="7">
        <f t="shared" si="41"/>
        <v>0</v>
      </c>
      <c r="W186" s="2"/>
      <c r="X186" s="6">
        <f t="shared" si="42"/>
        <v>44.8</v>
      </c>
      <c r="Y186" s="2"/>
      <c r="Z186" s="7">
        <f t="shared" si="43"/>
        <v>0</v>
      </c>
    </row>
    <row r="187" spans="1:26" s="27" customFormat="1" outlineLevel="1" collapsed="1" x14ac:dyDescent="0.25">
      <c r="A187" s="25"/>
      <c r="B187" s="13" t="str">
        <f>CONCATENATE("     ","Bank/card Fees                                    ")</f>
        <v xml:space="preserve">     Bank/card Fees                                    </v>
      </c>
      <c r="C187" s="13"/>
      <c r="D187" s="1">
        <f>SUM(OSRRefD22_4x_0)</f>
        <v>28991.26</v>
      </c>
      <c r="E187" s="1"/>
      <c r="F187" s="5">
        <f t="shared" ref="F187:F191" si="44">IF(D$12=0,0,D187/D$12)</f>
        <v>2.8749780816000919E-2</v>
      </c>
      <c r="G187" s="1"/>
      <c r="H187" s="1">
        <f>SUM(OSRRefH22_4x_0)</f>
        <v>25371.32</v>
      </c>
      <c r="I187" s="1"/>
      <c r="J187" s="5">
        <f t="shared" ref="J187:J191" si="45">IF(H$12=0,0,H187/H$12)</f>
        <v>2.6468307196952954E-2</v>
      </c>
      <c r="K187" s="1"/>
      <c r="L187" s="1">
        <f t="shared" ref="L187:L191" si="46">+D187-H187</f>
        <v>3619.9399999999987</v>
      </c>
      <c r="M187" s="1"/>
      <c r="N187" s="5">
        <f t="shared" ref="N187:N191" si="47">IF(H187=0,0,L187/H187)</f>
        <v>0.14267842587614671</v>
      </c>
      <c r="O187" s="13"/>
      <c r="P187" s="1">
        <f>SUM(OSRRefP22_4x_0)</f>
        <v>109108.37000000001</v>
      </c>
      <c r="Q187" s="1"/>
      <c r="R187" s="5">
        <f t="shared" ref="R187:R191" si="48">IF(P$12=0,0,P187/P$12)</f>
        <v>1.9012108321999802E-2</v>
      </c>
      <c r="S187" s="1"/>
      <c r="T187" s="1">
        <f>SUM(OSRRefT22_4x_0)</f>
        <v>105022.03</v>
      </c>
      <c r="U187" s="1"/>
      <c r="V187" s="5">
        <f t="shared" ref="V187:V191" si="49">IF(T$12=0,0,T187/T$12)</f>
        <v>1.7244892170538765E-2</v>
      </c>
      <c r="W187" s="1"/>
      <c r="X187" s="1">
        <f t="shared" ref="X187:X191" si="50">+P187-T187</f>
        <v>4086.3400000000111</v>
      </c>
      <c r="Y187" s="1"/>
      <c r="Z187" s="5">
        <f t="shared" ref="Z187:Z191" si="51">IF(T187=0,0,X187/T187)</f>
        <v>3.8909360255177043E-2</v>
      </c>
    </row>
    <row r="188" spans="1:26" s="24" customFormat="1" hidden="1" outlineLevel="2" x14ac:dyDescent="0.25">
      <c r="A188" s="26"/>
      <c r="B188" s="11" t="str">
        <f>CONCATENATE("          ", "6381", " - ", "BANK/CREDIT CARD FEES")</f>
        <v xml:space="preserve">          6381 - BANK/CREDIT CARD FEES</v>
      </c>
      <c r="C188" s="11"/>
      <c r="D188" s="6">
        <v>28991.26</v>
      </c>
      <c r="E188" s="2"/>
      <c r="F188" s="7">
        <f t="shared" si="44"/>
        <v>2.8749780816000919E-2</v>
      </c>
      <c r="G188" s="2"/>
      <c r="H188" s="6">
        <v>25371.32</v>
      </c>
      <c r="I188" s="2"/>
      <c r="J188" s="7">
        <f t="shared" si="45"/>
        <v>2.6468307196952954E-2</v>
      </c>
      <c r="K188" s="2"/>
      <c r="L188" s="6">
        <f t="shared" si="46"/>
        <v>3619.9399999999987</v>
      </c>
      <c r="M188" s="2"/>
      <c r="N188" s="7">
        <f t="shared" si="47"/>
        <v>0.14267842587614671</v>
      </c>
      <c r="O188" s="11"/>
      <c r="P188" s="6">
        <v>109108.37000000001</v>
      </c>
      <c r="Q188" s="2"/>
      <c r="R188" s="7">
        <f t="shared" si="48"/>
        <v>1.9012108321999802E-2</v>
      </c>
      <c r="S188" s="2"/>
      <c r="T188" s="6">
        <v>105022.03</v>
      </c>
      <c r="U188" s="2"/>
      <c r="V188" s="7">
        <f t="shared" si="49"/>
        <v>1.7244892170538765E-2</v>
      </c>
      <c r="W188" s="2"/>
      <c r="X188" s="6">
        <f t="shared" si="50"/>
        <v>4086.3400000000111</v>
      </c>
      <c r="Y188" s="2"/>
      <c r="Z188" s="7">
        <f t="shared" si="51"/>
        <v>3.8909360255177043E-2</v>
      </c>
    </row>
    <row r="189" spans="1:26" s="27" customFormat="1" outlineLevel="1" collapsed="1" x14ac:dyDescent="0.25">
      <c r="A189" s="25"/>
      <c r="B189" s="13" t="str">
        <f>CONCATENATE("     ","Depreciation                                      ")</f>
        <v xml:space="preserve">     Depreciation                                      </v>
      </c>
      <c r="C189" s="13"/>
      <c r="D189" s="1">
        <f>SUM(OSRRefD22_5x_0)</f>
        <v>38010.910000000003</v>
      </c>
      <c r="E189" s="1"/>
      <c r="F189" s="5">
        <f t="shared" si="44"/>
        <v>3.7694302735263585E-2</v>
      </c>
      <c r="G189" s="1"/>
      <c r="H189" s="1">
        <f>SUM(OSRRefH22_5x_0)</f>
        <v>37694.15</v>
      </c>
      <c r="I189" s="1"/>
      <c r="J189" s="5">
        <f t="shared" si="45"/>
        <v>3.9323943008405721E-2</v>
      </c>
      <c r="K189" s="1"/>
      <c r="L189" s="1">
        <f t="shared" si="46"/>
        <v>316.76000000000204</v>
      </c>
      <c r="M189" s="1"/>
      <c r="N189" s="5">
        <f t="shared" si="47"/>
        <v>8.403425995811075E-3</v>
      </c>
      <c r="O189" s="13"/>
      <c r="P189" s="1">
        <f>SUM(OSRRefP22_5x_0)</f>
        <v>152043.64000000001</v>
      </c>
      <c r="Q189" s="1"/>
      <c r="R189" s="5">
        <f t="shared" si="48"/>
        <v>2.6493569222518325E-2</v>
      </c>
      <c r="S189" s="1"/>
      <c r="T189" s="1">
        <f>SUM(OSRRefT22_5x_0)</f>
        <v>150776.6</v>
      </c>
      <c r="U189" s="1"/>
      <c r="V189" s="5">
        <f t="shared" si="49"/>
        <v>2.4757912305070233E-2</v>
      </c>
      <c r="W189" s="1"/>
      <c r="X189" s="1">
        <f t="shared" si="50"/>
        <v>1267.0400000000081</v>
      </c>
      <c r="Y189" s="1"/>
      <c r="Z189" s="5">
        <f t="shared" si="51"/>
        <v>8.403425995811075E-3</v>
      </c>
    </row>
    <row r="190" spans="1:26" s="24" customFormat="1" hidden="1" outlineLevel="2" x14ac:dyDescent="0.25">
      <c r="A190" s="26"/>
      <c r="B190" s="11" t="str">
        <f>CONCATENATE("          ", "6321", " - ", "BUILDING DEPRECIATION")</f>
        <v xml:space="preserve">          6321 - BUILDING DEPRECIATION</v>
      </c>
      <c r="C190" s="11"/>
      <c r="D190" s="6">
        <v>21477.030000000002</v>
      </c>
      <c r="E190" s="2"/>
      <c r="F190" s="7">
        <f t="shared" si="44"/>
        <v>2.1298139683431364E-2</v>
      </c>
      <c r="G190" s="2"/>
      <c r="H190" s="6">
        <v>21533.89</v>
      </c>
      <c r="I190" s="2"/>
      <c r="J190" s="7">
        <f t="shared" si="45"/>
        <v>2.2464957111628138E-2</v>
      </c>
      <c r="K190" s="2"/>
      <c r="L190" s="6">
        <f t="shared" si="46"/>
        <v>-56.859999999996944</v>
      </c>
      <c r="M190" s="2"/>
      <c r="N190" s="7">
        <f t="shared" si="47"/>
        <v>-2.6404890152219103E-3</v>
      </c>
      <c r="O190" s="11"/>
      <c r="P190" s="6">
        <v>85908.12000000001</v>
      </c>
      <c r="Q190" s="2"/>
      <c r="R190" s="7">
        <f t="shared" si="48"/>
        <v>1.4969470107374507E-2</v>
      </c>
      <c r="S190" s="2"/>
      <c r="T190" s="6">
        <v>86135.56</v>
      </c>
      <c r="U190" s="2"/>
      <c r="V190" s="7">
        <f t="shared" si="49"/>
        <v>1.4143684370307563E-2</v>
      </c>
      <c r="W190" s="2"/>
      <c r="X190" s="6">
        <f t="shared" si="50"/>
        <v>-227.43999999998778</v>
      </c>
      <c r="Y190" s="2"/>
      <c r="Z190" s="7">
        <f t="shared" si="51"/>
        <v>-2.6404890152219103E-3</v>
      </c>
    </row>
    <row r="191" spans="1:26" s="24" customFormat="1" hidden="1" outlineLevel="2" x14ac:dyDescent="0.25">
      <c r="A191" s="26"/>
      <c r="B191" s="11" t="str">
        <f>CONCATENATE("          ", "6322", " - ", "EQUIPMENT DEPRECIATION EXPENSE")</f>
        <v xml:space="preserve">          6322 - EQUIPMENT DEPRECIATION EXPENSE</v>
      </c>
      <c r="C191" s="11"/>
      <c r="D191" s="6">
        <v>16533.88</v>
      </c>
      <c r="E191" s="2"/>
      <c r="F191" s="7">
        <f t="shared" si="44"/>
        <v>1.6396163051832221E-2</v>
      </c>
      <c r="G191" s="2"/>
      <c r="H191" s="6">
        <v>16160.26</v>
      </c>
      <c r="I191" s="2"/>
      <c r="J191" s="7">
        <f t="shared" si="45"/>
        <v>1.6858985896777579E-2</v>
      </c>
      <c r="K191" s="2"/>
      <c r="L191" s="6">
        <f t="shared" si="46"/>
        <v>373.6200000000008</v>
      </c>
      <c r="M191" s="2"/>
      <c r="N191" s="7">
        <f t="shared" si="47"/>
        <v>2.311967752994078E-2</v>
      </c>
      <c r="O191" s="11"/>
      <c r="P191" s="6">
        <v>66135.520000000004</v>
      </c>
      <c r="Q191" s="2"/>
      <c r="R191" s="7">
        <f t="shared" si="48"/>
        <v>1.1524099115143818E-2</v>
      </c>
      <c r="S191" s="2"/>
      <c r="T191" s="6">
        <v>64641.04</v>
      </c>
      <c r="U191" s="2"/>
      <c r="V191" s="7">
        <f t="shared" si="49"/>
        <v>1.061422793476267E-2</v>
      </c>
      <c r="W191" s="2"/>
      <c r="X191" s="6">
        <f t="shared" si="50"/>
        <v>1494.4800000000032</v>
      </c>
      <c r="Y191" s="2"/>
      <c r="Z191" s="7">
        <f t="shared" si="51"/>
        <v>2.311967752994078E-2</v>
      </c>
    </row>
    <row r="192" spans="1:26" s="27" customFormat="1" outlineLevel="1" collapsed="1" x14ac:dyDescent="0.25">
      <c r="A192" s="25"/>
      <c r="B192" s="13" t="str">
        <f>CONCATENATE("     ","Discounts and Markdowns                           ")</f>
        <v xml:space="preserve">     Discounts and Markdowns                           </v>
      </c>
      <c r="C192" s="13"/>
      <c r="D192" s="1">
        <f>SUM(OSRRefD22_6x_0)</f>
        <v>33789.31</v>
      </c>
      <c r="E192" s="1"/>
      <c r="F192" s="5">
        <f t="shared" ref="F192:F194" si="52">IF(D$12=0,0,D192/D$12)</f>
        <v>3.3507866040451778E-2</v>
      </c>
      <c r="G192" s="1"/>
      <c r="H192" s="1">
        <f>SUM(OSRRefH22_6x_0)</f>
        <v>19898.240000000002</v>
      </c>
      <c r="I192" s="1"/>
      <c r="J192" s="5">
        <f t="shared" ref="J192:J194" si="53">IF(H$12=0,0,H192/H$12)</f>
        <v>2.0758586033312307E-2</v>
      </c>
      <c r="K192" s="1"/>
      <c r="L192" s="1">
        <f t="shared" ref="L192:L194" si="54">+D192-H192</f>
        <v>13891.069999999996</v>
      </c>
      <c r="M192" s="1"/>
      <c r="N192" s="5">
        <f t="shared" ref="N192:N194" si="55">IF(H192=0,0,L192/H192)</f>
        <v>0.69810546058344836</v>
      </c>
      <c r="O192" s="13"/>
      <c r="P192" s="1">
        <f>SUM(OSRRefP22_6x_0)</f>
        <v>97849.95</v>
      </c>
      <c r="Q192" s="1"/>
      <c r="R192" s="5">
        <f t="shared" ref="R192:R194" si="56">IF(P$12=0,0,P192/P$12)</f>
        <v>1.7050331232170951E-2</v>
      </c>
      <c r="S192" s="1"/>
      <c r="T192" s="1">
        <f>SUM(OSRRefT22_6x_0)</f>
        <v>91866.9</v>
      </c>
      <c r="U192" s="1"/>
      <c r="V192" s="5">
        <f t="shared" ref="V192:V194" si="57">IF(T$12=0,0,T192/T$12)</f>
        <v>1.508478539732728E-2</v>
      </c>
      <c r="W192" s="1"/>
      <c r="X192" s="1">
        <f t="shared" ref="X192:X194" si="58">+P192-T192</f>
        <v>5983.0500000000029</v>
      </c>
      <c r="Y192" s="1"/>
      <c r="Z192" s="5">
        <f t="shared" ref="Z192:Z194" si="59">IF(T192=0,0,X192/T192)</f>
        <v>6.5127374495057566E-2</v>
      </c>
    </row>
    <row r="193" spans="1:26" s="24" customFormat="1" hidden="1" outlineLevel="2" x14ac:dyDescent="0.25">
      <c r="A193" s="26"/>
      <c r="B193" s="11" t="str">
        <f>CONCATENATE("          ", "6382", " - ", "DISCOUNTS/MARK DOWNS")</f>
        <v xml:space="preserve">          6382 - DISCOUNTS/MARK DOWNS</v>
      </c>
      <c r="C193" s="11"/>
      <c r="D193" s="6">
        <v>34259.199999999997</v>
      </c>
      <c r="E193" s="2"/>
      <c r="F193" s="7">
        <f t="shared" si="52"/>
        <v>3.3973842148686838E-2</v>
      </c>
      <c r="G193" s="2"/>
      <c r="H193" s="6">
        <v>19946.390000000003</v>
      </c>
      <c r="I193" s="2"/>
      <c r="J193" s="7">
        <f t="shared" si="53"/>
        <v>2.0808817908970857E-2</v>
      </c>
      <c r="K193" s="2"/>
      <c r="L193" s="6">
        <f t="shared" si="54"/>
        <v>14312.809999999994</v>
      </c>
      <c r="M193" s="2"/>
      <c r="N193" s="7">
        <f t="shared" si="55"/>
        <v>0.71756393011467201</v>
      </c>
      <c r="O193" s="11"/>
      <c r="P193" s="6">
        <v>99967.7</v>
      </c>
      <c r="Q193" s="2"/>
      <c r="R193" s="7">
        <f t="shared" si="56"/>
        <v>1.741934868150976E-2</v>
      </c>
      <c r="S193" s="2"/>
      <c r="T193" s="6">
        <v>94393.919999999998</v>
      </c>
      <c r="U193" s="2"/>
      <c r="V193" s="7">
        <f t="shared" si="57"/>
        <v>1.5499728694584007E-2</v>
      </c>
      <c r="W193" s="2"/>
      <c r="X193" s="6">
        <f t="shared" si="58"/>
        <v>5573.7799999999988</v>
      </c>
      <c r="Y193" s="2"/>
      <c r="Z193" s="7">
        <f t="shared" si="59"/>
        <v>5.904808275787253E-2</v>
      </c>
    </row>
    <row r="194" spans="1:26" s="24" customFormat="1" hidden="1" outlineLevel="2" x14ac:dyDescent="0.25">
      <c r="A194" s="26"/>
      <c r="B194" s="11" t="str">
        <f>CONCATENATE("          ", "9175", " - ", "EARNED DISCOUNTS")</f>
        <v xml:space="preserve">          9175 - EARNED DISCOUNTS</v>
      </c>
      <c r="C194" s="11"/>
      <c r="D194" s="6">
        <v>-469.89</v>
      </c>
      <c r="E194" s="2"/>
      <c r="F194" s="7">
        <f t="shared" si="52"/>
        <v>-4.6597610823505682E-4</v>
      </c>
      <c r="G194" s="2"/>
      <c r="H194" s="6">
        <v>-48.15</v>
      </c>
      <c r="I194" s="2"/>
      <c r="J194" s="7">
        <f t="shared" si="53"/>
        <v>-5.0231875658550072E-5</v>
      </c>
      <c r="K194" s="2"/>
      <c r="L194" s="6">
        <f t="shared" si="54"/>
        <v>-421.74</v>
      </c>
      <c r="M194" s="2"/>
      <c r="N194" s="7">
        <f t="shared" si="55"/>
        <v>8.7588785046728983</v>
      </c>
      <c r="O194" s="11"/>
      <c r="P194" s="6">
        <v>-2117.75</v>
      </c>
      <c r="Q194" s="2"/>
      <c r="R194" s="7">
        <f t="shared" si="56"/>
        <v>-3.690174493388094E-4</v>
      </c>
      <c r="S194" s="2"/>
      <c r="T194" s="6">
        <v>-2527.02</v>
      </c>
      <c r="U194" s="2"/>
      <c r="V194" s="7">
        <f t="shared" si="57"/>
        <v>-4.1494329725672669E-4</v>
      </c>
      <c r="W194" s="2"/>
      <c r="X194" s="6">
        <f t="shared" si="58"/>
        <v>409.27</v>
      </c>
      <c r="Y194" s="2"/>
      <c r="Z194" s="7">
        <f t="shared" si="59"/>
        <v>-0.16195756266274108</v>
      </c>
    </row>
    <row r="195" spans="1:26" s="27" customFormat="1" outlineLevel="1" collapsed="1" x14ac:dyDescent="0.25">
      <c r="A195" s="25"/>
      <c r="B195" s="13" t="str">
        <f>CONCATENATE("     ","Donations                                         ")</f>
        <v xml:space="preserve">     Donations                                         </v>
      </c>
      <c r="C195" s="13"/>
      <c r="D195" s="1">
        <f>SUM(OSRRefD22_7x_0)</f>
        <v>1006.14</v>
      </c>
      <c r="E195" s="1"/>
      <c r="F195" s="5">
        <f t="shared" ref="F195:F203" si="60">IF(D$12=0,0,D195/D$12)</f>
        <v>9.9775947889850828E-4</v>
      </c>
      <c r="G195" s="1"/>
      <c r="H195" s="1">
        <f>SUM(OSRRefH22_7x_0)</f>
        <v>1330.95</v>
      </c>
      <c r="I195" s="1"/>
      <c r="J195" s="5">
        <f t="shared" ref="J195:J203" si="61">IF(H$12=0,0,H195/H$12)</f>
        <v>1.3884966751349372E-3</v>
      </c>
      <c r="K195" s="1"/>
      <c r="L195" s="1">
        <f t="shared" ref="L195:L203" si="62">+D195-H195</f>
        <v>-324.81000000000006</v>
      </c>
      <c r="M195" s="1"/>
      <c r="N195" s="5">
        <f t="shared" ref="N195:N203" si="63">IF(H195=0,0,L195/H195)</f>
        <v>-0.24404372816409337</v>
      </c>
      <c r="O195" s="13"/>
      <c r="P195" s="1">
        <f>SUM(OSRRefP22_7x_0)</f>
        <v>6231.48</v>
      </c>
      <c r="Q195" s="1"/>
      <c r="R195" s="5">
        <f t="shared" ref="R195:R203" si="64">IF(P$12=0,0,P195/P$12)</f>
        <v>1.0858339535855526E-3</v>
      </c>
      <c r="S195" s="1"/>
      <c r="T195" s="1">
        <f>SUM(OSRRefT22_7x_0)</f>
        <v>4666.68</v>
      </c>
      <c r="U195" s="1"/>
      <c r="V195" s="5">
        <f t="shared" ref="V195:V203" si="65">IF(T$12=0,0,T195/T$12)</f>
        <v>7.6628106878537632E-4</v>
      </c>
      <c r="W195" s="1"/>
      <c r="X195" s="1">
        <f t="shared" ref="X195:X203" si="66">+P195-T195</f>
        <v>1564.7999999999993</v>
      </c>
      <c r="Y195" s="1"/>
      <c r="Z195" s="5">
        <f t="shared" ref="Z195:Z203" si="67">IF(T195=0,0,X195/T195)</f>
        <v>0.33531332767620647</v>
      </c>
    </row>
    <row r="196" spans="1:26" s="24" customFormat="1" hidden="1" outlineLevel="2" x14ac:dyDescent="0.25">
      <c r="A196" s="26"/>
      <c r="B196" s="11" t="str">
        <f>CONCATENATE("          ", "6399", " - ", "DONATION-ON CAMPUS")</f>
        <v xml:space="preserve">          6399 - DONATION-ON CAMPUS</v>
      </c>
      <c r="C196" s="11"/>
      <c r="D196" s="6">
        <v>1006.14</v>
      </c>
      <c r="E196" s="2"/>
      <c r="F196" s="7">
        <f t="shared" si="60"/>
        <v>9.9775947889850828E-4</v>
      </c>
      <c r="G196" s="2"/>
      <c r="H196" s="6">
        <v>1330.95</v>
      </c>
      <c r="I196" s="2"/>
      <c r="J196" s="7">
        <f t="shared" si="61"/>
        <v>1.3884966751349372E-3</v>
      </c>
      <c r="K196" s="2"/>
      <c r="L196" s="6">
        <f t="shared" si="62"/>
        <v>-324.81000000000006</v>
      </c>
      <c r="M196" s="2"/>
      <c r="N196" s="7">
        <f t="shared" si="63"/>
        <v>-0.24404372816409337</v>
      </c>
      <c r="O196" s="11"/>
      <c r="P196" s="6">
        <v>6231.48</v>
      </c>
      <c r="Q196" s="2"/>
      <c r="R196" s="7">
        <f t="shared" si="64"/>
        <v>1.0858339535855526E-3</v>
      </c>
      <c r="S196" s="2"/>
      <c r="T196" s="6">
        <v>4666.68</v>
      </c>
      <c r="U196" s="2"/>
      <c r="V196" s="7">
        <f t="shared" si="65"/>
        <v>7.6628106878537632E-4</v>
      </c>
      <c r="W196" s="2"/>
      <c r="X196" s="6">
        <f t="shared" si="66"/>
        <v>1564.7999999999993</v>
      </c>
      <c r="Y196" s="2"/>
      <c r="Z196" s="7">
        <f t="shared" si="67"/>
        <v>0.33531332767620647</v>
      </c>
    </row>
    <row r="197" spans="1:26" s="27" customFormat="1" outlineLevel="1" collapsed="1" x14ac:dyDescent="0.25">
      <c r="A197" s="25"/>
      <c r="B197" s="13" t="str">
        <f>CONCATENATE("     ","Employees' Appreciation                           ")</f>
        <v xml:space="preserve">     Employees' Appreciation                           </v>
      </c>
      <c r="C197" s="13"/>
      <c r="D197" s="1">
        <f>SUM(OSRRefD22_8x_0)</f>
        <v>93.28</v>
      </c>
      <c r="E197" s="1"/>
      <c r="F197" s="5">
        <f t="shared" si="60"/>
        <v>9.2503035553355255E-5</v>
      </c>
      <c r="G197" s="1"/>
      <c r="H197" s="1">
        <f>SUM(OSRRefH22_8x_0)</f>
        <v>1039.52</v>
      </c>
      <c r="I197" s="1"/>
      <c r="J197" s="5">
        <f t="shared" si="61"/>
        <v>1.0844660308323151E-3</v>
      </c>
      <c r="K197" s="1"/>
      <c r="L197" s="1">
        <f t="shared" si="62"/>
        <v>-946.24</v>
      </c>
      <c r="M197" s="1"/>
      <c r="N197" s="5">
        <f t="shared" si="63"/>
        <v>-0.91026627674311222</v>
      </c>
      <c r="O197" s="13"/>
      <c r="P197" s="1">
        <f>SUM(OSRRefP22_8x_0)</f>
        <v>678.41</v>
      </c>
      <c r="Q197" s="1"/>
      <c r="R197" s="5">
        <f t="shared" si="64"/>
        <v>1.1821278612014718E-4</v>
      </c>
      <c r="S197" s="1"/>
      <c r="T197" s="1">
        <f>SUM(OSRRefT22_8x_0)</f>
        <v>2511.64</v>
      </c>
      <c r="U197" s="1"/>
      <c r="V197" s="5">
        <f t="shared" si="65"/>
        <v>4.1241786100699047E-4</v>
      </c>
      <c r="W197" s="1"/>
      <c r="X197" s="1">
        <f t="shared" si="66"/>
        <v>-1833.23</v>
      </c>
      <c r="Y197" s="1"/>
      <c r="Z197" s="5">
        <f t="shared" si="67"/>
        <v>-0.72989361532703734</v>
      </c>
    </row>
    <row r="198" spans="1:26" s="24" customFormat="1" hidden="1" outlineLevel="2" x14ac:dyDescent="0.25">
      <c r="A198" s="26"/>
      <c r="B198" s="11" t="str">
        <f>CONCATENATE("          ", "6277", " - ", "EMPLOYEE APPRECIATION")</f>
        <v xml:space="preserve">          6277 - EMPLOYEE APPRECIATION</v>
      </c>
      <c r="C198" s="11"/>
      <c r="D198" s="6">
        <v>93.28</v>
      </c>
      <c r="E198" s="2"/>
      <c r="F198" s="7">
        <f t="shared" si="60"/>
        <v>9.2503035553355255E-5</v>
      </c>
      <c r="G198" s="2"/>
      <c r="H198" s="6">
        <v>1039.52</v>
      </c>
      <c r="I198" s="2"/>
      <c r="J198" s="7">
        <f t="shared" si="61"/>
        <v>1.0844660308323151E-3</v>
      </c>
      <c r="K198" s="2"/>
      <c r="L198" s="6">
        <f t="shared" si="62"/>
        <v>-946.24</v>
      </c>
      <c r="M198" s="2"/>
      <c r="N198" s="7">
        <f t="shared" si="63"/>
        <v>-0.91026627674311222</v>
      </c>
      <c r="O198" s="11"/>
      <c r="P198" s="6">
        <v>678.41</v>
      </c>
      <c r="Q198" s="2"/>
      <c r="R198" s="7">
        <f t="shared" si="64"/>
        <v>1.1821278612014718E-4</v>
      </c>
      <c r="S198" s="2"/>
      <c r="T198" s="6">
        <v>2511.64</v>
      </c>
      <c r="U198" s="2"/>
      <c r="V198" s="7">
        <f t="shared" si="65"/>
        <v>4.1241786100699047E-4</v>
      </c>
      <c r="W198" s="2"/>
      <c r="X198" s="6">
        <f t="shared" si="66"/>
        <v>-1833.23</v>
      </c>
      <c r="Y198" s="2"/>
      <c r="Z198" s="7">
        <f t="shared" si="67"/>
        <v>-0.72989361532703734</v>
      </c>
    </row>
    <row r="199" spans="1:26" s="27" customFormat="1" outlineLevel="1" collapsed="1" x14ac:dyDescent="0.25">
      <c r="A199" s="25"/>
      <c r="B199" s="13" t="str">
        <f>CONCATENATE("     ","Equipment Rental                                  ")</f>
        <v xml:space="preserve">     Equipment Rental                                  </v>
      </c>
      <c r="C199" s="13"/>
      <c r="D199" s="1">
        <f>SUM(OSRRefD22_9x_0)</f>
        <v>2900.05</v>
      </c>
      <c r="E199" s="1"/>
      <c r="F199" s="5">
        <f t="shared" si="60"/>
        <v>2.8758943852541588E-3</v>
      </c>
      <c r="G199" s="1"/>
      <c r="H199" s="1">
        <f>SUM(OSRRefH22_9x_0)</f>
        <v>3514.19</v>
      </c>
      <c r="I199" s="1"/>
      <c r="J199" s="5">
        <f t="shared" si="61"/>
        <v>3.666134062731466E-3</v>
      </c>
      <c r="K199" s="1"/>
      <c r="L199" s="1">
        <f t="shared" si="62"/>
        <v>-614.13999999999987</v>
      </c>
      <c r="M199" s="1"/>
      <c r="N199" s="5">
        <f t="shared" si="63"/>
        <v>-0.17476004427762867</v>
      </c>
      <c r="O199" s="13"/>
      <c r="P199" s="1">
        <f>SUM(OSRRefP22_9x_0)</f>
        <v>7139.96</v>
      </c>
      <c r="Q199" s="1"/>
      <c r="R199" s="5">
        <f t="shared" si="64"/>
        <v>1.2441363841724121E-3</v>
      </c>
      <c r="S199" s="1"/>
      <c r="T199" s="1">
        <f>SUM(OSRRefT22_9x_0)</f>
        <v>14072.13</v>
      </c>
      <c r="U199" s="1"/>
      <c r="V199" s="5">
        <f t="shared" si="65"/>
        <v>2.3106805730169532E-3</v>
      </c>
      <c r="W199" s="1"/>
      <c r="X199" s="1">
        <f t="shared" si="66"/>
        <v>-6932.1699999999992</v>
      </c>
      <c r="Y199" s="1"/>
      <c r="Z199" s="5">
        <f t="shared" si="67"/>
        <v>-0.49261696701210117</v>
      </c>
    </row>
    <row r="200" spans="1:26" s="24" customFormat="1" hidden="1" outlineLevel="2" x14ac:dyDescent="0.25">
      <c r="A200" s="26"/>
      <c r="B200" s="11" t="str">
        <f>CONCATENATE("          ", "6351", " - ", "EQUIPMENT RENTAL")</f>
        <v xml:space="preserve">          6351 - EQUIPMENT RENTAL</v>
      </c>
      <c r="C200" s="11"/>
      <c r="D200" s="6">
        <v>2900.05</v>
      </c>
      <c r="E200" s="2"/>
      <c r="F200" s="7">
        <f t="shared" si="60"/>
        <v>2.8758943852541588E-3</v>
      </c>
      <c r="G200" s="2"/>
      <c r="H200" s="6">
        <v>3514.19</v>
      </c>
      <c r="I200" s="2"/>
      <c r="J200" s="7">
        <f t="shared" si="61"/>
        <v>3.666134062731466E-3</v>
      </c>
      <c r="K200" s="2"/>
      <c r="L200" s="6">
        <f t="shared" si="62"/>
        <v>-614.13999999999987</v>
      </c>
      <c r="M200" s="2"/>
      <c r="N200" s="7">
        <f t="shared" si="63"/>
        <v>-0.17476004427762867</v>
      </c>
      <c r="O200" s="11"/>
      <c r="P200" s="6">
        <v>7139.96</v>
      </c>
      <c r="Q200" s="2"/>
      <c r="R200" s="7">
        <f t="shared" si="64"/>
        <v>1.2441363841724121E-3</v>
      </c>
      <c r="S200" s="2"/>
      <c r="T200" s="6">
        <v>14072.13</v>
      </c>
      <c r="U200" s="2"/>
      <c r="V200" s="7">
        <f t="shared" si="65"/>
        <v>2.3106805730169532E-3</v>
      </c>
      <c r="W200" s="2"/>
      <c r="X200" s="6">
        <f t="shared" si="66"/>
        <v>-6932.1699999999992</v>
      </c>
      <c r="Y200" s="2"/>
      <c r="Z200" s="7">
        <f t="shared" si="67"/>
        <v>-0.49261696701210117</v>
      </c>
    </row>
    <row r="201" spans="1:26" s="27" customFormat="1" outlineLevel="1" collapsed="1" x14ac:dyDescent="0.25">
      <c r="A201" s="25"/>
      <c r="B201" s="13" t="str">
        <f>CONCATENATE("     ","Freight out/Postage                               ")</f>
        <v xml:space="preserve">     Freight out/Postage                               </v>
      </c>
      <c r="C201" s="13"/>
      <c r="D201" s="1">
        <f>SUM(OSRRefD22_10x_0)</f>
        <v>1658.1600000000003</v>
      </c>
      <c r="E201" s="1"/>
      <c r="F201" s="5">
        <f t="shared" si="60"/>
        <v>1.6443485573879885E-3</v>
      </c>
      <c r="G201" s="1"/>
      <c r="H201" s="1">
        <f>SUM(OSRRefH22_10x_0)</f>
        <v>6817.4599999999991</v>
      </c>
      <c r="I201" s="1"/>
      <c r="J201" s="5">
        <f t="shared" si="61"/>
        <v>7.1122285156207431E-3</v>
      </c>
      <c r="K201" s="1"/>
      <c r="L201" s="1">
        <f t="shared" si="62"/>
        <v>-5159.2999999999993</v>
      </c>
      <c r="M201" s="1"/>
      <c r="N201" s="5">
        <f t="shared" si="63"/>
        <v>-0.75677745083946224</v>
      </c>
      <c r="O201" s="13"/>
      <c r="P201" s="1">
        <f>SUM(OSRRefP22_10x_0)</f>
        <v>-3907.1300000000047</v>
      </c>
      <c r="Q201" s="1"/>
      <c r="R201" s="5">
        <f t="shared" si="64"/>
        <v>-6.8081650186997721E-4</v>
      </c>
      <c r="S201" s="1"/>
      <c r="T201" s="1">
        <f>SUM(OSRRefT22_10x_0)</f>
        <v>7739.32</v>
      </c>
      <c r="U201" s="1"/>
      <c r="V201" s="5">
        <f t="shared" si="65"/>
        <v>1.2708165979394425E-3</v>
      </c>
      <c r="W201" s="1"/>
      <c r="X201" s="1">
        <f t="shared" si="66"/>
        <v>-11646.450000000004</v>
      </c>
      <c r="Y201" s="1"/>
      <c r="Z201" s="5">
        <f t="shared" si="67"/>
        <v>-1.504841510623673</v>
      </c>
    </row>
    <row r="202" spans="1:26" s="24" customFormat="1" hidden="1" outlineLevel="2" x14ac:dyDescent="0.25">
      <c r="A202" s="26"/>
      <c r="B202" s="11" t="str">
        <f>CONCATENATE("          ", "6305", " - ", "FREIGHT OUT")</f>
        <v xml:space="preserve">          6305 - FREIGHT OUT</v>
      </c>
      <c r="C202" s="11"/>
      <c r="D202" s="6">
        <v>4604.3500000000004</v>
      </c>
      <c r="E202" s="2"/>
      <c r="F202" s="7">
        <f t="shared" si="60"/>
        <v>4.565998625108183E-3</v>
      </c>
      <c r="G202" s="2"/>
      <c r="H202" s="6">
        <v>8524.89</v>
      </c>
      <c r="I202" s="2"/>
      <c r="J202" s="7">
        <f t="shared" si="61"/>
        <v>8.8934831668290113E-3</v>
      </c>
      <c r="K202" s="2"/>
      <c r="L202" s="6">
        <f t="shared" si="62"/>
        <v>-3920.5399999999991</v>
      </c>
      <c r="M202" s="2"/>
      <c r="N202" s="7">
        <f t="shared" si="63"/>
        <v>-0.45989332413673367</v>
      </c>
      <c r="O202" s="11"/>
      <c r="P202" s="6">
        <v>19681.099999999999</v>
      </c>
      <c r="Q202" s="2"/>
      <c r="R202" s="7">
        <f t="shared" si="64"/>
        <v>3.4294271383222955E-3</v>
      </c>
      <c r="S202" s="2"/>
      <c r="T202" s="6">
        <v>27874.73</v>
      </c>
      <c r="U202" s="2"/>
      <c r="V202" s="7">
        <f t="shared" si="65"/>
        <v>4.577103614669056E-3</v>
      </c>
      <c r="W202" s="2"/>
      <c r="X202" s="6">
        <f t="shared" si="66"/>
        <v>-8193.630000000001</v>
      </c>
      <c r="Y202" s="2"/>
      <c r="Z202" s="7">
        <f t="shared" si="67"/>
        <v>-0.29394473058573128</v>
      </c>
    </row>
    <row r="203" spans="1:26" s="24" customFormat="1" hidden="1" outlineLevel="2" x14ac:dyDescent="0.25">
      <c r="A203" s="26"/>
      <c r="B203" s="11" t="str">
        <f>CONCATENATE("          ", "6307", " - ", "POSTAGE")</f>
        <v xml:space="preserve">          6307 - POSTAGE</v>
      </c>
      <c r="C203" s="11"/>
      <c r="D203" s="6">
        <v>-2946.19</v>
      </c>
      <c r="E203" s="2"/>
      <c r="F203" s="7">
        <f t="shared" si="60"/>
        <v>-2.9216500677201941E-3</v>
      </c>
      <c r="G203" s="2"/>
      <c r="H203" s="6">
        <v>-1707.43</v>
      </c>
      <c r="I203" s="2"/>
      <c r="J203" s="7">
        <f t="shared" si="61"/>
        <v>-1.7812546512082691E-3</v>
      </c>
      <c r="K203" s="2"/>
      <c r="L203" s="6">
        <f t="shared" si="62"/>
        <v>-1238.76</v>
      </c>
      <c r="M203" s="2"/>
      <c r="N203" s="7">
        <f t="shared" si="63"/>
        <v>0.72551144117181965</v>
      </c>
      <c r="O203" s="11"/>
      <c r="P203" s="6">
        <v>-23588.230000000003</v>
      </c>
      <c r="Q203" s="2"/>
      <c r="R203" s="7">
        <f t="shared" si="64"/>
        <v>-4.1102436401922729E-3</v>
      </c>
      <c r="S203" s="2"/>
      <c r="T203" s="6">
        <v>-20135.41</v>
      </c>
      <c r="U203" s="2"/>
      <c r="V203" s="7">
        <f t="shared" si="65"/>
        <v>-3.3062870167296136E-3</v>
      </c>
      <c r="W203" s="2"/>
      <c r="X203" s="6">
        <f t="shared" si="66"/>
        <v>-3452.8200000000033</v>
      </c>
      <c r="Y203" s="2"/>
      <c r="Z203" s="7">
        <f t="shared" si="67"/>
        <v>0.17147999469591149</v>
      </c>
    </row>
    <row r="204" spans="1:26" s="27" customFormat="1" outlineLevel="1" collapsed="1" x14ac:dyDescent="0.25">
      <c r="A204" s="25"/>
      <c r="B204" s="13" t="str">
        <f>CONCATENATE("     ","General                                           ")</f>
        <v xml:space="preserve">     General                                           </v>
      </c>
      <c r="C204" s="13"/>
      <c r="D204" s="1">
        <f>SUM(OSRRefD22_11x_0)</f>
        <v>838.29</v>
      </c>
      <c r="E204" s="1"/>
      <c r="F204" s="5">
        <f t="shared" ref="F204:F219" si="68">IF(D$12=0,0,D204/D$12)</f>
        <v>8.313075651160181E-4</v>
      </c>
      <c r="G204" s="1"/>
      <c r="H204" s="1">
        <f>SUM(OSRRefH22_11x_0)</f>
        <v>1160.04</v>
      </c>
      <c r="I204" s="1"/>
      <c r="J204" s="5">
        <f t="shared" ref="J204:J219" si="69">IF(H$12=0,0,H204/H$12)</f>
        <v>1.2101969893861771E-3</v>
      </c>
      <c r="K204" s="1"/>
      <c r="L204" s="1">
        <f t="shared" ref="L204:L219" si="70">+D204-H204</f>
        <v>-321.75</v>
      </c>
      <c r="M204" s="1"/>
      <c r="N204" s="5">
        <f t="shared" ref="N204:N219" si="71">IF(H204=0,0,L204/H204)</f>
        <v>-0.27736112547843178</v>
      </c>
      <c r="O204" s="13"/>
      <c r="P204" s="1">
        <f>SUM(OSRRefP22_11x_0)</f>
        <v>-10098.93</v>
      </c>
      <c r="Q204" s="1"/>
      <c r="R204" s="5">
        <f t="shared" ref="R204:R219" si="72">IF(P$12=0,0,P204/P$12)</f>
        <v>-1.7597362246021403E-3</v>
      </c>
      <c r="S204" s="1"/>
      <c r="T204" s="1">
        <f>SUM(OSRRefT22_11x_0)</f>
        <v>5933.2</v>
      </c>
      <c r="U204" s="1"/>
      <c r="V204" s="5">
        <f t="shared" ref="V204:V219" si="73">IF(T$12=0,0,T204/T$12)</f>
        <v>9.7424696729096359E-4</v>
      </c>
      <c r="W204" s="1"/>
      <c r="X204" s="1">
        <f t="shared" ref="X204:X219" si="74">+P204-T204</f>
        <v>-16032.130000000001</v>
      </c>
      <c r="Y204" s="1"/>
      <c r="Z204" s="5">
        <f t="shared" ref="Z204:Z219" si="75">IF(T204=0,0,X204/T204)</f>
        <v>-2.7021051034854717</v>
      </c>
    </row>
    <row r="205" spans="1:26" s="24" customFormat="1" hidden="1" outlineLevel="2" x14ac:dyDescent="0.25">
      <c r="A205" s="26"/>
      <c r="B205" s="11" t="str">
        <f>CONCATENATE("          ", "6279", " - ", "GENERAL EXPENSE")</f>
        <v xml:space="preserve">          6279 - GENERAL EXPENSE</v>
      </c>
      <c r="C205" s="11"/>
      <c r="D205" s="6">
        <v>838.29</v>
      </c>
      <c r="E205" s="2"/>
      <c r="F205" s="7">
        <f t="shared" si="68"/>
        <v>8.313075651160181E-4</v>
      </c>
      <c r="G205" s="2"/>
      <c r="H205" s="6">
        <v>1160.04</v>
      </c>
      <c r="I205" s="2"/>
      <c r="J205" s="7">
        <f t="shared" si="69"/>
        <v>1.2101969893861771E-3</v>
      </c>
      <c r="K205" s="2"/>
      <c r="L205" s="6">
        <f t="shared" si="70"/>
        <v>-321.75</v>
      </c>
      <c r="M205" s="2"/>
      <c r="N205" s="7">
        <f t="shared" si="71"/>
        <v>-0.27736112547843178</v>
      </c>
      <c r="O205" s="11"/>
      <c r="P205" s="6">
        <v>-10098.93</v>
      </c>
      <c r="Q205" s="2"/>
      <c r="R205" s="7">
        <f t="shared" si="72"/>
        <v>-1.7597362246021403E-3</v>
      </c>
      <c r="S205" s="2"/>
      <c r="T205" s="6">
        <v>5933.2</v>
      </c>
      <c r="U205" s="2"/>
      <c r="V205" s="7">
        <f t="shared" si="73"/>
        <v>9.7424696729096359E-4</v>
      </c>
      <c r="W205" s="2"/>
      <c r="X205" s="6">
        <f t="shared" si="74"/>
        <v>-16032.130000000001</v>
      </c>
      <c r="Y205" s="2"/>
      <c r="Z205" s="7">
        <f t="shared" si="75"/>
        <v>-2.7021051034854717</v>
      </c>
    </row>
    <row r="206" spans="1:26" s="27" customFormat="1" outlineLevel="1" collapsed="1" x14ac:dyDescent="0.25">
      <c r="A206" s="25"/>
      <c r="B206" s="13" t="str">
        <f>CONCATENATE("     ","Insurance                                         ")</f>
        <v xml:space="preserve">     Insurance                                         </v>
      </c>
      <c r="C206" s="13"/>
      <c r="D206" s="1">
        <f>SUM(OSRRefD22_12x_0)</f>
        <v>4288.28</v>
      </c>
      <c r="E206" s="1"/>
      <c r="F206" s="5">
        <f t="shared" si="68"/>
        <v>4.2525612918390037E-3</v>
      </c>
      <c r="G206" s="1"/>
      <c r="H206" s="1">
        <f>SUM(OSRRefH22_12x_0)</f>
        <v>4039.41</v>
      </c>
      <c r="I206" s="1"/>
      <c r="J206" s="5">
        <f t="shared" si="69"/>
        <v>4.2140631537674715E-3</v>
      </c>
      <c r="K206" s="1"/>
      <c r="L206" s="1">
        <f t="shared" si="70"/>
        <v>248.86999999999989</v>
      </c>
      <c r="M206" s="1"/>
      <c r="N206" s="5">
        <f t="shared" si="71"/>
        <v>6.1610482719010921E-2</v>
      </c>
      <c r="O206" s="13"/>
      <c r="P206" s="1">
        <f>SUM(OSRRefP22_12x_0)</f>
        <v>17153.12</v>
      </c>
      <c r="Q206" s="1"/>
      <c r="R206" s="5">
        <f t="shared" si="72"/>
        <v>2.9889272060453398E-3</v>
      </c>
      <c r="S206" s="1"/>
      <c r="T206" s="1">
        <f>SUM(OSRRefT22_12x_0)</f>
        <v>16157.64</v>
      </c>
      <c r="U206" s="1"/>
      <c r="V206" s="5">
        <f t="shared" si="73"/>
        <v>2.6531267728340802E-3</v>
      </c>
      <c r="W206" s="1"/>
      <c r="X206" s="1">
        <f t="shared" si="74"/>
        <v>995.47999999999956</v>
      </c>
      <c r="Y206" s="1"/>
      <c r="Z206" s="5">
        <f t="shared" si="75"/>
        <v>6.1610482719010921E-2</v>
      </c>
    </row>
    <row r="207" spans="1:26" s="24" customFormat="1" hidden="1" outlineLevel="2" x14ac:dyDescent="0.25">
      <c r="A207" s="26"/>
      <c r="B207" s="11" t="str">
        <f>CONCATENATE("          ", "6314", " - ", "LIABILITY INSURANCE")</f>
        <v xml:space="preserve">          6314 - LIABILITY INSURANCE</v>
      </c>
      <c r="C207" s="11"/>
      <c r="D207" s="6">
        <v>4288.28</v>
      </c>
      <c r="E207" s="2"/>
      <c r="F207" s="7">
        <f t="shared" si="68"/>
        <v>4.2525612918390037E-3</v>
      </c>
      <c r="G207" s="2"/>
      <c r="H207" s="6">
        <v>4039.41</v>
      </c>
      <c r="I207" s="2"/>
      <c r="J207" s="7">
        <f t="shared" si="69"/>
        <v>4.2140631537674715E-3</v>
      </c>
      <c r="K207" s="2"/>
      <c r="L207" s="6">
        <f t="shared" si="70"/>
        <v>248.86999999999989</v>
      </c>
      <c r="M207" s="2"/>
      <c r="N207" s="7">
        <f t="shared" si="71"/>
        <v>6.1610482719010921E-2</v>
      </c>
      <c r="O207" s="11"/>
      <c r="P207" s="6">
        <v>17153.12</v>
      </c>
      <c r="Q207" s="2"/>
      <c r="R207" s="7">
        <f t="shared" si="72"/>
        <v>2.9889272060453398E-3</v>
      </c>
      <c r="S207" s="2"/>
      <c r="T207" s="6">
        <v>16157.64</v>
      </c>
      <c r="U207" s="2"/>
      <c r="V207" s="7">
        <f t="shared" si="73"/>
        <v>2.6531267728340802E-3</v>
      </c>
      <c r="W207" s="2"/>
      <c r="X207" s="6">
        <f t="shared" si="74"/>
        <v>995.47999999999956</v>
      </c>
      <c r="Y207" s="2"/>
      <c r="Z207" s="7">
        <f t="shared" si="75"/>
        <v>6.1610482719010921E-2</v>
      </c>
    </row>
    <row r="208" spans="1:26" s="27" customFormat="1" outlineLevel="1" collapsed="1" x14ac:dyDescent="0.25">
      <c r="A208" s="25"/>
      <c r="B208" s="13" t="str">
        <f>CONCATENATE("     ","Interest                                          ")</f>
        <v xml:space="preserve">     Interest                                          </v>
      </c>
      <c r="C208" s="13"/>
      <c r="D208" s="1">
        <f>SUM(OSRRefD22_13x_0)</f>
        <v>4163.95</v>
      </c>
      <c r="E208" s="1"/>
      <c r="F208" s="5">
        <f t="shared" si="68"/>
        <v>4.1292668834947855E-3</v>
      </c>
      <c r="G208" s="1"/>
      <c r="H208" s="1">
        <f>SUM(OSRRefH22_13x_0)</f>
        <v>4064.9</v>
      </c>
      <c r="I208" s="1"/>
      <c r="J208" s="5">
        <f t="shared" si="69"/>
        <v>4.2406552723663598E-3</v>
      </c>
      <c r="K208" s="1"/>
      <c r="L208" s="1">
        <f t="shared" si="70"/>
        <v>99.049999999999727</v>
      </c>
      <c r="M208" s="1"/>
      <c r="N208" s="5">
        <f t="shared" si="71"/>
        <v>2.4367143103151301E-2</v>
      </c>
      <c r="O208" s="13"/>
      <c r="P208" s="1">
        <f>SUM(OSRRefP22_13x_0)</f>
        <v>16493.95</v>
      </c>
      <c r="Q208" s="1"/>
      <c r="R208" s="5">
        <f t="shared" si="72"/>
        <v>2.8740669854901927E-3</v>
      </c>
      <c r="S208" s="1"/>
      <c r="T208" s="1">
        <f>SUM(OSRRefT22_13x_0)</f>
        <v>16904.900000000001</v>
      </c>
      <c r="U208" s="1"/>
      <c r="V208" s="5">
        <f t="shared" si="73"/>
        <v>2.7758288204269219E-3</v>
      </c>
      <c r="W208" s="1"/>
      <c r="X208" s="1">
        <f t="shared" si="74"/>
        <v>-410.95000000000073</v>
      </c>
      <c r="Y208" s="1"/>
      <c r="Z208" s="5">
        <f t="shared" si="75"/>
        <v>-2.4309519725050174E-2</v>
      </c>
    </row>
    <row r="209" spans="1:26" s="24" customFormat="1" hidden="1" outlineLevel="2" x14ac:dyDescent="0.25">
      <c r="A209" s="26"/>
      <c r="B209" s="11" t="str">
        <f>CONCATENATE("          ", "6401", " - ", "INTEREST EXPENSE")</f>
        <v xml:space="preserve">          6401 - INTEREST EXPENSE</v>
      </c>
      <c r="C209" s="11"/>
      <c r="D209" s="6">
        <v>4163.95</v>
      </c>
      <c r="E209" s="2"/>
      <c r="F209" s="7">
        <f t="shared" si="68"/>
        <v>4.1292668834947855E-3</v>
      </c>
      <c r="G209" s="2"/>
      <c r="H209" s="6">
        <v>4064.9</v>
      </c>
      <c r="I209" s="2"/>
      <c r="J209" s="7">
        <f t="shared" si="69"/>
        <v>4.2406552723663598E-3</v>
      </c>
      <c r="K209" s="2"/>
      <c r="L209" s="6">
        <f t="shared" si="70"/>
        <v>99.049999999999727</v>
      </c>
      <c r="M209" s="2"/>
      <c r="N209" s="7">
        <f t="shared" si="71"/>
        <v>2.4367143103151301E-2</v>
      </c>
      <c r="O209" s="11"/>
      <c r="P209" s="6">
        <v>16493.95</v>
      </c>
      <c r="Q209" s="2"/>
      <c r="R209" s="7">
        <f t="shared" si="72"/>
        <v>2.8740669854901927E-3</v>
      </c>
      <c r="S209" s="2"/>
      <c r="T209" s="6">
        <v>16904.900000000001</v>
      </c>
      <c r="U209" s="2"/>
      <c r="V209" s="7">
        <f t="shared" si="73"/>
        <v>2.7758288204269219E-3</v>
      </c>
      <c r="W209" s="2"/>
      <c r="X209" s="6">
        <f t="shared" si="74"/>
        <v>-410.95000000000073</v>
      </c>
      <c r="Y209" s="2"/>
      <c r="Z209" s="7">
        <f t="shared" si="75"/>
        <v>-2.4309519725050174E-2</v>
      </c>
    </row>
    <row r="210" spans="1:26" s="27" customFormat="1" outlineLevel="1" collapsed="1" x14ac:dyDescent="0.25">
      <c r="A210" s="25"/>
      <c r="B210" s="13" t="str">
        <f>CONCATENATE("     ","Inventory Adjustment                              ")</f>
        <v xml:space="preserve">     Inventory Adjustment                              </v>
      </c>
      <c r="C210" s="13"/>
      <c r="D210" s="1">
        <f>SUM(OSRRefD22_14x_0)</f>
        <v>4250</v>
      </c>
      <c r="E210" s="1"/>
      <c r="F210" s="5">
        <f t="shared" si="68"/>
        <v>4.2146001404562584E-3</v>
      </c>
      <c r="G210" s="1"/>
      <c r="H210" s="1">
        <f>SUM(OSRRefH22_14x_0)</f>
        <v>8750</v>
      </c>
      <c r="I210" s="1"/>
      <c r="J210" s="5">
        <f t="shared" si="69"/>
        <v>9.128326313859049E-3</v>
      </c>
      <c r="K210" s="1"/>
      <c r="L210" s="1">
        <f t="shared" si="70"/>
        <v>-4500</v>
      </c>
      <c r="M210" s="1"/>
      <c r="N210" s="5">
        <f t="shared" si="71"/>
        <v>-0.51428571428571423</v>
      </c>
      <c r="O210" s="13"/>
      <c r="P210" s="1">
        <f>SUM(OSRRefP22_14x_0)</f>
        <v>16900</v>
      </c>
      <c r="Q210" s="1"/>
      <c r="R210" s="5">
        <f t="shared" si="72"/>
        <v>2.9448211043918682E-3</v>
      </c>
      <c r="S210" s="1"/>
      <c r="T210" s="1">
        <f>SUM(OSRRefT22_14x_0)</f>
        <v>35000</v>
      </c>
      <c r="U210" s="1"/>
      <c r="V210" s="5">
        <f t="shared" si="73"/>
        <v>5.7470915956286195E-3</v>
      </c>
      <c r="W210" s="1"/>
      <c r="X210" s="1">
        <f t="shared" si="74"/>
        <v>-18100</v>
      </c>
      <c r="Y210" s="1"/>
      <c r="Z210" s="5">
        <f t="shared" si="75"/>
        <v>-0.51714285714285713</v>
      </c>
    </row>
    <row r="211" spans="1:26" s="24" customFormat="1" hidden="1" outlineLevel="2" x14ac:dyDescent="0.25">
      <c r="A211" s="26"/>
      <c r="B211" s="11" t="str">
        <f>CONCATENATE("          ", "6408", " - ", "INVENTORY ADJUSTMENT")</f>
        <v xml:space="preserve">          6408 - INVENTORY ADJUSTMENT</v>
      </c>
      <c r="C211" s="11"/>
      <c r="D211" s="6">
        <v>4250</v>
      </c>
      <c r="E211" s="2"/>
      <c r="F211" s="7">
        <f t="shared" si="68"/>
        <v>4.2146001404562584E-3</v>
      </c>
      <c r="G211" s="2"/>
      <c r="H211" s="6">
        <v>8750</v>
      </c>
      <c r="I211" s="2"/>
      <c r="J211" s="7">
        <f t="shared" si="69"/>
        <v>9.128326313859049E-3</v>
      </c>
      <c r="K211" s="2"/>
      <c r="L211" s="6">
        <f t="shared" si="70"/>
        <v>-4500</v>
      </c>
      <c r="M211" s="2"/>
      <c r="N211" s="7">
        <f t="shared" si="71"/>
        <v>-0.51428571428571423</v>
      </c>
      <c r="O211" s="11"/>
      <c r="P211" s="6">
        <v>16900</v>
      </c>
      <c r="Q211" s="2"/>
      <c r="R211" s="7">
        <f t="shared" si="72"/>
        <v>2.9448211043918682E-3</v>
      </c>
      <c r="S211" s="2"/>
      <c r="T211" s="6">
        <v>35000</v>
      </c>
      <c r="U211" s="2"/>
      <c r="V211" s="7">
        <f t="shared" si="73"/>
        <v>5.7470915956286195E-3</v>
      </c>
      <c r="W211" s="2"/>
      <c r="X211" s="6">
        <f t="shared" si="74"/>
        <v>-18100</v>
      </c>
      <c r="Y211" s="2"/>
      <c r="Z211" s="7">
        <f t="shared" si="75"/>
        <v>-0.51714285714285713</v>
      </c>
    </row>
    <row r="212" spans="1:26" s="27" customFormat="1" outlineLevel="1" collapsed="1" x14ac:dyDescent="0.25">
      <c r="A212" s="25"/>
      <c r="B212" s="13" t="str">
        <f>CONCATENATE("     ","Professional Services                             ")</f>
        <v xml:space="preserve">     Professional Services                             </v>
      </c>
      <c r="C212" s="13"/>
      <c r="D212" s="1">
        <f>SUM(OSRRefD22_15x_0)</f>
        <v>0</v>
      </c>
      <c r="E212" s="1"/>
      <c r="F212" s="5">
        <f t="shared" si="68"/>
        <v>0</v>
      </c>
      <c r="G212" s="1"/>
      <c r="H212" s="1">
        <f>SUM(OSRRefH22_15x_0)</f>
        <v>0</v>
      </c>
      <c r="I212" s="1"/>
      <c r="J212" s="5">
        <f t="shared" si="69"/>
        <v>0</v>
      </c>
      <c r="K212" s="1"/>
      <c r="L212" s="1">
        <f t="shared" si="70"/>
        <v>0</v>
      </c>
      <c r="M212" s="1"/>
      <c r="N212" s="5">
        <f t="shared" si="71"/>
        <v>0</v>
      </c>
      <c r="O212" s="13"/>
      <c r="P212" s="1">
        <f>SUM(OSRRefP22_15x_0)</f>
        <v>6158.41</v>
      </c>
      <c r="Q212" s="1"/>
      <c r="R212" s="5">
        <f t="shared" si="72"/>
        <v>1.0731015229288713E-3</v>
      </c>
      <c r="S212" s="1"/>
      <c r="T212" s="1">
        <f>SUM(OSRRefT22_15x_0)</f>
        <v>8276.43</v>
      </c>
      <c r="U212" s="1"/>
      <c r="V212" s="5">
        <f t="shared" si="73"/>
        <v>1.3590114655659595E-3</v>
      </c>
      <c r="W212" s="1"/>
      <c r="X212" s="1">
        <f t="shared" si="74"/>
        <v>-2118.0200000000004</v>
      </c>
      <c r="Y212" s="1"/>
      <c r="Z212" s="5">
        <f t="shared" si="75"/>
        <v>-0.25590985485287743</v>
      </c>
    </row>
    <row r="213" spans="1:26" s="24" customFormat="1" hidden="1" outlineLevel="2" x14ac:dyDescent="0.25">
      <c r="A213" s="26"/>
      <c r="B213" s="11" t="str">
        <f>CONCATENATE("          ", "6336", " - ", "PROFESSIONAL SERVICES")</f>
        <v xml:space="preserve">          6336 - PROFESSIONAL SERVICES</v>
      </c>
      <c r="C213" s="11"/>
      <c r="D213" s="6"/>
      <c r="E213" s="2"/>
      <c r="F213" s="7">
        <f t="shared" si="68"/>
        <v>0</v>
      </c>
      <c r="G213" s="2"/>
      <c r="H213" s="6"/>
      <c r="I213" s="2"/>
      <c r="J213" s="7">
        <f t="shared" si="69"/>
        <v>0</v>
      </c>
      <c r="K213" s="2"/>
      <c r="L213" s="6">
        <f t="shared" si="70"/>
        <v>0</v>
      </c>
      <c r="M213" s="2"/>
      <c r="N213" s="7">
        <f t="shared" si="71"/>
        <v>0</v>
      </c>
      <c r="O213" s="11"/>
      <c r="P213" s="6">
        <v>6158.41</v>
      </c>
      <c r="Q213" s="2"/>
      <c r="R213" s="7">
        <f t="shared" si="72"/>
        <v>1.0731015229288713E-3</v>
      </c>
      <c r="S213" s="2"/>
      <c r="T213" s="6">
        <v>8276.43</v>
      </c>
      <c r="U213" s="2"/>
      <c r="V213" s="7">
        <f t="shared" si="73"/>
        <v>1.3590114655659595E-3</v>
      </c>
      <c r="W213" s="2"/>
      <c r="X213" s="6">
        <f t="shared" si="74"/>
        <v>-2118.0200000000004</v>
      </c>
      <c r="Y213" s="2"/>
      <c r="Z213" s="7">
        <f t="shared" si="75"/>
        <v>-0.25590985485287743</v>
      </c>
    </row>
    <row r="214" spans="1:26" s="27" customFormat="1" outlineLevel="1" collapsed="1" x14ac:dyDescent="0.25">
      <c r="A214" s="25"/>
      <c r="B214" s="13" t="str">
        <f>CONCATENATE("     ","Rent                                              ")</f>
        <v xml:space="preserve">     Rent                                              </v>
      </c>
      <c r="C214" s="13"/>
      <c r="D214" s="1">
        <f>SUM(OSRRefD22_16x_0)</f>
        <v>7250</v>
      </c>
      <c r="E214" s="1"/>
      <c r="F214" s="5">
        <f t="shared" si="68"/>
        <v>7.1896120043077353E-3</v>
      </c>
      <c r="G214" s="1"/>
      <c r="H214" s="1">
        <f>SUM(OSRRefH22_16x_0)</f>
        <v>7250</v>
      </c>
      <c r="I214" s="1"/>
      <c r="J214" s="5">
        <f t="shared" si="69"/>
        <v>7.5634703743403539E-3</v>
      </c>
      <c r="K214" s="1"/>
      <c r="L214" s="1">
        <f t="shared" si="70"/>
        <v>0</v>
      </c>
      <c r="M214" s="1"/>
      <c r="N214" s="5">
        <f t="shared" si="71"/>
        <v>0</v>
      </c>
      <c r="O214" s="13"/>
      <c r="P214" s="1">
        <f>SUM(OSRRefP22_16x_0)</f>
        <v>29000</v>
      </c>
      <c r="Q214" s="1"/>
      <c r="R214" s="5">
        <f t="shared" si="72"/>
        <v>5.0532433152286494E-3</v>
      </c>
      <c r="S214" s="1"/>
      <c r="T214" s="1">
        <f>SUM(OSRRefT22_16x_0)</f>
        <v>29901.08</v>
      </c>
      <c r="U214" s="1"/>
      <c r="V214" s="5">
        <f t="shared" si="73"/>
        <v>4.909835587663401E-3</v>
      </c>
      <c r="W214" s="1"/>
      <c r="X214" s="1">
        <f t="shared" si="74"/>
        <v>-901.08000000000175</v>
      </c>
      <c r="Y214" s="1"/>
      <c r="Z214" s="5">
        <f t="shared" si="75"/>
        <v>-3.0135366347971433E-2</v>
      </c>
    </row>
    <row r="215" spans="1:26" s="24" customFormat="1" hidden="1" outlineLevel="2" x14ac:dyDescent="0.25">
      <c r="A215" s="26"/>
      <c r="B215" s="11" t="str">
        <f>CONCATENATE("          ", "6273", " - ", "RENT")</f>
        <v xml:space="preserve">          6273 - RENT</v>
      </c>
      <c r="C215" s="11"/>
      <c r="D215" s="6">
        <v>7250</v>
      </c>
      <c r="E215" s="2"/>
      <c r="F215" s="7">
        <f t="shared" si="68"/>
        <v>7.1896120043077353E-3</v>
      </c>
      <c r="G215" s="2"/>
      <c r="H215" s="6">
        <v>7250</v>
      </c>
      <c r="I215" s="2"/>
      <c r="J215" s="7">
        <f t="shared" si="69"/>
        <v>7.5634703743403539E-3</v>
      </c>
      <c r="K215" s="2"/>
      <c r="L215" s="6">
        <f t="shared" si="70"/>
        <v>0</v>
      </c>
      <c r="M215" s="2"/>
      <c r="N215" s="7">
        <f t="shared" si="71"/>
        <v>0</v>
      </c>
      <c r="O215" s="11"/>
      <c r="P215" s="6">
        <v>29000</v>
      </c>
      <c r="Q215" s="2"/>
      <c r="R215" s="7">
        <f t="shared" si="72"/>
        <v>5.0532433152286494E-3</v>
      </c>
      <c r="S215" s="2"/>
      <c r="T215" s="6">
        <v>29901.08</v>
      </c>
      <c r="U215" s="2"/>
      <c r="V215" s="7">
        <f t="shared" si="73"/>
        <v>4.909835587663401E-3</v>
      </c>
      <c r="W215" s="2"/>
      <c r="X215" s="6">
        <f t="shared" si="74"/>
        <v>-901.08000000000175</v>
      </c>
      <c r="Y215" s="2"/>
      <c r="Z215" s="7">
        <f t="shared" si="75"/>
        <v>-3.0135366347971433E-2</v>
      </c>
    </row>
    <row r="216" spans="1:26" s="27" customFormat="1" outlineLevel="1" collapsed="1" x14ac:dyDescent="0.25">
      <c r="A216" s="25"/>
      <c r="B216" s="13" t="str">
        <f>CONCATENATE("     ","Repair and Maintenance                            ")</f>
        <v xml:space="preserve">     Repair and Maintenance                            </v>
      </c>
      <c r="C216" s="13"/>
      <c r="D216" s="1">
        <f>SUM(OSRRefD22_17x_0)</f>
        <v>17928.669999999998</v>
      </c>
      <c r="E216" s="1"/>
      <c r="F216" s="5">
        <f t="shared" si="68"/>
        <v>1.7779335317692685E-2</v>
      </c>
      <c r="G216" s="1"/>
      <c r="H216" s="1">
        <f>SUM(OSRRefH22_17x_0)</f>
        <v>14539.880000000001</v>
      </c>
      <c r="I216" s="1"/>
      <c r="J216" s="5">
        <f t="shared" si="69"/>
        <v>1.5168545051926047E-2</v>
      </c>
      <c r="K216" s="1"/>
      <c r="L216" s="1">
        <f t="shared" si="70"/>
        <v>3388.7899999999972</v>
      </c>
      <c r="M216" s="1"/>
      <c r="N216" s="5">
        <f t="shared" si="71"/>
        <v>0.2330686360547678</v>
      </c>
      <c r="O216" s="13"/>
      <c r="P216" s="1">
        <f>SUM(OSRRefP22_17x_0)</f>
        <v>74739.11</v>
      </c>
      <c r="Q216" s="1"/>
      <c r="R216" s="5">
        <f t="shared" si="72"/>
        <v>1.3023272689435818E-2</v>
      </c>
      <c r="S216" s="1"/>
      <c r="T216" s="1">
        <f>SUM(OSRRefT22_17x_0)</f>
        <v>99217.84</v>
      </c>
      <c r="U216" s="1"/>
      <c r="V216" s="5">
        <f t="shared" si="73"/>
        <v>1.6291828982869287E-2</v>
      </c>
      <c r="W216" s="1"/>
      <c r="X216" s="1">
        <f t="shared" si="74"/>
        <v>-24478.729999999996</v>
      </c>
      <c r="Y216" s="1"/>
      <c r="Z216" s="5">
        <f t="shared" si="75"/>
        <v>-0.2467170218581658</v>
      </c>
    </row>
    <row r="217" spans="1:26" s="24" customFormat="1" hidden="1" outlineLevel="2" x14ac:dyDescent="0.25">
      <c r="A217" s="26"/>
      <c r="B217" s="11" t="str">
        <f>CONCATENATE("          ", "6371", " - ", "COMPUTER SOFTWARE MAINTENANCE")</f>
        <v xml:space="preserve">          6371 - COMPUTER SOFTWARE MAINTENANCE</v>
      </c>
      <c r="C217" s="11"/>
      <c r="D217" s="6">
        <v>601</v>
      </c>
      <c r="E217" s="2"/>
      <c r="F217" s="7">
        <f t="shared" si="68"/>
        <v>5.9599404339157915E-4</v>
      </c>
      <c r="G217" s="2"/>
      <c r="H217" s="6">
        <v>4049.7</v>
      </c>
      <c r="I217" s="2"/>
      <c r="J217" s="7">
        <f t="shared" si="69"/>
        <v>4.2247980655125694E-3</v>
      </c>
      <c r="K217" s="2"/>
      <c r="L217" s="6">
        <f t="shared" si="70"/>
        <v>-3448.7</v>
      </c>
      <c r="M217" s="2"/>
      <c r="N217" s="7">
        <f t="shared" si="71"/>
        <v>-0.85159394523051091</v>
      </c>
      <c r="O217" s="11"/>
      <c r="P217" s="6">
        <v>14063.33</v>
      </c>
      <c r="Q217" s="2"/>
      <c r="R217" s="7">
        <f t="shared" si="72"/>
        <v>2.4505320107708456E-3</v>
      </c>
      <c r="S217" s="2"/>
      <c r="T217" s="6">
        <v>48835.83</v>
      </c>
      <c r="U217" s="2"/>
      <c r="V217" s="7">
        <f t="shared" si="73"/>
        <v>8.0189710902442302E-3</v>
      </c>
      <c r="W217" s="2"/>
      <c r="X217" s="6">
        <f t="shared" si="74"/>
        <v>-34772.5</v>
      </c>
      <c r="Y217" s="2"/>
      <c r="Z217" s="7">
        <f t="shared" si="75"/>
        <v>-0.71202844305093205</v>
      </c>
    </row>
    <row r="218" spans="1:26" s="24" customFormat="1" hidden="1" outlineLevel="2" x14ac:dyDescent="0.25">
      <c r="A218" s="26"/>
      <c r="B218" s="11" t="str">
        <f>CONCATENATE("          ", "6373", " - ", "MAINTENANCE CONTRACTS")</f>
        <v xml:space="preserve">          6373 - MAINTENANCE CONTRACTS</v>
      </c>
      <c r="C218" s="11"/>
      <c r="D218" s="6">
        <v>11613.32</v>
      </c>
      <c r="E218" s="2"/>
      <c r="F218" s="7">
        <f t="shared" si="68"/>
        <v>1.1516588259567877E-2</v>
      </c>
      <c r="G218" s="2"/>
      <c r="H218" s="6">
        <v>7262.14</v>
      </c>
      <c r="I218" s="2"/>
      <c r="J218" s="7">
        <f t="shared" si="69"/>
        <v>7.5761352750775262E-3</v>
      </c>
      <c r="K218" s="2"/>
      <c r="L218" s="6">
        <f t="shared" si="70"/>
        <v>4351.1799999999994</v>
      </c>
      <c r="M218" s="2"/>
      <c r="N218" s="7">
        <f t="shared" si="71"/>
        <v>0.59915947640778056</v>
      </c>
      <c r="O218" s="11"/>
      <c r="P218" s="6">
        <v>30661.510000000002</v>
      </c>
      <c r="Q218" s="2"/>
      <c r="R218" s="7">
        <f t="shared" si="72"/>
        <v>5.3427610497350482E-3</v>
      </c>
      <c r="S218" s="2"/>
      <c r="T218" s="6">
        <v>33274.83</v>
      </c>
      <c r="U218" s="2"/>
      <c r="V218" s="7">
        <f t="shared" si="73"/>
        <v>5.4638141668277452E-3</v>
      </c>
      <c r="W218" s="2"/>
      <c r="X218" s="6">
        <f t="shared" si="74"/>
        <v>-2613.3199999999997</v>
      </c>
      <c r="Y218" s="2"/>
      <c r="Z218" s="7">
        <f t="shared" si="75"/>
        <v>-7.8537441062809327E-2</v>
      </c>
    </row>
    <row r="219" spans="1:26" s="24" customFormat="1" hidden="1" outlineLevel="2" x14ac:dyDescent="0.25">
      <c r="A219" s="26"/>
      <c r="B219" s="11" t="str">
        <f>CONCATENATE("          ", "6375", " - ", "OUTSIDE REPAIRS &amp; MAINTENANCE")</f>
        <v xml:space="preserve">          6375 - OUTSIDE REPAIRS &amp; MAINTENANCE</v>
      </c>
      <c r="C219" s="11"/>
      <c r="D219" s="6">
        <v>5714.35</v>
      </c>
      <c r="E219" s="2"/>
      <c r="F219" s="7">
        <f t="shared" si="68"/>
        <v>5.6667530147332295E-3</v>
      </c>
      <c r="G219" s="2"/>
      <c r="H219" s="6">
        <v>3228.04</v>
      </c>
      <c r="I219" s="2"/>
      <c r="J219" s="7">
        <f t="shared" si="69"/>
        <v>3.3676117113359497E-3</v>
      </c>
      <c r="K219" s="2"/>
      <c r="L219" s="6">
        <f t="shared" si="70"/>
        <v>2486.3100000000004</v>
      </c>
      <c r="M219" s="2"/>
      <c r="N219" s="7">
        <f t="shared" si="71"/>
        <v>0.77022279773484847</v>
      </c>
      <c r="O219" s="11"/>
      <c r="P219" s="6">
        <v>30014.27</v>
      </c>
      <c r="Q219" s="2"/>
      <c r="R219" s="7">
        <f t="shared" si="72"/>
        <v>5.2299796289299247E-3</v>
      </c>
      <c r="S219" s="2"/>
      <c r="T219" s="6">
        <v>17107.18</v>
      </c>
      <c r="U219" s="2"/>
      <c r="V219" s="7">
        <f t="shared" si="73"/>
        <v>2.8090437257973148E-3</v>
      </c>
      <c r="W219" s="2"/>
      <c r="X219" s="6">
        <f t="shared" si="74"/>
        <v>12907.09</v>
      </c>
      <c r="Y219" s="2"/>
      <c r="Z219" s="7">
        <f t="shared" si="75"/>
        <v>0.75448378984730391</v>
      </c>
    </row>
    <row r="220" spans="1:26" s="27" customFormat="1" outlineLevel="1" collapsed="1" x14ac:dyDescent="0.25">
      <c r="A220" s="25"/>
      <c r="B220" s="13" t="str">
        <f>CONCATENATE("     ","Royalty &amp; Commissions                             ")</f>
        <v xml:space="preserve">     Royalty &amp; Commissions                             </v>
      </c>
      <c r="C220" s="13"/>
      <c r="D220" s="1">
        <f>SUM(OSRRefD22_18x_0)</f>
        <v>12626.66</v>
      </c>
      <c r="E220" s="1"/>
      <c r="F220" s="5">
        <f t="shared" ref="F220:F223" si="76">IF(D$12=0,0,D220/D$12)</f>
        <v>1.2521487766939629E-2</v>
      </c>
      <c r="G220" s="1"/>
      <c r="H220" s="1">
        <f>SUM(OSRRefH22_18x_0)</f>
        <v>28927.950000000004</v>
      </c>
      <c r="I220" s="1"/>
      <c r="J220" s="5">
        <f t="shared" ref="J220:J223" si="77">IF(H$12=0,0,H220/H$12)</f>
        <v>3.0178716250399872E-2</v>
      </c>
      <c r="K220" s="1"/>
      <c r="L220" s="1">
        <f t="shared" ref="L220:L223" si="78">+D220-H220</f>
        <v>-16301.290000000005</v>
      </c>
      <c r="M220" s="1"/>
      <c r="N220" s="5">
        <f t="shared" ref="N220:N223" si="79">IF(H220=0,0,L220/H220)</f>
        <v>-0.56351348782060262</v>
      </c>
      <c r="O220" s="13"/>
      <c r="P220" s="1">
        <f>SUM(OSRRefP22_18x_0)</f>
        <v>37752.550000000003</v>
      </c>
      <c r="Q220" s="1"/>
      <c r="R220" s="5">
        <f t="shared" ref="R220:R223" si="80">IF(P$12=0,0,P220/P$12)</f>
        <v>6.5783731351839788E-3</v>
      </c>
      <c r="S220" s="1"/>
      <c r="T220" s="1">
        <f>SUM(OSRRefT22_18x_0)</f>
        <v>55856.57</v>
      </c>
      <c r="U220" s="1"/>
      <c r="V220" s="5">
        <f t="shared" ref="V220:V223" si="81">IF(T$12=0,0,T220/T$12)</f>
        <v>9.1717949716469058E-3</v>
      </c>
      <c r="W220" s="1"/>
      <c r="X220" s="1">
        <f t="shared" ref="X220:X223" si="82">+P220-T220</f>
        <v>-18104.019999999997</v>
      </c>
      <c r="Y220" s="1"/>
      <c r="Z220" s="5">
        <f t="shared" ref="Z220:Z223" si="83">IF(T220=0,0,X220/T220)</f>
        <v>-0.32411621408188862</v>
      </c>
    </row>
    <row r="221" spans="1:26" s="24" customFormat="1" hidden="1" outlineLevel="2" x14ac:dyDescent="0.25">
      <c r="A221" s="26"/>
      <c r="B221" s="11" t="str">
        <f>CONCATENATE("          ", "6253", " - ", "ROYALTY DUE ATHLETICS-LRG")</f>
        <v xml:space="preserve">          6253 - ROYALTY DUE ATHLETICS-LRG</v>
      </c>
      <c r="C221" s="11"/>
      <c r="D221" s="6"/>
      <c r="E221" s="2"/>
      <c r="F221" s="7">
        <f t="shared" si="76"/>
        <v>0</v>
      </c>
      <c r="G221" s="2"/>
      <c r="H221" s="6">
        <v>16349.030000000002</v>
      </c>
      <c r="I221" s="2"/>
      <c r="J221" s="7">
        <f t="shared" si="77"/>
        <v>1.7055917800579544E-2</v>
      </c>
      <c r="K221" s="2"/>
      <c r="L221" s="6">
        <f t="shared" si="78"/>
        <v>-16349.030000000002</v>
      </c>
      <c r="M221" s="2"/>
      <c r="N221" s="7">
        <f t="shared" si="79"/>
        <v>-1</v>
      </c>
      <c r="O221" s="11"/>
      <c r="P221" s="6">
        <v>4366.95</v>
      </c>
      <c r="Q221" s="2"/>
      <c r="R221" s="7">
        <f t="shared" si="80"/>
        <v>7.6094003087716388E-4</v>
      </c>
      <c r="S221" s="2"/>
      <c r="T221" s="6">
        <v>22994.42</v>
      </c>
      <c r="U221" s="2"/>
      <c r="V221" s="7">
        <f t="shared" si="81"/>
        <v>3.7757439408101327E-3</v>
      </c>
      <c r="W221" s="2"/>
      <c r="X221" s="6">
        <f t="shared" si="82"/>
        <v>-18627.469999999998</v>
      </c>
      <c r="Y221" s="2"/>
      <c r="Z221" s="7">
        <f t="shared" si="83"/>
        <v>-0.81008653403738817</v>
      </c>
    </row>
    <row r="222" spans="1:26" s="24" customFormat="1" hidden="1" outlineLevel="2" x14ac:dyDescent="0.25">
      <c r="A222" s="26"/>
      <c r="B222" s="11" t="str">
        <f>CONCATENATE("          ", "6254", " - ", "ROYALTY &amp; COMMISSIONS")</f>
        <v xml:space="preserve">          6254 - ROYALTY &amp; COMMISSIONS</v>
      </c>
      <c r="C222" s="11"/>
      <c r="D222" s="6">
        <v>882.02</v>
      </c>
      <c r="E222" s="2"/>
      <c r="F222" s="7">
        <f t="shared" si="76"/>
        <v>8.7467332138475981E-4</v>
      </c>
      <c r="G222" s="2"/>
      <c r="H222" s="6">
        <v>587.89</v>
      </c>
      <c r="I222" s="2"/>
      <c r="J222" s="7">
        <f t="shared" si="77"/>
        <v>6.1330877218909664E-4</v>
      </c>
      <c r="K222" s="2"/>
      <c r="L222" s="6">
        <f t="shared" si="78"/>
        <v>294.13</v>
      </c>
      <c r="M222" s="2"/>
      <c r="N222" s="7">
        <f t="shared" si="79"/>
        <v>0.50031468471993057</v>
      </c>
      <c r="O222" s="11"/>
      <c r="P222" s="6">
        <v>7171.34</v>
      </c>
      <c r="Q222" s="2"/>
      <c r="R222" s="7">
        <f t="shared" si="80"/>
        <v>1.2496043419390284E-3</v>
      </c>
      <c r="S222" s="2"/>
      <c r="T222" s="6">
        <v>6499.77</v>
      </c>
      <c r="U222" s="2"/>
      <c r="V222" s="7">
        <f t="shared" si="81"/>
        <v>1.0672792440148296E-3</v>
      </c>
      <c r="W222" s="2"/>
      <c r="X222" s="6">
        <f t="shared" si="82"/>
        <v>671.56999999999971</v>
      </c>
      <c r="Y222" s="2"/>
      <c r="Z222" s="7">
        <f t="shared" si="83"/>
        <v>0.10332211755185178</v>
      </c>
    </row>
    <row r="223" spans="1:26" s="24" customFormat="1" hidden="1" outlineLevel="2" x14ac:dyDescent="0.25">
      <c r="A223" s="26"/>
      <c r="B223" s="11" t="str">
        <f>CONCATENATE("          ", "6259", " - ", "ROYALTY &amp; COMMISSIONS")</f>
        <v xml:space="preserve">          6259 - ROYALTY &amp; COMMISSIONS</v>
      </c>
      <c r="C223" s="11"/>
      <c r="D223" s="6">
        <v>11744.64</v>
      </c>
      <c r="E223" s="2"/>
      <c r="F223" s="7">
        <f t="shared" si="76"/>
        <v>1.1646814445554869E-2</v>
      </c>
      <c r="G223" s="2"/>
      <c r="H223" s="6">
        <v>11991.03</v>
      </c>
      <c r="I223" s="2"/>
      <c r="J223" s="7">
        <f t="shared" si="77"/>
        <v>1.2509489677631231E-2</v>
      </c>
      <c r="K223" s="2"/>
      <c r="L223" s="6">
        <f t="shared" si="78"/>
        <v>-246.39000000000124</v>
      </c>
      <c r="M223" s="2"/>
      <c r="N223" s="7">
        <f t="shared" si="79"/>
        <v>-2.0547859524995035E-2</v>
      </c>
      <c r="O223" s="11"/>
      <c r="P223" s="6">
        <v>26214.26</v>
      </c>
      <c r="Q223" s="2"/>
      <c r="R223" s="7">
        <f t="shared" si="80"/>
        <v>4.5678287623677856E-3</v>
      </c>
      <c r="S223" s="2"/>
      <c r="T223" s="6">
        <v>26362.38</v>
      </c>
      <c r="U223" s="2"/>
      <c r="V223" s="7">
        <f t="shared" si="81"/>
        <v>4.3287717868219439E-3</v>
      </c>
      <c r="W223" s="2"/>
      <c r="X223" s="6">
        <f t="shared" si="82"/>
        <v>-148.12000000000262</v>
      </c>
      <c r="Y223" s="2"/>
      <c r="Z223" s="7">
        <f t="shared" si="83"/>
        <v>-5.6186125835377011E-3</v>
      </c>
    </row>
    <row r="224" spans="1:26" s="27" customFormat="1" outlineLevel="1" collapsed="1" x14ac:dyDescent="0.25">
      <c r="A224" s="25"/>
      <c r="B224" s="13" t="str">
        <f>CONCATENATE("     ","Services                                          ")</f>
        <v xml:space="preserve">     Services                                          </v>
      </c>
      <c r="C224" s="13"/>
      <c r="D224" s="1">
        <f>SUM(OSRRefD22_19x_0)</f>
        <v>6847.4000000000005</v>
      </c>
      <c r="E224" s="1"/>
      <c r="F224" s="5">
        <f t="shared" ref="F224:F229" si="84">IF(D$12=0,0,D224/D$12)</f>
        <v>6.7903654121788679E-3</v>
      </c>
      <c r="G224" s="1"/>
      <c r="H224" s="1">
        <f>SUM(OSRRefH22_19x_0)</f>
        <v>6852.19</v>
      </c>
      <c r="I224" s="1"/>
      <c r="J224" s="5">
        <f t="shared" ref="J224:J229" si="85">IF(H$12=0,0,H224/H$12)</f>
        <v>7.1484601468070662E-3</v>
      </c>
      <c r="K224" s="1"/>
      <c r="L224" s="1">
        <f t="shared" ref="L224:L229" si="86">+D224-H224</f>
        <v>-4.7899999999990541</v>
      </c>
      <c r="M224" s="1"/>
      <c r="N224" s="5">
        <f t="shared" ref="N224:N229" si="87">IF(H224=0,0,L224/H224)</f>
        <v>-6.9904658218745454E-4</v>
      </c>
      <c r="O224" s="13"/>
      <c r="P224" s="1">
        <f>SUM(OSRRefP22_19x_0)</f>
        <v>25036.36</v>
      </c>
      <c r="Q224" s="1"/>
      <c r="R224" s="5">
        <f t="shared" ref="R224:R229" si="88">IF(P$12=0,0,P224/P$12)</f>
        <v>4.3625799588847573E-3</v>
      </c>
      <c r="S224" s="1"/>
      <c r="T224" s="1">
        <f>SUM(OSRRefT22_19x_0)</f>
        <v>24750</v>
      </c>
      <c r="U224" s="1"/>
      <c r="V224" s="5">
        <f t="shared" ref="V224:V229" si="89">IF(T$12=0,0,T224/T$12)</f>
        <v>4.0640147711945244E-3</v>
      </c>
      <c r="W224" s="1"/>
      <c r="X224" s="1">
        <f t="shared" ref="X224:X229" si="90">+P224-T224</f>
        <v>286.36000000000058</v>
      </c>
      <c r="Y224" s="1"/>
      <c r="Z224" s="5">
        <f t="shared" ref="Z224:Z229" si="91">IF(T224=0,0,X224/T224)</f>
        <v>1.1570101010101034E-2</v>
      </c>
    </row>
    <row r="225" spans="1:26" s="24" customFormat="1" hidden="1" outlineLevel="2" x14ac:dyDescent="0.25">
      <c r="A225" s="26"/>
      <c r="B225" s="11" t="str">
        <f>CONCATENATE("          ", "6282", " - ", "JANITORIAL/EXTERMINATOR EXPENS")</f>
        <v xml:space="preserve">          6282 - JANITORIAL/EXTERMINATOR EXPENS</v>
      </c>
      <c r="C225" s="11"/>
      <c r="D225" s="6">
        <v>711.24</v>
      </c>
      <c r="E225" s="2"/>
      <c r="F225" s="7">
        <f t="shared" si="84"/>
        <v>7.0531581268190808E-4</v>
      </c>
      <c r="G225" s="2"/>
      <c r="H225" s="6">
        <v>834.09</v>
      </c>
      <c r="I225" s="2"/>
      <c r="J225" s="7">
        <f t="shared" si="85"/>
        <v>8.7015379372876503E-4</v>
      </c>
      <c r="K225" s="2"/>
      <c r="L225" s="6">
        <f t="shared" si="86"/>
        <v>-122.85000000000002</v>
      </c>
      <c r="M225" s="2"/>
      <c r="N225" s="7">
        <f t="shared" si="87"/>
        <v>-0.14728626407222245</v>
      </c>
      <c r="O225" s="11"/>
      <c r="P225" s="6">
        <v>3645.4</v>
      </c>
      <c r="Q225" s="2"/>
      <c r="R225" s="7">
        <f t="shared" si="88"/>
        <v>6.3521010970119039E-4</v>
      </c>
      <c r="S225" s="2"/>
      <c r="T225" s="6">
        <v>3345.36</v>
      </c>
      <c r="U225" s="2"/>
      <c r="V225" s="7">
        <f t="shared" si="89"/>
        <v>5.4931686686720453E-4</v>
      </c>
      <c r="W225" s="2"/>
      <c r="X225" s="6">
        <f t="shared" si="90"/>
        <v>300.03999999999996</v>
      </c>
      <c r="Y225" s="2"/>
      <c r="Z225" s="7">
        <f t="shared" si="91"/>
        <v>8.9688404237511052E-2</v>
      </c>
    </row>
    <row r="226" spans="1:26" s="24" customFormat="1" hidden="1" outlineLevel="2" x14ac:dyDescent="0.25">
      <c r="A226" s="26"/>
      <c r="B226" s="11" t="str">
        <f>CONCATENATE("          ", "6283", " - ", "PLANT SERVICE")</f>
        <v xml:space="preserve">          6283 - PLANT SERVICE</v>
      </c>
      <c r="C226" s="11"/>
      <c r="D226" s="6"/>
      <c r="E226" s="2"/>
      <c r="F226" s="7">
        <f t="shared" si="84"/>
        <v>0</v>
      </c>
      <c r="G226" s="2"/>
      <c r="H226" s="6">
        <v>295.5</v>
      </c>
      <c r="I226" s="2"/>
      <c r="J226" s="7">
        <f t="shared" si="85"/>
        <v>3.0827662008518271E-4</v>
      </c>
      <c r="K226" s="2"/>
      <c r="L226" s="6">
        <f t="shared" si="86"/>
        <v>-295.5</v>
      </c>
      <c r="M226" s="2"/>
      <c r="N226" s="7">
        <f t="shared" si="87"/>
        <v>-1</v>
      </c>
      <c r="O226" s="11"/>
      <c r="P226" s="6">
        <v>541.98</v>
      </c>
      <c r="Q226" s="2"/>
      <c r="R226" s="7">
        <f t="shared" si="88"/>
        <v>9.4439890068538751E-5</v>
      </c>
      <c r="S226" s="2"/>
      <c r="T226" s="6">
        <v>814.5</v>
      </c>
      <c r="U226" s="2"/>
      <c r="V226" s="7">
        <f t="shared" si="89"/>
        <v>1.3374303156112887E-4</v>
      </c>
      <c r="W226" s="2"/>
      <c r="X226" s="6">
        <f t="shared" si="90"/>
        <v>-272.52</v>
      </c>
      <c r="Y226" s="2"/>
      <c r="Z226" s="7">
        <f t="shared" si="91"/>
        <v>-0.33458563535911601</v>
      </c>
    </row>
    <row r="227" spans="1:26" s="24" customFormat="1" hidden="1" outlineLevel="2" x14ac:dyDescent="0.25">
      <c r="A227" s="26"/>
      <c r="B227" s="11" t="str">
        <f>CONCATENATE("          ", "6284", " - ", "TRASH REMOVAL EXPENSE")</f>
        <v xml:space="preserve">          6284 - TRASH REMOVAL EXPENSE</v>
      </c>
      <c r="C227" s="11"/>
      <c r="D227" s="6">
        <v>371.82</v>
      </c>
      <c r="E227" s="2"/>
      <c r="F227" s="7">
        <f t="shared" si="84"/>
        <v>3.6872297040575205E-4</v>
      </c>
      <c r="G227" s="2"/>
      <c r="H227" s="6">
        <v>929.19</v>
      </c>
      <c r="I227" s="2"/>
      <c r="J227" s="7">
        <f t="shared" si="85"/>
        <v>9.6936566029425018E-4</v>
      </c>
      <c r="K227" s="2"/>
      <c r="L227" s="6">
        <f t="shared" si="86"/>
        <v>-557.37000000000012</v>
      </c>
      <c r="M227" s="2"/>
      <c r="N227" s="7">
        <f t="shared" si="87"/>
        <v>-0.59984502631324066</v>
      </c>
      <c r="O227" s="11"/>
      <c r="P227" s="6">
        <v>1250.28</v>
      </c>
      <c r="Q227" s="2"/>
      <c r="R227" s="7">
        <f t="shared" si="88"/>
        <v>2.1786100179876125E-4</v>
      </c>
      <c r="S227" s="2"/>
      <c r="T227" s="6">
        <v>2004.57</v>
      </c>
      <c r="U227" s="2"/>
      <c r="V227" s="7">
        <f t="shared" si="89"/>
        <v>3.2915563999569319E-4</v>
      </c>
      <c r="W227" s="2"/>
      <c r="X227" s="6">
        <f t="shared" si="90"/>
        <v>-754.29</v>
      </c>
      <c r="Y227" s="2"/>
      <c r="Z227" s="7">
        <f t="shared" si="91"/>
        <v>-0.37628518834463248</v>
      </c>
    </row>
    <row r="228" spans="1:26" s="24" customFormat="1" hidden="1" outlineLevel="2" x14ac:dyDescent="0.25">
      <c r="A228" s="26"/>
      <c r="B228" s="11" t="str">
        <f>CONCATENATE("          ", "6285", " - ", "JANITORIAL SERVICES")</f>
        <v xml:space="preserve">          6285 - JANITORIAL SERVICES</v>
      </c>
      <c r="C228" s="11"/>
      <c r="D228" s="6">
        <v>4971.63</v>
      </c>
      <c r="E228" s="2"/>
      <c r="F228" s="7">
        <f t="shared" si="84"/>
        <v>4.9302194108933059E-3</v>
      </c>
      <c r="G228" s="2"/>
      <c r="H228" s="6">
        <v>3913.46</v>
      </c>
      <c r="I228" s="2"/>
      <c r="J228" s="7">
        <f t="shared" si="85"/>
        <v>4.0826674167125524E-3</v>
      </c>
      <c r="K228" s="2"/>
      <c r="L228" s="6">
        <f t="shared" si="86"/>
        <v>1058.17</v>
      </c>
      <c r="M228" s="2"/>
      <c r="N228" s="7">
        <f t="shared" si="87"/>
        <v>0.27039244044911664</v>
      </c>
      <c r="O228" s="11"/>
      <c r="P228" s="6">
        <v>16625.96</v>
      </c>
      <c r="Q228" s="2"/>
      <c r="R228" s="7">
        <f t="shared" si="88"/>
        <v>2.8970696975606524E-3</v>
      </c>
      <c r="S228" s="2"/>
      <c r="T228" s="6">
        <v>15768.369999999999</v>
      </c>
      <c r="U228" s="2"/>
      <c r="V228" s="7">
        <f t="shared" si="89"/>
        <v>2.5892076201074988E-3</v>
      </c>
      <c r="W228" s="2"/>
      <c r="X228" s="6">
        <f t="shared" si="90"/>
        <v>857.59000000000015</v>
      </c>
      <c r="Y228" s="2"/>
      <c r="Z228" s="7">
        <f t="shared" si="91"/>
        <v>5.4386724816832696E-2</v>
      </c>
    </row>
    <row r="229" spans="1:26" s="24" customFormat="1" hidden="1" outlineLevel="2" x14ac:dyDescent="0.25">
      <c r="A229" s="26"/>
      <c r="B229" s="11" t="str">
        <f>CONCATENATE("          ", "6286", " - ", "LAUNDRY EXPENSE")</f>
        <v xml:space="preserve">          6286 - LAUNDRY EXPENSE</v>
      </c>
      <c r="C229" s="11"/>
      <c r="D229" s="6">
        <v>792.71</v>
      </c>
      <c r="E229" s="2"/>
      <c r="F229" s="7">
        <f t="shared" si="84"/>
        <v>7.8610721819790145E-4</v>
      </c>
      <c r="G229" s="2"/>
      <c r="H229" s="6">
        <v>879.95</v>
      </c>
      <c r="I229" s="2"/>
      <c r="J229" s="7">
        <f t="shared" si="85"/>
        <v>9.1799665598631651E-4</v>
      </c>
      <c r="K229" s="2"/>
      <c r="L229" s="6">
        <f t="shared" si="86"/>
        <v>-87.240000000000009</v>
      </c>
      <c r="M229" s="2"/>
      <c r="N229" s="7">
        <f t="shared" si="87"/>
        <v>-9.9141996704358207E-2</v>
      </c>
      <c r="O229" s="11"/>
      <c r="P229" s="6">
        <v>2972.74</v>
      </c>
      <c r="Q229" s="2"/>
      <c r="R229" s="7">
        <f t="shared" si="88"/>
        <v>5.1799925975561426E-4</v>
      </c>
      <c r="S229" s="2"/>
      <c r="T229" s="6">
        <v>2817.2</v>
      </c>
      <c r="U229" s="2"/>
      <c r="V229" s="7">
        <f t="shared" si="89"/>
        <v>4.625916126629985E-4</v>
      </c>
      <c r="W229" s="2"/>
      <c r="X229" s="6">
        <f t="shared" si="90"/>
        <v>155.53999999999996</v>
      </c>
      <c r="Y229" s="2"/>
      <c r="Z229" s="7">
        <f t="shared" si="91"/>
        <v>5.5210847650149074E-2</v>
      </c>
    </row>
    <row r="230" spans="1:26" s="27" customFormat="1" outlineLevel="1" collapsed="1" x14ac:dyDescent="0.25">
      <c r="A230" s="25"/>
      <c r="B230" s="13" t="str">
        <f>CONCATENATE("     ","Subscriptions &amp; Dues                              ")</f>
        <v xml:space="preserve">     Subscriptions &amp; Dues                              </v>
      </c>
      <c r="C230" s="13"/>
      <c r="D230" s="1">
        <f>SUM(OSRRefD22_20x_0)</f>
        <v>519.95000000000005</v>
      </c>
      <c r="E230" s="1"/>
      <c r="F230" s="5">
        <f t="shared" ref="F230:F232" si="92">IF(D$12=0,0,D230/D$12)</f>
        <v>5.1561913953652517E-4</v>
      </c>
      <c r="G230" s="1"/>
      <c r="H230" s="1">
        <f>SUM(OSRRefH22_20x_0)</f>
        <v>1311.56</v>
      </c>
      <c r="I230" s="1"/>
      <c r="J230" s="5">
        <f t="shared" ref="J230:J232" si="93">IF(H$12=0,0,H230/H$12)</f>
        <v>1.3682683040234255E-3</v>
      </c>
      <c r="K230" s="1"/>
      <c r="L230" s="1">
        <f t="shared" ref="L230:L232" si="94">+D230-H230</f>
        <v>-791.6099999999999</v>
      </c>
      <c r="M230" s="1"/>
      <c r="N230" s="5">
        <f t="shared" ref="N230:N232" si="95">IF(H230=0,0,L230/H230)</f>
        <v>-0.6035636951416633</v>
      </c>
      <c r="O230" s="13"/>
      <c r="P230" s="1">
        <f>SUM(OSRRefP22_20x_0)</f>
        <v>2748</v>
      </c>
      <c r="Q230" s="1"/>
      <c r="R230" s="5">
        <f t="shared" ref="R230:R232" si="96">IF(P$12=0,0,P230/P$12)</f>
        <v>4.7883836656028721E-4</v>
      </c>
      <c r="S230" s="1"/>
      <c r="T230" s="1">
        <f>SUM(OSRRefT22_20x_0)</f>
        <v>3423.09</v>
      </c>
      <c r="U230" s="1"/>
      <c r="V230" s="5">
        <f t="shared" ref="V230:V232" si="97">IF(T$12=0,0,T230/T$12)</f>
        <v>5.6208033628801063E-4</v>
      </c>
      <c r="W230" s="1"/>
      <c r="X230" s="1">
        <f t="shared" ref="X230:X232" si="98">+P230-T230</f>
        <v>-675.09000000000015</v>
      </c>
      <c r="Y230" s="1"/>
      <c r="Z230" s="5">
        <f t="shared" ref="Z230:Z232" si="99">IF(T230=0,0,X230/T230)</f>
        <v>-0.19721654995924737</v>
      </c>
    </row>
    <row r="231" spans="1:26" s="24" customFormat="1" hidden="1" outlineLevel="2" x14ac:dyDescent="0.25">
      <c r="A231" s="26"/>
      <c r="B231" s="11" t="str">
        <f>CONCATENATE("          ", "6258", " - ", "MEMBERSHIP DUES")</f>
        <v xml:space="preserve">          6258 - MEMBERSHIP DUES</v>
      </c>
      <c r="C231" s="11"/>
      <c r="D231" s="6">
        <v>268.55</v>
      </c>
      <c r="E231" s="2"/>
      <c r="F231" s="7">
        <f t="shared" si="92"/>
        <v>2.663131453457714E-4</v>
      </c>
      <c r="G231" s="2"/>
      <c r="H231" s="6">
        <v>792.02</v>
      </c>
      <c r="I231" s="2"/>
      <c r="J231" s="7">
        <f t="shared" si="93"/>
        <v>8.2626480081173068E-4</v>
      </c>
      <c r="K231" s="2"/>
      <c r="L231" s="6">
        <f t="shared" si="94"/>
        <v>-523.47</v>
      </c>
      <c r="M231" s="2"/>
      <c r="N231" s="7">
        <f t="shared" si="95"/>
        <v>-0.66093027953839556</v>
      </c>
      <c r="O231" s="11"/>
      <c r="P231" s="6">
        <v>1177.4000000000001</v>
      </c>
      <c r="Q231" s="2"/>
      <c r="R231" s="7">
        <f t="shared" si="96"/>
        <v>2.0516167859828321E-4</v>
      </c>
      <c r="S231" s="2"/>
      <c r="T231" s="6">
        <v>1715.92</v>
      </c>
      <c r="U231" s="2"/>
      <c r="V231" s="7">
        <f t="shared" si="97"/>
        <v>2.8175855459345889E-4</v>
      </c>
      <c r="W231" s="2"/>
      <c r="X231" s="6">
        <f t="shared" si="98"/>
        <v>-538.52</v>
      </c>
      <c r="Y231" s="2"/>
      <c r="Z231" s="7">
        <f t="shared" si="99"/>
        <v>-0.31383747494055664</v>
      </c>
    </row>
    <row r="232" spans="1:26" s="24" customFormat="1" hidden="1" outlineLevel="2" x14ac:dyDescent="0.25">
      <c r="A232" s="26"/>
      <c r="B232" s="11" t="str">
        <f>CONCATENATE("          ", "6275", " - ", "SUBSCRIPTIONS")</f>
        <v xml:space="preserve">          6275 - SUBSCRIPTIONS</v>
      </c>
      <c r="C232" s="11"/>
      <c r="D232" s="6">
        <v>251.4</v>
      </c>
      <c r="E232" s="2"/>
      <c r="F232" s="7">
        <f t="shared" si="92"/>
        <v>2.4930599419075377E-4</v>
      </c>
      <c r="G232" s="2"/>
      <c r="H232" s="6">
        <v>519.54</v>
      </c>
      <c r="I232" s="2"/>
      <c r="J232" s="7">
        <f t="shared" si="93"/>
        <v>5.4200350321169486E-4</v>
      </c>
      <c r="K232" s="2"/>
      <c r="L232" s="6">
        <f t="shared" si="94"/>
        <v>-268.14</v>
      </c>
      <c r="M232" s="2"/>
      <c r="N232" s="7">
        <f t="shared" si="95"/>
        <v>-0.51611040535858643</v>
      </c>
      <c r="O232" s="11"/>
      <c r="P232" s="6">
        <v>1570.6</v>
      </c>
      <c r="Q232" s="2"/>
      <c r="R232" s="7">
        <f t="shared" si="96"/>
        <v>2.7367668796200403E-4</v>
      </c>
      <c r="S232" s="2"/>
      <c r="T232" s="6">
        <v>1707.17</v>
      </c>
      <c r="U232" s="2"/>
      <c r="V232" s="7">
        <f t="shared" si="97"/>
        <v>2.8032178169455174E-4</v>
      </c>
      <c r="W232" s="2"/>
      <c r="X232" s="6">
        <f t="shared" si="98"/>
        <v>-136.57000000000016</v>
      </c>
      <c r="Y232" s="2"/>
      <c r="Z232" s="7">
        <f t="shared" si="99"/>
        <v>-7.9997891246917502E-2</v>
      </c>
    </row>
    <row r="233" spans="1:26" s="27" customFormat="1" outlineLevel="1" collapsed="1" x14ac:dyDescent="0.25">
      <c r="A233" s="25"/>
      <c r="B233" s="13" t="str">
        <f>CONCATENATE("     ","Supplies                                          ")</f>
        <v xml:space="preserve">     Supplies                                          </v>
      </c>
      <c r="C233" s="13"/>
      <c r="D233" s="1">
        <f>SUM(OSRRefD22_21x_0)</f>
        <v>13341.48</v>
      </c>
      <c r="E233" s="1"/>
      <c r="F233" s="5">
        <f t="shared" ref="F233:F240" si="100">IF(D$12=0,0,D233/D$12)</f>
        <v>1.3230353760445733E-2</v>
      </c>
      <c r="G233" s="1"/>
      <c r="H233" s="1">
        <f>SUM(OSRRefH22_21x_0)</f>
        <v>32260.07</v>
      </c>
      <c r="I233" s="1"/>
      <c r="J233" s="5">
        <f t="shared" ref="J233:J240" si="101">IF(H$12=0,0,H233/H$12)</f>
        <v>3.3654908099192554E-2</v>
      </c>
      <c r="K233" s="1"/>
      <c r="L233" s="1">
        <f t="shared" ref="L233:L240" si="102">+D233-H233</f>
        <v>-18918.59</v>
      </c>
      <c r="M233" s="1"/>
      <c r="N233" s="5">
        <f t="shared" ref="N233:N240" si="103">IF(H233=0,0,L233/H233)</f>
        <v>-0.58643983103570452</v>
      </c>
      <c r="O233" s="13"/>
      <c r="P233" s="1">
        <f>SUM(OSRRefP22_21x_0)</f>
        <v>70712.25</v>
      </c>
      <c r="Q233" s="1"/>
      <c r="R233" s="5">
        <f t="shared" ref="R233:R240" si="104">IF(P$12=0,0,P233/P$12)</f>
        <v>1.2321593262664727E-2</v>
      </c>
      <c r="S233" s="1"/>
      <c r="T233" s="1">
        <f>SUM(OSRRefT22_21x_0)</f>
        <v>101708.60999999999</v>
      </c>
      <c r="U233" s="1"/>
      <c r="V233" s="5">
        <f t="shared" ref="V233:V240" si="105">IF(T$12=0,0,T233/T$12)</f>
        <v>1.6700819935259112E-2</v>
      </c>
      <c r="W233" s="1"/>
      <c r="X233" s="1">
        <f t="shared" ref="X233:X240" si="106">+P233-T233</f>
        <v>-30996.359999999986</v>
      </c>
      <c r="Y233" s="1"/>
      <c r="Z233" s="5">
        <f t="shared" ref="Z233:Z240" si="107">IF(T233=0,0,X233/T233)</f>
        <v>-0.30475649996593202</v>
      </c>
    </row>
    <row r="234" spans="1:26" s="24" customFormat="1" hidden="1" outlineLevel="2" x14ac:dyDescent="0.25">
      <c r="A234" s="26"/>
      <c r="B234" s="11" t="str">
        <f>CONCATENATE("          ", "6234", " - ", "EXPENDABLE SUPPLIES &amp; EQUIPMEN")</f>
        <v xml:space="preserve">          6234 - EXPENDABLE SUPPLIES &amp; EQUIPMEN</v>
      </c>
      <c r="C234" s="11"/>
      <c r="D234" s="6"/>
      <c r="E234" s="2"/>
      <c r="F234" s="7">
        <f t="shared" si="100"/>
        <v>0</v>
      </c>
      <c r="G234" s="2"/>
      <c r="H234" s="6">
        <v>2237.73</v>
      </c>
      <c r="I234" s="2"/>
      <c r="J234" s="7">
        <f t="shared" si="101"/>
        <v>2.3344833876927781E-3</v>
      </c>
      <c r="K234" s="2"/>
      <c r="L234" s="6">
        <f t="shared" si="102"/>
        <v>-2237.73</v>
      </c>
      <c r="M234" s="2"/>
      <c r="N234" s="7">
        <f t="shared" si="103"/>
        <v>-1</v>
      </c>
      <c r="O234" s="11"/>
      <c r="P234" s="6">
        <v>2780.34</v>
      </c>
      <c r="Q234" s="2"/>
      <c r="R234" s="7">
        <f t="shared" si="104"/>
        <v>4.8447360410561462E-4</v>
      </c>
      <c r="S234" s="2"/>
      <c r="T234" s="6">
        <v>4390.95</v>
      </c>
      <c r="U234" s="2"/>
      <c r="V234" s="7">
        <f t="shared" si="105"/>
        <v>7.2100548119501389E-4</v>
      </c>
      <c r="W234" s="2"/>
      <c r="X234" s="6">
        <f t="shared" si="106"/>
        <v>-1610.6099999999997</v>
      </c>
      <c r="Y234" s="2"/>
      <c r="Z234" s="7">
        <f t="shared" si="107"/>
        <v>-0.36680217265056531</v>
      </c>
    </row>
    <row r="235" spans="1:26" s="24" customFormat="1" hidden="1" outlineLevel="2" x14ac:dyDescent="0.25">
      <c r="A235" s="26"/>
      <c r="B235" s="11" t="str">
        <f>CONCATENATE("          ", "6237", " - ", "JANITORIAL SUPPLIES")</f>
        <v xml:space="preserve">          6237 - JANITORIAL SUPPLIES</v>
      </c>
      <c r="C235" s="11"/>
      <c r="D235" s="6">
        <v>1126.3499999999999</v>
      </c>
      <c r="E235" s="2"/>
      <c r="F235" s="7">
        <f t="shared" si="100"/>
        <v>1.116968204283037E-3</v>
      </c>
      <c r="G235" s="2"/>
      <c r="H235" s="6">
        <v>2314.9899999999998</v>
      </c>
      <c r="I235" s="2"/>
      <c r="J235" s="7">
        <f t="shared" si="101"/>
        <v>2.4150839009509208E-3</v>
      </c>
      <c r="K235" s="2"/>
      <c r="L235" s="6">
        <f t="shared" si="102"/>
        <v>-1188.6399999999999</v>
      </c>
      <c r="M235" s="2"/>
      <c r="N235" s="7">
        <f t="shared" si="103"/>
        <v>-0.51345362182989995</v>
      </c>
      <c r="O235" s="11"/>
      <c r="P235" s="6">
        <v>4175.8599999999997</v>
      </c>
      <c r="Q235" s="2"/>
      <c r="R235" s="7">
        <f t="shared" si="104"/>
        <v>7.2764264242519683E-4</v>
      </c>
      <c r="S235" s="2"/>
      <c r="T235" s="6">
        <v>4885.4799999999996</v>
      </c>
      <c r="U235" s="2"/>
      <c r="V235" s="7">
        <f t="shared" si="105"/>
        <v>8.0220860138890591E-4</v>
      </c>
      <c r="W235" s="2"/>
      <c r="X235" s="6">
        <f t="shared" si="106"/>
        <v>-709.61999999999989</v>
      </c>
      <c r="Y235" s="2"/>
      <c r="Z235" s="7">
        <f t="shared" si="107"/>
        <v>-0.14525082489335744</v>
      </c>
    </row>
    <row r="236" spans="1:26" s="24" customFormat="1" hidden="1" outlineLevel="2" x14ac:dyDescent="0.25">
      <c r="A236" s="26"/>
      <c r="B236" s="11" t="str">
        <f>CONCATENATE("          ", "6241", " - ", "OFFICE EXPENSE")</f>
        <v xml:space="preserve">          6241 - OFFICE EXPENSE</v>
      </c>
      <c r="C236" s="11"/>
      <c r="D236" s="6">
        <v>3030.18</v>
      </c>
      <c r="E236" s="2"/>
      <c r="F236" s="7">
        <f t="shared" si="100"/>
        <v>3.0049404832018225E-3</v>
      </c>
      <c r="G236" s="2"/>
      <c r="H236" s="6">
        <v>2827.58</v>
      </c>
      <c r="I236" s="2"/>
      <c r="J236" s="7">
        <f t="shared" si="101"/>
        <v>2.949836904976179E-3</v>
      </c>
      <c r="K236" s="2"/>
      <c r="L236" s="6">
        <f t="shared" si="102"/>
        <v>202.59999999999991</v>
      </c>
      <c r="M236" s="2"/>
      <c r="N236" s="7">
        <f t="shared" si="103"/>
        <v>7.165137679570513E-2</v>
      </c>
      <c r="O236" s="11"/>
      <c r="P236" s="6">
        <v>13760.82</v>
      </c>
      <c r="Q236" s="2"/>
      <c r="R236" s="7">
        <f t="shared" si="104"/>
        <v>2.3978197130022313E-3</v>
      </c>
      <c r="S236" s="2"/>
      <c r="T236" s="6">
        <v>13041.05</v>
      </c>
      <c r="U236" s="2"/>
      <c r="V236" s="7">
        <f t="shared" si="105"/>
        <v>2.1413745386620747E-3</v>
      </c>
      <c r="W236" s="2"/>
      <c r="X236" s="6">
        <f t="shared" si="106"/>
        <v>719.77000000000044</v>
      </c>
      <c r="Y236" s="2"/>
      <c r="Z236" s="7">
        <f t="shared" si="107"/>
        <v>5.519264169679592E-2</v>
      </c>
    </row>
    <row r="237" spans="1:26" s="24" customFormat="1" hidden="1" outlineLevel="2" x14ac:dyDescent="0.25">
      <c r="A237" s="26"/>
      <c r="B237" s="11" t="str">
        <f>CONCATENATE("          ", "6243", " - ", "PAPER SUPPLIES")</f>
        <v xml:space="preserve">          6243 - PAPER SUPPLIES</v>
      </c>
      <c r="C237" s="11"/>
      <c r="D237" s="6">
        <v>3827.95</v>
      </c>
      <c r="E237" s="2"/>
      <c r="F237" s="7">
        <f t="shared" si="100"/>
        <v>3.79606555474342E-3</v>
      </c>
      <c r="G237" s="2"/>
      <c r="H237" s="6">
        <v>9542.33</v>
      </c>
      <c r="I237" s="2"/>
      <c r="J237" s="7">
        <f t="shared" si="101"/>
        <v>9.9549145182316126E-3</v>
      </c>
      <c r="K237" s="2"/>
      <c r="L237" s="6">
        <f t="shared" si="102"/>
        <v>-5714.38</v>
      </c>
      <c r="M237" s="2"/>
      <c r="N237" s="7">
        <f t="shared" si="103"/>
        <v>-0.59884535537966099</v>
      </c>
      <c r="O237" s="11"/>
      <c r="P237" s="6">
        <v>7603.96</v>
      </c>
      <c r="Q237" s="2"/>
      <c r="R237" s="7">
        <f t="shared" si="104"/>
        <v>1.3249882772160704E-3</v>
      </c>
      <c r="S237" s="2"/>
      <c r="T237" s="6">
        <v>21031.78</v>
      </c>
      <c r="U237" s="2"/>
      <c r="V237" s="7">
        <f t="shared" si="105"/>
        <v>3.4534733165460024E-3</v>
      </c>
      <c r="W237" s="2"/>
      <c r="X237" s="6">
        <f t="shared" si="106"/>
        <v>-13427.82</v>
      </c>
      <c r="Y237" s="2"/>
      <c r="Z237" s="7">
        <f t="shared" si="107"/>
        <v>-0.63845380657272</v>
      </c>
    </row>
    <row r="238" spans="1:26" s="24" customFormat="1" hidden="1" outlineLevel="2" x14ac:dyDescent="0.25">
      <c r="A238" s="26"/>
      <c r="B238" s="11" t="str">
        <f>CONCATENATE("          ", "6245", " - ", "PRINTING")</f>
        <v xml:space="preserve">          6245 - PRINTING</v>
      </c>
      <c r="C238" s="11"/>
      <c r="D238" s="6">
        <v>16</v>
      </c>
      <c r="E238" s="2"/>
      <c r="F238" s="7">
        <f t="shared" si="100"/>
        <v>1.5866729940541208E-5</v>
      </c>
      <c r="G238" s="2"/>
      <c r="H238" s="6">
        <v>762</v>
      </c>
      <c r="I238" s="2"/>
      <c r="J238" s="7">
        <f t="shared" si="101"/>
        <v>7.9494681727549656E-4</v>
      </c>
      <c r="K238" s="2"/>
      <c r="L238" s="6">
        <f t="shared" si="102"/>
        <v>-746</v>
      </c>
      <c r="M238" s="2"/>
      <c r="N238" s="7">
        <f t="shared" si="103"/>
        <v>-0.97900262467191601</v>
      </c>
      <c r="O238" s="11"/>
      <c r="P238" s="6">
        <v>5291.55</v>
      </c>
      <c r="Q238" s="2"/>
      <c r="R238" s="7">
        <f t="shared" si="104"/>
        <v>9.2205136774821254E-4</v>
      </c>
      <c r="S238" s="2"/>
      <c r="T238" s="6">
        <v>6492.21</v>
      </c>
      <c r="U238" s="2"/>
      <c r="V238" s="7">
        <f t="shared" si="105"/>
        <v>1.0660378722301739E-3</v>
      </c>
      <c r="W238" s="2"/>
      <c r="X238" s="6">
        <f t="shared" si="106"/>
        <v>-1200.6599999999999</v>
      </c>
      <c r="Y238" s="2"/>
      <c r="Z238" s="7">
        <f t="shared" si="107"/>
        <v>-0.18493856483385471</v>
      </c>
    </row>
    <row r="239" spans="1:26" s="24" customFormat="1" hidden="1" outlineLevel="2" x14ac:dyDescent="0.25">
      <c r="A239" s="26"/>
      <c r="B239" s="11" t="str">
        <f>CONCATENATE("          ", "6247", " - ", "STORE SUPPLIES")</f>
        <v xml:space="preserve">          6247 - STORE SUPPLIES</v>
      </c>
      <c r="C239" s="11"/>
      <c r="D239" s="6">
        <v>5341</v>
      </c>
      <c r="E239" s="2"/>
      <c r="F239" s="7">
        <f t="shared" si="100"/>
        <v>5.2965127882769122E-3</v>
      </c>
      <c r="G239" s="2"/>
      <c r="H239" s="6">
        <v>14575.44</v>
      </c>
      <c r="I239" s="2"/>
      <c r="J239" s="7">
        <f t="shared" si="101"/>
        <v>1.520564257006557E-2</v>
      </c>
      <c r="K239" s="2"/>
      <c r="L239" s="6">
        <f t="shared" si="102"/>
        <v>-9234.44</v>
      </c>
      <c r="M239" s="2"/>
      <c r="N239" s="7">
        <f t="shared" si="103"/>
        <v>-0.63356166263248315</v>
      </c>
      <c r="O239" s="11"/>
      <c r="P239" s="6">
        <v>37099.72</v>
      </c>
      <c r="Q239" s="2"/>
      <c r="R239" s="7">
        <f t="shared" si="104"/>
        <v>6.4646176581674014E-3</v>
      </c>
      <c r="S239" s="2"/>
      <c r="T239" s="6">
        <v>50715.96</v>
      </c>
      <c r="U239" s="2"/>
      <c r="V239" s="7">
        <f t="shared" si="105"/>
        <v>8.3276933565782068E-3</v>
      </c>
      <c r="W239" s="2"/>
      <c r="X239" s="6">
        <f t="shared" si="106"/>
        <v>-13616.239999999998</v>
      </c>
      <c r="Y239" s="2"/>
      <c r="Z239" s="7">
        <f t="shared" si="107"/>
        <v>-0.26848037580280443</v>
      </c>
    </row>
    <row r="240" spans="1:26" s="24" customFormat="1" hidden="1" outlineLevel="2" x14ac:dyDescent="0.25">
      <c r="A240" s="26"/>
      <c r="B240" s="11" t="str">
        <f>CONCATENATE("          ", "6248", " - ", "UNIFORMS")</f>
        <v xml:space="preserve">          6248 - UNIFORMS</v>
      </c>
      <c r="C240" s="11"/>
      <c r="D240" s="6"/>
      <c r="E240" s="2"/>
      <c r="F240" s="7">
        <f t="shared" si="100"/>
        <v>0</v>
      </c>
      <c r="G240" s="2"/>
      <c r="H240" s="6"/>
      <c r="I240" s="2"/>
      <c r="J240" s="7">
        <f t="shared" si="101"/>
        <v>0</v>
      </c>
      <c r="K240" s="2"/>
      <c r="L240" s="6">
        <f t="shared" si="102"/>
        <v>0</v>
      </c>
      <c r="M240" s="2"/>
      <c r="N240" s="7">
        <f t="shared" si="103"/>
        <v>0</v>
      </c>
      <c r="O240" s="11"/>
      <c r="P240" s="6"/>
      <c r="Q240" s="2"/>
      <c r="R240" s="7">
        <f t="shared" si="104"/>
        <v>0</v>
      </c>
      <c r="S240" s="2"/>
      <c r="T240" s="6">
        <v>1151.18</v>
      </c>
      <c r="U240" s="2"/>
      <c r="V240" s="7">
        <f t="shared" si="105"/>
        <v>1.8902676865873585E-4</v>
      </c>
      <c r="W240" s="2"/>
      <c r="X240" s="6">
        <f t="shared" si="106"/>
        <v>-1151.18</v>
      </c>
      <c r="Y240" s="2"/>
      <c r="Z240" s="7">
        <f t="shared" si="107"/>
        <v>-1</v>
      </c>
    </row>
    <row r="241" spans="1:26" s="27" customFormat="1" outlineLevel="1" collapsed="1" x14ac:dyDescent="0.25">
      <c r="A241" s="25"/>
      <c r="B241" s="13" t="str">
        <f>CONCATENATE("     ","Telephone/Data Lines                              ")</f>
        <v xml:space="preserve">     Telephone/Data Lines                              </v>
      </c>
      <c r="C241" s="13"/>
      <c r="D241" s="1">
        <f>SUM(OSRRefD22_22x_0)</f>
        <v>1012.78</v>
      </c>
      <c r="E241" s="1"/>
      <c r="F241" s="5">
        <f t="shared" ref="F241:F243" si="108">IF(D$12=0,0,D241/D$12)</f>
        <v>1.0043441718238328E-3</v>
      </c>
      <c r="G241" s="1"/>
      <c r="H241" s="1">
        <f>SUM(OSRRefH22_22x_0)</f>
        <v>1794.97</v>
      </c>
      <c r="I241" s="1"/>
      <c r="J241" s="5">
        <f t="shared" ref="J241:J243" si="109">IF(H$12=0,0,H241/H$12)</f>
        <v>1.8725796438385802E-3</v>
      </c>
      <c r="K241" s="1"/>
      <c r="L241" s="1">
        <f t="shared" ref="L241:L243" si="110">+D241-H241</f>
        <v>-782.19</v>
      </c>
      <c r="M241" s="1"/>
      <c r="N241" s="5">
        <f t="shared" ref="N241:N243" si="111">IF(H241=0,0,L241/H241)</f>
        <v>-0.43576772870855784</v>
      </c>
      <c r="O241" s="13"/>
      <c r="P241" s="1">
        <f>SUM(OSRRefP22_22x_0)</f>
        <v>12438.76</v>
      </c>
      <c r="Q241" s="1"/>
      <c r="R241" s="5">
        <f t="shared" ref="R241:R243" si="112">IF(P$12=0,0,P241/P$12)</f>
        <v>2.1674510627494319E-3</v>
      </c>
      <c r="S241" s="1"/>
      <c r="T241" s="1">
        <f>SUM(OSRRefT22_22x_0)</f>
        <v>12291.6</v>
      </c>
      <c r="U241" s="1"/>
      <c r="V241" s="5">
        <f t="shared" ref="V241:V243" si="113">IF(T$12=0,0,T241/T$12)</f>
        <v>2.0183128873379644E-3</v>
      </c>
      <c r="W241" s="1"/>
      <c r="X241" s="1">
        <f t="shared" ref="X241:X243" si="114">+P241-T241</f>
        <v>147.15999999999985</v>
      </c>
      <c r="Y241" s="1"/>
      <c r="Z241" s="5">
        <f t="shared" ref="Z241:Z243" si="115">IF(T241=0,0,X241/T241)</f>
        <v>1.1972403918122933E-2</v>
      </c>
    </row>
    <row r="242" spans="1:26" s="24" customFormat="1" hidden="1" outlineLevel="2" x14ac:dyDescent="0.25">
      <c r="A242" s="26"/>
      <c r="B242" s="11" t="str">
        <f>CONCATENATE("          ", "6303", " - ", "DATA PHONE LINES")</f>
        <v xml:space="preserve">          6303 - DATA PHONE LINES</v>
      </c>
      <c r="C242" s="11"/>
      <c r="D242" s="6">
        <v>295</v>
      </c>
      <c r="E242" s="2"/>
      <c r="F242" s="7">
        <f t="shared" si="108"/>
        <v>2.9254283327872853E-4</v>
      </c>
      <c r="G242" s="2"/>
      <c r="H242" s="6"/>
      <c r="I242" s="2"/>
      <c r="J242" s="7">
        <f t="shared" si="109"/>
        <v>0</v>
      </c>
      <c r="K242" s="2"/>
      <c r="L242" s="6">
        <f t="shared" si="110"/>
        <v>295</v>
      </c>
      <c r="M242" s="2"/>
      <c r="N242" s="7">
        <f t="shared" si="111"/>
        <v>0</v>
      </c>
      <c r="O242" s="11"/>
      <c r="P242" s="6">
        <v>1180</v>
      </c>
      <c r="Q242" s="2"/>
      <c r="R242" s="7">
        <f t="shared" si="112"/>
        <v>2.0561472799895885E-4</v>
      </c>
      <c r="S242" s="2"/>
      <c r="T242" s="6">
        <v>590</v>
      </c>
      <c r="U242" s="2"/>
      <c r="V242" s="7">
        <f t="shared" si="113"/>
        <v>9.6879544040596731E-5</v>
      </c>
      <c r="W242" s="2"/>
      <c r="X242" s="6">
        <f t="shared" si="114"/>
        <v>590</v>
      </c>
      <c r="Y242" s="2"/>
      <c r="Z242" s="7">
        <f t="shared" si="115"/>
        <v>1</v>
      </c>
    </row>
    <row r="243" spans="1:26" s="24" customFormat="1" hidden="1" outlineLevel="2" x14ac:dyDescent="0.25">
      <c r="A243" s="26"/>
      <c r="B243" s="11" t="str">
        <f>CONCATENATE("          ", "6309", " - ", "TELEPHONE")</f>
        <v xml:space="preserve">          6309 - TELEPHONE</v>
      </c>
      <c r="C243" s="11"/>
      <c r="D243" s="6">
        <v>717.78</v>
      </c>
      <c r="E243" s="2"/>
      <c r="F243" s="7">
        <f t="shared" si="108"/>
        <v>7.1180133854510436E-4</v>
      </c>
      <c r="G243" s="2"/>
      <c r="H243" s="6">
        <v>1794.97</v>
      </c>
      <c r="I243" s="2"/>
      <c r="J243" s="7">
        <f t="shared" si="109"/>
        <v>1.8725796438385802E-3</v>
      </c>
      <c r="K243" s="2"/>
      <c r="L243" s="6">
        <f t="shared" si="110"/>
        <v>-1077.19</v>
      </c>
      <c r="M243" s="2"/>
      <c r="N243" s="7">
        <f t="shared" si="111"/>
        <v>-0.60011587937402855</v>
      </c>
      <c r="O243" s="11"/>
      <c r="P243" s="6">
        <v>11258.76</v>
      </c>
      <c r="Q243" s="2"/>
      <c r="R243" s="7">
        <f t="shared" si="112"/>
        <v>1.9618363347504728E-3</v>
      </c>
      <c r="S243" s="2"/>
      <c r="T243" s="6">
        <v>11701.6</v>
      </c>
      <c r="U243" s="2"/>
      <c r="V243" s="7">
        <f t="shared" si="113"/>
        <v>1.9214333432973675E-3</v>
      </c>
      <c r="W243" s="2"/>
      <c r="X243" s="6">
        <f t="shared" si="114"/>
        <v>-442.84000000000015</v>
      </c>
      <c r="Y243" s="2"/>
      <c r="Z243" s="7">
        <f t="shared" si="115"/>
        <v>-3.7844397347371314E-2</v>
      </c>
    </row>
    <row r="244" spans="1:26" s="27" customFormat="1" outlineLevel="1" collapsed="1" x14ac:dyDescent="0.25">
      <c r="A244" s="25"/>
      <c r="B244" s="13" t="str">
        <f>CONCATENATE("     ","Training                                          ")</f>
        <v xml:space="preserve">     Training                                          </v>
      </c>
      <c r="C244" s="13"/>
      <c r="D244" s="1">
        <f>SUM(OSRRefD22_23x_0)</f>
        <v>3000.52</v>
      </c>
      <c r="E244" s="1"/>
      <c r="F244" s="5">
        <f t="shared" ref="F244:F249" si="116">IF(D$12=0,0,D244/D$12)</f>
        <v>2.9755275325745443E-3</v>
      </c>
      <c r="G244" s="1"/>
      <c r="H244" s="1">
        <f>SUM(OSRRefH22_23x_0)</f>
        <v>2406.16</v>
      </c>
      <c r="I244" s="1"/>
      <c r="J244" s="5">
        <f t="shared" ref="J244:J249" si="117">IF(H$12=0,0,H244/H$12)</f>
        <v>2.5101958449548671E-3</v>
      </c>
      <c r="K244" s="1"/>
      <c r="L244" s="1">
        <f t="shared" ref="L244:L249" si="118">+D244-H244</f>
        <v>594.36000000000013</v>
      </c>
      <c r="M244" s="1"/>
      <c r="N244" s="5">
        <f t="shared" ref="N244:N249" si="119">IF(H244=0,0,L244/H244)</f>
        <v>0.24701599228646481</v>
      </c>
      <c r="O244" s="13"/>
      <c r="P244" s="1">
        <f>SUM(OSRRefP22_23x_0)</f>
        <v>5516.76</v>
      </c>
      <c r="Q244" s="1"/>
      <c r="R244" s="5">
        <f t="shared" ref="R244:R249" si="120">IF(P$12=0,0,P244/P$12)</f>
        <v>9.6129415833520022E-4</v>
      </c>
      <c r="S244" s="1"/>
      <c r="T244" s="1">
        <f>SUM(OSRRefT22_23x_0)</f>
        <v>2329.7199999999998</v>
      </c>
      <c r="U244" s="1"/>
      <c r="V244" s="5">
        <f t="shared" ref="V244:V249" si="121">IF(T$12=0,0,T244/T$12)</f>
        <v>3.8254612091908306E-4</v>
      </c>
      <c r="W244" s="1"/>
      <c r="X244" s="1">
        <f t="shared" ref="X244:X249" si="122">+P244-T244</f>
        <v>3187.0400000000004</v>
      </c>
      <c r="Y244" s="1"/>
      <c r="Z244" s="5">
        <f t="shared" ref="Z244:Z249" si="123">IF(T244=0,0,X244/T244)</f>
        <v>1.367992720155212</v>
      </c>
    </row>
    <row r="245" spans="1:26" s="24" customFormat="1" hidden="1" outlineLevel="2" x14ac:dyDescent="0.25">
      <c r="A245" s="26"/>
      <c r="B245" s="11" t="str">
        <f>CONCATENATE("          ", "6376", " - ", "TRAINING")</f>
        <v xml:space="preserve">          6376 - TRAINING</v>
      </c>
      <c r="C245" s="11"/>
      <c r="D245" s="6">
        <v>3000.52</v>
      </c>
      <c r="E245" s="2"/>
      <c r="F245" s="7">
        <f t="shared" si="116"/>
        <v>2.9755275325745443E-3</v>
      </c>
      <c r="G245" s="2"/>
      <c r="H245" s="6">
        <v>2406.16</v>
      </c>
      <c r="I245" s="2"/>
      <c r="J245" s="7">
        <f t="shared" si="117"/>
        <v>2.5101958449548671E-3</v>
      </c>
      <c r="K245" s="2"/>
      <c r="L245" s="6">
        <f t="shared" si="118"/>
        <v>594.36000000000013</v>
      </c>
      <c r="M245" s="2"/>
      <c r="N245" s="7">
        <f t="shared" si="119"/>
        <v>0.24701599228646481</v>
      </c>
      <c r="O245" s="11"/>
      <c r="P245" s="6">
        <v>5516.76</v>
      </c>
      <c r="Q245" s="2"/>
      <c r="R245" s="7">
        <f t="shared" si="120"/>
        <v>9.6129415833520022E-4</v>
      </c>
      <c r="S245" s="2"/>
      <c r="T245" s="6">
        <v>2329.7199999999998</v>
      </c>
      <c r="U245" s="2"/>
      <c r="V245" s="7">
        <f t="shared" si="121"/>
        <v>3.8254612091908306E-4</v>
      </c>
      <c r="W245" s="2"/>
      <c r="X245" s="6">
        <f t="shared" si="122"/>
        <v>3187.0400000000004</v>
      </c>
      <c r="Y245" s="2"/>
      <c r="Z245" s="7">
        <f t="shared" si="123"/>
        <v>1.367992720155212</v>
      </c>
    </row>
    <row r="246" spans="1:26" s="27" customFormat="1" outlineLevel="1" collapsed="1" x14ac:dyDescent="0.25">
      <c r="A246" s="25"/>
      <c r="B246" s="13" t="str">
        <f>CONCATENATE("     ","Travel                                            ")</f>
        <v xml:space="preserve">     Travel                                            </v>
      </c>
      <c r="C246" s="13"/>
      <c r="D246" s="1">
        <f>SUM(OSRRefD22_24x_0)</f>
        <v>633.25</v>
      </c>
      <c r="E246" s="1"/>
      <c r="F246" s="5">
        <f t="shared" si="116"/>
        <v>6.2797542092798259E-4</v>
      </c>
      <c r="G246" s="1"/>
      <c r="H246" s="1">
        <f>SUM(OSRRefH22_24x_0)</f>
        <v>173.63</v>
      </c>
      <c r="I246" s="1"/>
      <c r="J246" s="5">
        <f t="shared" si="117"/>
        <v>1.8113729118575389E-4</v>
      </c>
      <c r="K246" s="1"/>
      <c r="L246" s="1">
        <f t="shared" si="118"/>
        <v>459.62</v>
      </c>
      <c r="M246" s="1"/>
      <c r="N246" s="5">
        <f t="shared" si="119"/>
        <v>2.6471231929966019</v>
      </c>
      <c r="O246" s="13"/>
      <c r="P246" s="1">
        <f>SUM(OSRRefP22_24x_0)</f>
        <v>1247.1099999999999</v>
      </c>
      <c r="Q246" s="1"/>
      <c r="R246" s="5">
        <f t="shared" si="120"/>
        <v>2.173086300294759E-4</v>
      </c>
      <c r="S246" s="1"/>
      <c r="T246" s="1">
        <f>SUM(OSRRefT22_24x_0)</f>
        <v>971.27</v>
      </c>
      <c r="U246" s="1"/>
      <c r="V246" s="5">
        <f t="shared" si="121"/>
        <v>1.5948507583103455E-4</v>
      </c>
      <c r="W246" s="1"/>
      <c r="X246" s="1">
        <f t="shared" si="122"/>
        <v>275.83999999999992</v>
      </c>
      <c r="Y246" s="1"/>
      <c r="Z246" s="5">
        <f t="shared" si="123"/>
        <v>0.28399929988571654</v>
      </c>
    </row>
    <row r="247" spans="1:26" s="24" customFormat="1" hidden="1" outlineLevel="2" x14ac:dyDescent="0.25">
      <c r="A247" s="26"/>
      <c r="B247" s="11" t="str">
        <f>CONCATENATE("          ", "6292", " - ", "TRAVEL/CONFERENCE")</f>
        <v xml:space="preserve">          6292 - TRAVEL/CONFERENCE</v>
      </c>
      <c r="C247" s="11"/>
      <c r="D247" s="6">
        <v>298.88</v>
      </c>
      <c r="E247" s="2"/>
      <c r="F247" s="7">
        <f t="shared" si="116"/>
        <v>2.9639051528930981E-4</v>
      </c>
      <c r="G247" s="2"/>
      <c r="H247" s="6">
        <v>49.56</v>
      </c>
      <c r="I247" s="2"/>
      <c r="J247" s="7">
        <f t="shared" si="117"/>
        <v>5.1702840241697652E-5</v>
      </c>
      <c r="K247" s="2"/>
      <c r="L247" s="6">
        <f t="shared" si="118"/>
        <v>249.32</v>
      </c>
      <c r="M247" s="2"/>
      <c r="N247" s="7">
        <f t="shared" si="119"/>
        <v>5.0306698950766746</v>
      </c>
      <c r="O247" s="11"/>
      <c r="P247" s="6">
        <v>640.65</v>
      </c>
      <c r="Q247" s="2"/>
      <c r="R247" s="7">
        <f t="shared" si="120"/>
        <v>1.116331148241805E-4</v>
      </c>
      <c r="S247" s="2"/>
      <c r="T247" s="6">
        <v>518.42999999999995</v>
      </c>
      <c r="U247" s="2"/>
      <c r="V247" s="7">
        <f t="shared" si="121"/>
        <v>8.5127562740621286E-5</v>
      </c>
      <c r="W247" s="2"/>
      <c r="X247" s="6">
        <f t="shared" si="122"/>
        <v>122.22000000000003</v>
      </c>
      <c r="Y247" s="2"/>
      <c r="Z247" s="7">
        <f t="shared" si="123"/>
        <v>0.23575024593484181</v>
      </c>
    </row>
    <row r="248" spans="1:26" s="24" customFormat="1" hidden="1" outlineLevel="2" x14ac:dyDescent="0.25">
      <c r="A248" s="26"/>
      <c r="B248" s="11" t="str">
        <f>CONCATENATE("          ", "6294", " - ", "TRAVEL OPERATIONAL")</f>
        <v xml:space="preserve">          6294 - TRAVEL OPERATIONAL</v>
      </c>
      <c r="C248" s="11"/>
      <c r="D248" s="6">
        <v>334.37</v>
      </c>
      <c r="E248" s="2"/>
      <c r="F248" s="7">
        <f t="shared" si="116"/>
        <v>3.3158490563867278E-4</v>
      </c>
      <c r="G248" s="2"/>
      <c r="H248" s="6">
        <v>81.83</v>
      </c>
      <c r="I248" s="2"/>
      <c r="J248" s="7">
        <f t="shared" si="117"/>
        <v>8.5368107687209817E-5</v>
      </c>
      <c r="K248" s="2"/>
      <c r="L248" s="6">
        <f t="shared" si="118"/>
        <v>252.54000000000002</v>
      </c>
      <c r="M248" s="2"/>
      <c r="N248" s="7">
        <f t="shared" si="119"/>
        <v>3.0861542221679095</v>
      </c>
      <c r="O248" s="11"/>
      <c r="P248" s="6">
        <v>436.47</v>
      </c>
      <c r="Q248" s="2"/>
      <c r="R248" s="7">
        <f t="shared" si="120"/>
        <v>7.6054796889580989E-5</v>
      </c>
      <c r="S248" s="2"/>
      <c r="T248" s="6">
        <v>337.6</v>
      </c>
      <c r="U248" s="2"/>
      <c r="V248" s="7">
        <f t="shared" si="121"/>
        <v>5.5434803505263489E-5</v>
      </c>
      <c r="W248" s="2"/>
      <c r="X248" s="6">
        <f t="shared" si="122"/>
        <v>98.87</v>
      </c>
      <c r="Y248" s="2"/>
      <c r="Z248" s="7">
        <f t="shared" si="123"/>
        <v>0.29286137440758292</v>
      </c>
    </row>
    <row r="249" spans="1:26" s="24" customFormat="1" hidden="1" outlineLevel="2" x14ac:dyDescent="0.25">
      <c r="A249" s="26"/>
      <c r="B249" s="11" t="str">
        <f>CONCATENATE("          ", "6298", " - ", "VEHICLE MILEAGE")</f>
        <v xml:space="preserve">          6298 - VEHICLE MILEAGE</v>
      </c>
      <c r="C249" s="11"/>
      <c r="D249" s="6"/>
      <c r="E249" s="2"/>
      <c r="F249" s="7">
        <f t="shared" si="116"/>
        <v>0</v>
      </c>
      <c r="G249" s="2"/>
      <c r="H249" s="6">
        <v>42.24</v>
      </c>
      <c r="I249" s="2"/>
      <c r="J249" s="7">
        <f t="shared" si="117"/>
        <v>4.4066343256846424E-5</v>
      </c>
      <c r="K249" s="2"/>
      <c r="L249" s="6">
        <f t="shared" si="118"/>
        <v>-42.24</v>
      </c>
      <c r="M249" s="2"/>
      <c r="N249" s="7">
        <f t="shared" si="119"/>
        <v>-1</v>
      </c>
      <c r="O249" s="11"/>
      <c r="P249" s="6">
        <v>169.99</v>
      </c>
      <c r="Q249" s="2"/>
      <c r="R249" s="7">
        <f t="shared" si="120"/>
        <v>2.9620718315714419E-5</v>
      </c>
      <c r="S249" s="2"/>
      <c r="T249" s="6">
        <v>115.24</v>
      </c>
      <c r="U249" s="2"/>
      <c r="V249" s="7">
        <f t="shared" si="121"/>
        <v>1.8922709585149776E-5</v>
      </c>
      <c r="W249" s="2"/>
      <c r="X249" s="6">
        <f t="shared" si="122"/>
        <v>54.750000000000014</v>
      </c>
      <c r="Y249" s="2"/>
      <c r="Z249" s="7">
        <f t="shared" si="123"/>
        <v>0.47509545296771971</v>
      </c>
    </row>
    <row r="250" spans="1:26" s="27" customFormat="1" outlineLevel="1" collapsed="1" x14ac:dyDescent="0.25">
      <c r="A250" s="25"/>
      <c r="B250" s="13" t="str">
        <f>CONCATENATE("     ","Utilities                                         ")</f>
        <v xml:space="preserve">     Utilities                                         </v>
      </c>
      <c r="C250" s="13"/>
      <c r="D250" s="1">
        <f>SUM(OSRRefD22_25x_0)</f>
        <v>6641.86</v>
      </c>
      <c r="E250" s="1"/>
      <c r="F250" s="5">
        <f t="shared" ref="F250:F251" si="124">IF(D$12=0,0,D250/D$12)</f>
        <v>6.5865374326801894E-3</v>
      </c>
      <c r="G250" s="1"/>
      <c r="H250" s="1">
        <f>SUM(OSRRefH22_25x_0)</f>
        <v>-2190.92</v>
      </c>
      <c r="I250" s="1"/>
      <c r="J250" s="5">
        <f t="shared" ref="J250:J251" si="125">IF(H$12=0,0,H250/H$12)</f>
        <v>-2.2856494500068649E-3</v>
      </c>
      <c r="K250" s="1"/>
      <c r="L250" s="1">
        <f t="shared" ref="L250:L251" si="126">+D250-H250</f>
        <v>8832.7799999999988</v>
      </c>
      <c r="M250" s="1"/>
      <c r="N250" s="5">
        <f t="shared" ref="N250:N251" si="127">IF(H250=0,0,L250/H250)</f>
        <v>-4.0315392620451673</v>
      </c>
      <c r="O250" s="13"/>
      <c r="P250" s="1">
        <f>SUM(OSRRefP22_25x_0)</f>
        <v>19034.78</v>
      </c>
      <c r="Q250" s="1"/>
      <c r="R250" s="5">
        <f t="shared" ref="R250:R251" si="128">IF(P$12=0,0,P250/P$12)</f>
        <v>3.3168060273051033E-3</v>
      </c>
      <c r="S250" s="1"/>
      <c r="T250" s="1">
        <f>SUM(OSRRefT22_25x_0)</f>
        <v>17548.849999999999</v>
      </c>
      <c r="U250" s="1"/>
      <c r="V250" s="5">
        <f t="shared" ref="V250:V251" si="129">IF(T$12=0,0,T250/T$12)</f>
        <v>2.8815670956556373E-3</v>
      </c>
      <c r="W250" s="1"/>
      <c r="X250" s="1">
        <f t="shared" ref="X250:X251" si="130">+P250-T250</f>
        <v>1485.9300000000003</v>
      </c>
      <c r="Y250" s="1"/>
      <c r="Z250" s="5">
        <f t="shared" ref="Z250:Z251" si="131">IF(T250=0,0,X250/T250)</f>
        <v>8.4673924502175382E-2</v>
      </c>
    </row>
    <row r="251" spans="1:26" s="24" customFormat="1" hidden="1" outlineLevel="2" x14ac:dyDescent="0.25">
      <c r="A251" s="26"/>
      <c r="B251" s="11" t="str">
        <f>CONCATENATE("          ", "6274", " - ", "UTILITIES")</f>
        <v xml:space="preserve">          6274 - UTILITIES</v>
      </c>
      <c r="C251" s="11"/>
      <c r="D251" s="6">
        <v>6641.86</v>
      </c>
      <c r="E251" s="2"/>
      <c r="F251" s="7">
        <f t="shared" si="124"/>
        <v>6.5865374326801894E-3</v>
      </c>
      <c r="G251" s="2"/>
      <c r="H251" s="6">
        <v>-2190.92</v>
      </c>
      <c r="I251" s="2"/>
      <c r="J251" s="7">
        <f t="shared" si="125"/>
        <v>-2.2856494500068649E-3</v>
      </c>
      <c r="K251" s="2"/>
      <c r="L251" s="6">
        <f t="shared" si="126"/>
        <v>8832.7799999999988</v>
      </c>
      <c r="M251" s="2"/>
      <c r="N251" s="7">
        <f t="shared" si="127"/>
        <v>-4.0315392620451673</v>
      </c>
      <c r="O251" s="11"/>
      <c r="P251" s="6">
        <v>19034.78</v>
      </c>
      <c r="Q251" s="2"/>
      <c r="R251" s="7">
        <f t="shared" si="128"/>
        <v>3.3168060273051033E-3</v>
      </c>
      <c r="S251" s="2"/>
      <c r="T251" s="6">
        <v>17548.849999999999</v>
      </c>
      <c r="U251" s="2"/>
      <c r="V251" s="7">
        <f t="shared" si="129"/>
        <v>2.8815670956556373E-3</v>
      </c>
      <c r="W251" s="2"/>
      <c r="X251" s="6">
        <f t="shared" si="130"/>
        <v>1485.9300000000003</v>
      </c>
      <c r="Y251" s="2"/>
      <c r="Z251" s="7">
        <f t="shared" si="131"/>
        <v>8.4673924502175382E-2</v>
      </c>
    </row>
    <row r="252" spans="1:26" s="55" customFormat="1" x14ac:dyDescent="0.25">
      <c r="A252" s="37"/>
      <c r="B252" s="37"/>
      <c r="C252" s="37"/>
      <c r="D252" s="1"/>
      <c r="E252" s="1"/>
      <c r="F252" s="5"/>
      <c r="G252" s="1"/>
      <c r="H252" s="1"/>
      <c r="I252" s="1"/>
      <c r="J252" s="5"/>
      <c r="K252" s="1"/>
      <c r="L252" s="1"/>
      <c r="M252" s="1"/>
      <c r="N252" s="5"/>
      <c r="O252" s="37"/>
      <c r="P252" s="1"/>
      <c r="Q252" s="1"/>
      <c r="R252" s="5"/>
      <c r="S252" s="1"/>
      <c r="T252" s="1"/>
      <c r="U252" s="1"/>
      <c r="V252" s="5"/>
      <c r="W252" s="1"/>
      <c r="X252" s="1"/>
      <c r="Y252" s="1"/>
      <c r="Z252" s="5"/>
    </row>
    <row r="253" spans="1:26" s="23" customFormat="1" collapsed="1" x14ac:dyDescent="0.25">
      <c r="A253" s="10"/>
      <c r="B253" s="29" t="s">
        <v>0</v>
      </c>
      <c r="C253" s="10"/>
      <c r="D253" s="4">
        <f>SUM(OSRRefD25x_0)</f>
        <v>134453.71000000002</v>
      </c>
      <c r="E253" s="4"/>
      <c r="F253" s="12">
        <f t="shared" ref="F253:F261" si="132">IF(D$12=0,0,D253/D$12)</f>
        <v>0.13333379412961532</v>
      </c>
      <c r="G253" s="4"/>
      <c r="H253" s="4">
        <f>SUM(OSRRefH25x_0)</f>
        <v>85881.549999999988</v>
      </c>
      <c r="I253" s="4"/>
      <c r="J253" s="12">
        <f t="shared" ref="J253:J261" si="133">IF(H$12=0,0,H253/H$12)</f>
        <v>8.9594835741714451E-2</v>
      </c>
      <c r="K253" s="4"/>
      <c r="L253" s="4">
        <f t="shared" ref="L253:L261" si="134">+D253-H253</f>
        <v>48572.160000000033</v>
      </c>
      <c r="M253" s="4"/>
      <c r="N253" s="12">
        <f t="shared" ref="N253:N261" si="135">IF(H253=0,0,L253/H253)</f>
        <v>0.56557153428181073</v>
      </c>
      <c r="O253" s="10"/>
      <c r="P253" s="4">
        <f>SUM(OSRRefP25x_0)</f>
        <v>378997.00999999995</v>
      </c>
      <c r="Q253" s="4"/>
      <c r="R253" s="12">
        <f t="shared" ref="R253:R261" si="136">IF(P$12=0,0,P253/P$12)</f>
        <v>6.6040141630142948E-2</v>
      </c>
      <c r="S253" s="4"/>
      <c r="T253" s="4">
        <f>SUM(OSRRefT25x_0)</f>
        <v>318539.11</v>
      </c>
      <c r="U253" s="4"/>
      <c r="V253" s="12">
        <f t="shared" ref="V253:V261" si="137">IF(T$12=0,0,T253/T$12)</f>
        <v>5.2304955484572015E-2</v>
      </c>
      <c r="W253" s="4"/>
      <c r="X253" s="4">
        <f t="shared" ref="X253:X261" si="138">+P253-T253</f>
        <v>60457.899999999965</v>
      </c>
      <c r="Y253" s="4"/>
      <c r="Z253" s="12">
        <f t="shared" ref="Z253:Z261" si="139">IF(T253=0,0,X253/T253)</f>
        <v>0.18979741608495099</v>
      </c>
    </row>
    <row r="254" spans="1:26" s="24" customFormat="1" hidden="1" outlineLevel="1" x14ac:dyDescent="0.25">
      <c r="A254" s="44"/>
      <c r="B254" s="11" t="str">
        <f>CONCATENATE("          ", "4098", " - ", "TAXABLE SALES-GRAD RENTALS")</f>
        <v xml:space="preserve">          4098 - TAXABLE SALES-GRAD RENTALS</v>
      </c>
      <c r="C254" s="11"/>
      <c r="D254" s="2">
        <f t="shared" ref="D254:D256" si="140">0</f>
        <v>0</v>
      </c>
      <c r="E254" s="2"/>
      <c r="F254" s="19">
        <f t="shared" si="132"/>
        <v>0</v>
      </c>
      <c r="G254" s="2"/>
      <c r="H254" s="2">
        <f>0</f>
        <v>0</v>
      </c>
      <c r="I254" s="2"/>
      <c r="J254" s="19">
        <f t="shared" si="133"/>
        <v>0</v>
      </c>
      <c r="K254" s="2"/>
      <c r="L254" s="2">
        <f t="shared" si="134"/>
        <v>0</v>
      </c>
      <c r="M254" s="2"/>
      <c r="N254" s="19">
        <f t="shared" si="135"/>
        <v>0</v>
      </c>
      <c r="O254" s="11"/>
      <c r="P254" s="2">
        <f>--1626.85</f>
        <v>1626.85</v>
      </c>
      <c r="Q254" s="2"/>
      <c r="R254" s="19">
        <f t="shared" si="136"/>
        <v>2.8347823749585272E-4</v>
      </c>
      <c r="S254" s="2"/>
      <c r="T254" s="2">
        <f>0</f>
        <v>0</v>
      </c>
      <c r="U254" s="2"/>
      <c r="V254" s="19">
        <f t="shared" si="137"/>
        <v>0</v>
      </c>
      <c r="W254" s="2"/>
      <c r="X254" s="2">
        <f t="shared" si="138"/>
        <v>1626.85</v>
      </c>
      <c r="Y254" s="2"/>
      <c r="Z254" s="19">
        <f t="shared" si="139"/>
        <v>0</v>
      </c>
    </row>
    <row r="255" spans="1:26" s="24" customFormat="1" hidden="1" outlineLevel="1" x14ac:dyDescent="0.25">
      <c r="A255" s="44"/>
      <c r="B255" s="11" t="str">
        <f>CONCATENATE("          ", "4197", " - ", "NON-TAXABLE SALES-RETURNED CHE")</f>
        <v xml:space="preserve">          4197 - NON-TAXABLE SALES-RETURNED CHE</v>
      </c>
      <c r="C255" s="11"/>
      <c r="D255" s="2">
        <f t="shared" si="140"/>
        <v>0</v>
      </c>
      <c r="E255" s="2"/>
      <c r="F255" s="19">
        <f t="shared" si="132"/>
        <v>0</v>
      </c>
      <c r="G255" s="2"/>
      <c r="H255" s="2">
        <f>--10</f>
        <v>10</v>
      </c>
      <c r="I255" s="2"/>
      <c r="J255" s="19">
        <f t="shared" si="133"/>
        <v>1.0432372930124627E-5</v>
      </c>
      <c r="K255" s="2"/>
      <c r="L255" s="2">
        <f t="shared" si="134"/>
        <v>-10</v>
      </c>
      <c r="M255" s="2"/>
      <c r="N255" s="19">
        <f t="shared" si="135"/>
        <v>-1</v>
      </c>
      <c r="O255" s="11"/>
      <c r="P255" s="2">
        <f>--30</f>
        <v>30</v>
      </c>
      <c r="Q255" s="2"/>
      <c r="R255" s="19">
        <f t="shared" si="136"/>
        <v>5.227493084719293E-6</v>
      </c>
      <c r="S255" s="2"/>
      <c r="T255" s="2">
        <f>--260</f>
        <v>260</v>
      </c>
      <c r="U255" s="2"/>
      <c r="V255" s="19">
        <f t="shared" si="137"/>
        <v>4.269268042466975E-5</v>
      </c>
      <c r="W255" s="2"/>
      <c r="X255" s="2">
        <f t="shared" si="138"/>
        <v>-230</v>
      </c>
      <c r="Y255" s="2"/>
      <c r="Z255" s="19">
        <f t="shared" si="139"/>
        <v>-0.88461538461538458</v>
      </c>
    </row>
    <row r="256" spans="1:26" s="24" customFormat="1" hidden="1" outlineLevel="1" x14ac:dyDescent="0.25">
      <c r="A256" s="44"/>
      <c r="B256" s="11" t="str">
        <f>CONCATENATE("          ", "4198", " - ", "NON-TAXABLE SALES-GRAD RENTALS")</f>
        <v xml:space="preserve">          4198 - NON-TAXABLE SALES-GRAD RENTALS</v>
      </c>
      <c r="C256" s="11"/>
      <c r="D256" s="2">
        <f t="shared" si="140"/>
        <v>0</v>
      </c>
      <c r="E256" s="2"/>
      <c r="F256" s="19">
        <f t="shared" si="132"/>
        <v>0</v>
      </c>
      <c r="G256" s="2"/>
      <c r="H256" s="2">
        <f>0</f>
        <v>0</v>
      </c>
      <c r="I256" s="2"/>
      <c r="J256" s="19">
        <f t="shared" si="133"/>
        <v>0</v>
      </c>
      <c r="K256" s="2"/>
      <c r="L256" s="2">
        <f t="shared" si="134"/>
        <v>0</v>
      </c>
      <c r="M256" s="2"/>
      <c r="N256" s="19">
        <f t="shared" si="135"/>
        <v>0</v>
      </c>
      <c r="O256" s="11"/>
      <c r="P256" s="2">
        <f>--495</f>
        <v>495</v>
      </c>
      <c r="Q256" s="2"/>
      <c r="R256" s="19">
        <f t="shared" si="136"/>
        <v>8.6253635897868327E-5</v>
      </c>
      <c r="S256" s="2"/>
      <c r="T256" s="2">
        <f>--435</f>
        <v>435</v>
      </c>
      <c r="U256" s="2"/>
      <c r="V256" s="19">
        <f t="shared" si="137"/>
        <v>7.1428138402812846E-5</v>
      </c>
      <c r="W256" s="2"/>
      <c r="X256" s="2">
        <f t="shared" si="138"/>
        <v>60</v>
      </c>
      <c r="Y256" s="2"/>
      <c r="Z256" s="19">
        <f t="shared" si="139"/>
        <v>0.13793103448275862</v>
      </c>
    </row>
    <row r="257" spans="1:26" s="24" customFormat="1" hidden="1" outlineLevel="1" x14ac:dyDescent="0.25">
      <c r="A257" s="44"/>
      <c r="B257" s="11" t="str">
        <f>CONCATENATE("          ", "9150", " - ", "MISC. INCOME")</f>
        <v xml:space="preserve">          9150 - MISC. INCOME</v>
      </c>
      <c r="C257" s="11"/>
      <c r="D257" s="2">
        <f>--69263.32</f>
        <v>69263.320000000007</v>
      </c>
      <c r="E257" s="2"/>
      <c r="F257" s="19">
        <f t="shared" si="132"/>
        <v>6.8686399576580431E-2</v>
      </c>
      <c r="G257" s="2"/>
      <c r="H257" s="2">
        <f>--84284.78</f>
        <v>84284.78</v>
      </c>
      <c r="I257" s="2"/>
      <c r="J257" s="19">
        <f t="shared" si="133"/>
        <v>8.7929025729350949E-2</v>
      </c>
      <c r="K257" s="2"/>
      <c r="L257" s="2">
        <f t="shared" si="134"/>
        <v>-15021.459999999992</v>
      </c>
      <c r="M257" s="2"/>
      <c r="N257" s="19">
        <f t="shared" si="135"/>
        <v>-0.17822268741758585</v>
      </c>
      <c r="O257" s="11"/>
      <c r="P257" s="2">
        <f>--206650.24</f>
        <v>206650.23999999999</v>
      </c>
      <c r="Q257" s="2"/>
      <c r="R257" s="19">
        <f t="shared" si="136"/>
        <v>3.600875668518607E-2</v>
      </c>
      <c r="S257" s="2"/>
      <c r="T257" s="2">
        <f>--313687.22</f>
        <v>313687.21999999997</v>
      </c>
      <c r="U257" s="2"/>
      <c r="V257" s="19">
        <f t="shared" si="137"/>
        <v>5.1508262449088738E-2</v>
      </c>
      <c r="W257" s="2"/>
      <c r="X257" s="2">
        <f t="shared" si="138"/>
        <v>-107036.97999999998</v>
      </c>
      <c r="Y257" s="2"/>
      <c r="Z257" s="19">
        <f t="shared" si="139"/>
        <v>-0.34122199814197079</v>
      </c>
    </row>
    <row r="258" spans="1:26" s="24" customFormat="1" hidden="1" outlineLevel="1" x14ac:dyDescent="0.25">
      <c r="A258" s="44"/>
      <c r="B258" s="11" t="str">
        <f>CONCATENATE("          ", "9151", " - ", "MISC. INCOME")</f>
        <v xml:space="preserve">          9151 - MISC. INCOME</v>
      </c>
      <c r="C258" s="11"/>
      <c r="D258" s="2">
        <f>--4030.76</f>
        <v>4030.76</v>
      </c>
      <c r="E258" s="2"/>
      <c r="F258" s="19">
        <f t="shared" si="132"/>
        <v>3.9971862734459931E-3</v>
      </c>
      <c r="G258" s="2"/>
      <c r="H258" s="2">
        <f>-411.02</f>
        <v>-411.02</v>
      </c>
      <c r="I258" s="2"/>
      <c r="J258" s="19">
        <f t="shared" si="133"/>
        <v>-4.287913921739824E-4</v>
      </c>
      <c r="K258" s="2"/>
      <c r="L258" s="2">
        <f t="shared" si="134"/>
        <v>4441.7800000000007</v>
      </c>
      <c r="M258" s="2"/>
      <c r="N258" s="19">
        <f t="shared" si="135"/>
        <v>-10.806724733589608</v>
      </c>
      <c r="O258" s="11"/>
      <c r="P258" s="2">
        <f>--87224.27</f>
        <v>87224.27</v>
      </c>
      <c r="Q258" s="2"/>
      <c r="R258" s="19">
        <f t="shared" si="136"/>
        <v>1.5198808941489617E-2</v>
      </c>
      <c r="S258" s="2"/>
      <c r="T258" s="2">
        <f>--649.77</f>
        <v>649.77</v>
      </c>
      <c r="U258" s="2"/>
      <c r="V258" s="19">
        <f t="shared" si="137"/>
        <v>1.0669393445976024E-4</v>
      </c>
      <c r="W258" s="2"/>
      <c r="X258" s="2">
        <f t="shared" si="138"/>
        <v>86574.5</v>
      </c>
      <c r="Y258" s="2"/>
      <c r="Z258" s="19">
        <f t="shared" si="139"/>
        <v>133.23868445757731</v>
      </c>
    </row>
    <row r="259" spans="1:26" s="24" customFormat="1" hidden="1" outlineLevel="1" x14ac:dyDescent="0.25">
      <c r="A259" s="44"/>
      <c r="B259" s="11" t="str">
        <f>CONCATENATE("          ", "9152", " - ", "MISC. INCOME")</f>
        <v xml:space="preserve">          9152 - MISC. INCOME</v>
      </c>
      <c r="C259" s="11"/>
      <c r="D259" s="2">
        <f>--53.08</f>
        <v>53.08</v>
      </c>
      <c r="E259" s="2"/>
      <c r="F259" s="19">
        <f t="shared" si="132"/>
        <v>5.263787657774546E-5</v>
      </c>
      <c r="G259" s="2"/>
      <c r="H259" s="2">
        <f>--1707.79</f>
        <v>1707.79</v>
      </c>
      <c r="I259" s="2"/>
      <c r="J259" s="19">
        <f t="shared" si="133"/>
        <v>1.7816302166337534E-3</v>
      </c>
      <c r="K259" s="2"/>
      <c r="L259" s="2">
        <f t="shared" si="134"/>
        <v>-1654.71</v>
      </c>
      <c r="M259" s="2"/>
      <c r="N259" s="19">
        <f t="shared" si="135"/>
        <v>-0.96891889518032082</v>
      </c>
      <c r="O259" s="11"/>
      <c r="P259" s="2">
        <f>--694.1</f>
        <v>694.1</v>
      </c>
      <c r="Q259" s="2"/>
      <c r="R259" s="19">
        <f t="shared" si="136"/>
        <v>1.2094676500345538E-4</v>
      </c>
      <c r="S259" s="2"/>
      <c r="T259" s="2">
        <f>--3217.12</f>
        <v>3217.12</v>
      </c>
      <c r="U259" s="2"/>
      <c r="V259" s="19">
        <f t="shared" si="137"/>
        <v>5.2825952326082128E-4</v>
      </c>
      <c r="W259" s="2"/>
      <c r="X259" s="2">
        <f t="shared" si="138"/>
        <v>-2523.02</v>
      </c>
      <c r="Y259" s="2"/>
      <c r="Z259" s="19">
        <f t="shared" si="139"/>
        <v>-0.78424802307654051</v>
      </c>
    </row>
    <row r="260" spans="1:26" s="24" customFormat="1" hidden="1" outlineLevel="1" x14ac:dyDescent="0.25">
      <c r="A260" s="44"/>
      <c r="B260" s="11" t="str">
        <f>CONCATENATE("          ", "9160", " - ", "MISC. INCOME")</f>
        <v xml:space="preserve">          9160 - MISC. INCOME</v>
      </c>
      <c r="C260" s="11"/>
      <c r="D260" s="2">
        <f>0</f>
        <v>0</v>
      </c>
      <c r="E260" s="2"/>
      <c r="F260" s="19">
        <f t="shared" si="132"/>
        <v>0</v>
      </c>
      <c r="G260" s="2"/>
      <c r="H260" s="2">
        <f>--290</f>
        <v>290</v>
      </c>
      <c r="I260" s="2"/>
      <c r="J260" s="19">
        <f t="shared" si="133"/>
        <v>3.0253881497361418E-4</v>
      </c>
      <c r="K260" s="2"/>
      <c r="L260" s="2">
        <f t="shared" si="134"/>
        <v>-290</v>
      </c>
      <c r="M260" s="2"/>
      <c r="N260" s="19">
        <f t="shared" si="135"/>
        <v>-1</v>
      </c>
      <c r="O260" s="11"/>
      <c r="P260" s="2">
        <f>--21170</f>
        <v>21170</v>
      </c>
      <c r="Q260" s="2"/>
      <c r="R260" s="19">
        <f t="shared" si="136"/>
        <v>3.6888676201169142E-3</v>
      </c>
      <c r="S260" s="2"/>
      <c r="T260" s="2">
        <f>--290</f>
        <v>290</v>
      </c>
      <c r="U260" s="2"/>
      <c r="V260" s="19">
        <f t="shared" si="137"/>
        <v>4.7618758935208566E-5</v>
      </c>
      <c r="W260" s="2"/>
      <c r="X260" s="2">
        <f t="shared" si="138"/>
        <v>20880</v>
      </c>
      <c r="Y260" s="2"/>
      <c r="Z260" s="19">
        <f t="shared" si="139"/>
        <v>72</v>
      </c>
    </row>
    <row r="261" spans="1:26" s="24" customFormat="1" hidden="1" outlineLevel="1" x14ac:dyDescent="0.25">
      <c r="A261" s="44"/>
      <c r="B261" s="11" t="str">
        <f>CONCATENATE("          ", "9163", " - ", "MISC. INCOME")</f>
        <v xml:space="preserve">          9163 - MISC. INCOME</v>
      </c>
      <c r="C261" s="11"/>
      <c r="D261" s="2">
        <f>--61106.55</f>
        <v>61106.55</v>
      </c>
      <c r="E261" s="2"/>
      <c r="F261" s="19">
        <f t="shared" si="132"/>
        <v>6.0597570403011156E-2</v>
      </c>
      <c r="G261" s="2"/>
      <c r="H261" s="2">
        <f>0</f>
        <v>0</v>
      </c>
      <c r="I261" s="2"/>
      <c r="J261" s="19">
        <f t="shared" si="133"/>
        <v>0</v>
      </c>
      <c r="K261" s="2"/>
      <c r="L261" s="2">
        <f t="shared" si="134"/>
        <v>61106.55</v>
      </c>
      <c r="M261" s="2"/>
      <c r="N261" s="19">
        <f t="shared" si="135"/>
        <v>0</v>
      </c>
      <c r="O261" s="11"/>
      <c r="P261" s="2">
        <f>--61106.55</f>
        <v>61106.55</v>
      </c>
      <c r="Q261" s="2"/>
      <c r="R261" s="19">
        <f t="shared" si="136"/>
        <v>1.0647802251868458E-2</v>
      </c>
      <c r="S261" s="2"/>
      <c r="T261" s="2">
        <f>0</f>
        <v>0</v>
      </c>
      <c r="U261" s="2"/>
      <c r="V261" s="19">
        <f t="shared" si="137"/>
        <v>0</v>
      </c>
      <c r="W261" s="2"/>
      <c r="X261" s="2">
        <f t="shared" si="138"/>
        <v>61106.55</v>
      </c>
      <c r="Y261" s="2"/>
      <c r="Z261" s="19">
        <f t="shared" si="139"/>
        <v>0</v>
      </c>
    </row>
    <row r="262" spans="1:26" x14ac:dyDescent="0.25">
      <c r="A262" s="9"/>
      <c r="B262" s="10"/>
      <c r="C262" s="10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O262" s="10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x14ac:dyDescent="0.25">
      <c r="A263" s="10"/>
      <c r="B263" s="28" t="s">
        <v>3</v>
      </c>
      <c r="C263" s="28"/>
      <c r="D263" s="21">
        <f>+D161-D163+D253</f>
        <v>127779.24000000028</v>
      </c>
      <c r="E263" s="14"/>
      <c r="F263" s="22">
        <f>IF(D$12=0,0,D263/D$12)</f>
        <v>0.12671491831797535</v>
      </c>
      <c r="G263" s="14"/>
      <c r="H263" s="21">
        <f>+H161-H163+H253</f>
        <v>43979.25999999966</v>
      </c>
      <c r="I263" s="14"/>
      <c r="J263" s="22">
        <f>IF(H$12=0,0,H263/H$12)</f>
        <v>4.5880804151090922E-2</v>
      </c>
      <c r="K263" s="16"/>
      <c r="L263" s="21">
        <f>+D263-H263</f>
        <v>83799.980000000622</v>
      </c>
      <c r="M263" s="16"/>
      <c r="N263" s="22">
        <f>IF(H263=0,0,L263/H263)</f>
        <v>1.9054431566152152</v>
      </c>
      <c r="O263" s="29"/>
      <c r="P263" s="21">
        <f>+P161-P163+P253</f>
        <v>808953.8499999987</v>
      </c>
      <c r="Q263" s="14"/>
      <c r="R263" s="22">
        <f>IF(P$12=0,0,P263/P$12)</f>
        <v>0.14096002189106804</v>
      </c>
      <c r="S263" s="14"/>
      <c r="T263" s="21">
        <f>+T161-T163+T253</f>
        <v>714871.44000000053</v>
      </c>
      <c r="U263" s="14"/>
      <c r="V263" s="22">
        <f>IF(T$12=0,0,T263/T$12)</f>
        <v>0.11738376127939806</v>
      </c>
      <c r="W263" s="16"/>
      <c r="X263" s="21">
        <f>+P263-T263</f>
        <v>94082.40999999817</v>
      </c>
      <c r="Y263" s="16"/>
      <c r="Z263" s="22">
        <f>IF(T263=0,0,X263/T263)</f>
        <v>0.1316074537821767</v>
      </c>
    </row>
    <row r="264" spans="1:26" x14ac:dyDescent="0.25">
      <c r="A264" s="9"/>
      <c r="B264" s="10"/>
      <c r="C264" s="9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x14ac:dyDescent="0.25">
      <c r="A265" s="51"/>
      <c r="B265" s="10" t="s">
        <v>13</v>
      </c>
      <c r="C265" s="10"/>
      <c r="D265" s="4">
        <v>69573.97</v>
      </c>
      <c r="E265" s="4"/>
      <c r="F265" s="12">
        <f>IF(D$12=0,0,D265/D$12)</f>
        <v>6.8994462055082251E-2</v>
      </c>
      <c r="G265" s="4"/>
      <c r="H265" s="4">
        <v>103390.34999999999</v>
      </c>
      <c r="I265" s="4"/>
      <c r="J265" s="12">
        <f>IF(H$12=0,0,H265/H$12)</f>
        <v>0.10786066885761106</v>
      </c>
      <c r="K265" s="4"/>
      <c r="L265" s="4">
        <f>+D265-H265</f>
        <v>-33816.37999999999</v>
      </c>
      <c r="M265" s="4"/>
      <c r="N265" s="12">
        <f>IF(H265=0,0,L265/H265)</f>
        <v>-0.32707481887816409</v>
      </c>
      <c r="O265" s="10"/>
      <c r="P265" s="4">
        <v>577691.17000000004</v>
      </c>
      <c r="Q265" s="4"/>
      <c r="R265" s="12">
        <f>IF(P$12=0,0,P265/P$12)</f>
        <v>0.10066255320927991</v>
      </c>
      <c r="S265" s="4"/>
      <c r="T265" s="4">
        <v>559307.69000000006</v>
      </c>
      <c r="U265" s="4"/>
      <c r="V265" s="12">
        <f>IF(T$12=0,0,T265/T$12)</f>
        <v>9.1839786416270219E-2</v>
      </c>
      <c r="W265" s="4"/>
      <c r="X265" s="4">
        <f>+P265-T265</f>
        <v>18383.479999999981</v>
      </c>
      <c r="Y265" s="4"/>
      <c r="Z265" s="12">
        <f>IF(T265=0,0,X265/T265)</f>
        <v>3.2868276851333797E-2</v>
      </c>
    </row>
    <row r="266" spans="1:26" x14ac:dyDescent="0.25">
      <c r="A266" s="9"/>
      <c r="B266" s="10"/>
      <c r="C266" s="10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O266" s="10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ht="15.75" thickBot="1" x14ac:dyDescent="0.3">
      <c r="A267" s="10"/>
      <c r="B267" s="28" t="s">
        <v>4</v>
      </c>
      <c r="C267" s="28"/>
      <c r="D267" s="31">
        <f>+D263-D265</f>
        <v>58205.270000000281</v>
      </c>
      <c r="E267" s="14"/>
      <c r="F267" s="34">
        <f>IF(D$12=0,0,D267/D$12)</f>
        <v>5.7720456262893093E-2</v>
      </c>
      <c r="G267" s="14"/>
      <c r="H267" s="31">
        <f>+H263-H265</f>
        <v>-59411.090000000331</v>
      </c>
      <c r="I267" s="14"/>
      <c r="J267" s="34">
        <f>IF(H$12=0,0,H267/H$12)</f>
        <v>-6.1979864706520137E-2</v>
      </c>
      <c r="K267" s="16"/>
      <c r="L267" s="31">
        <f>D267-H267</f>
        <v>117616.36000000061</v>
      </c>
      <c r="M267" s="16"/>
      <c r="N267" s="34">
        <f>IF(H267=0,0,L267/H267)</f>
        <v>-1.979703789309369</v>
      </c>
      <c r="O267" s="29"/>
      <c r="P267" s="31">
        <f>+P263-P265</f>
        <v>231262.67999999865</v>
      </c>
      <c r="Q267" s="14"/>
      <c r="R267" s="34">
        <f>IF(P$12=0,0,P267/P$12)</f>
        <v>4.0297468681788122E-2</v>
      </c>
      <c r="S267" s="14"/>
      <c r="T267" s="31">
        <f>+T263-T265</f>
        <v>155563.75000000047</v>
      </c>
      <c r="U267" s="14"/>
      <c r="V267" s="34">
        <f>IF(T$12=0,0,T267/T$12)</f>
        <v>2.5543974863127841E-2</v>
      </c>
      <c r="W267" s="16"/>
      <c r="X267" s="31">
        <f>P267-T267</f>
        <v>75698.929999998189</v>
      </c>
      <c r="Y267" s="16"/>
      <c r="Z267" s="34">
        <f>IF(T267=0,0,X267/T267)</f>
        <v>0.4866103446336178</v>
      </c>
    </row>
    <row r="268" spans="1:26" ht="15.75" thickTop="1" x14ac:dyDescent="0.25">
      <c r="A268" s="9"/>
      <c r="B268" s="9"/>
      <c r="C268" s="9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x14ac:dyDescent="0.25">
      <c r="A269" s="9"/>
      <c r="B269" s="9"/>
      <c r="C269" s="9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ht="15.75" thickBot="1" x14ac:dyDescent="0.3">
      <c r="A270" s="10"/>
      <c r="B270" s="28" t="s">
        <v>5</v>
      </c>
      <c r="C270" s="28"/>
      <c r="D270" s="36">
        <f>SUM(D267:D269)</f>
        <v>58205.270000000281</v>
      </c>
      <c r="E270" s="14"/>
      <c r="F270" s="33">
        <f>IF(D$12=0,0,D270/D$12)</f>
        <v>5.7720456262893093E-2</v>
      </c>
      <c r="G270" s="14"/>
      <c r="H270" s="36">
        <f>SUM(H267:H269)</f>
        <v>-59411.090000000331</v>
      </c>
      <c r="I270" s="14"/>
      <c r="J270" s="33">
        <f>IF(H$12=0,0,H270/H$12)</f>
        <v>-6.1979864706520137E-2</v>
      </c>
      <c r="K270" s="16"/>
      <c r="L270" s="36">
        <f>+D270-H270</f>
        <v>117616.36000000061</v>
      </c>
      <c r="M270" s="16"/>
      <c r="N270" s="33">
        <f>IF(H270=0,0,L270/H270)</f>
        <v>-1.979703789309369</v>
      </c>
      <c r="O270" s="29"/>
      <c r="P270" s="36">
        <f>SUM(P267:P269)</f>
        <v>231262.67999999865</v>
      </c>
      <c r="Q270" s="14"/>
      <c r="R270" s="33">
        <f>IF(P$12=0,0,P270/P$12)</f>
        <v>4.0297468681788122E-2</v>
      </c>
      <c r="S270" s="14"/>
      <c r="T270" s="36">
        <f>SUM(T267:T269)</f>
        <v>155563.75000000047</v>
      </c>
      <c r="U270" s="14"/>
      <c r="V270" s="33">
        <f>IF(T$12=0,0,T270/T$12)</f>
        <v>2.5543974863127841E-2</v>
      </c>
      <c r="W270" s="16"/>
      <c r="X270" s="36">
        <f>+P270-T270</f>
        <v>75698.929999998189</v>
      </c>
      <c r="Y270" s="16"/>
      <c r="Z270" s="33">
        <f>IF(T270=0,0,X270/T270)</f>
        <v>0.4866103446336178</v>
      </c>
    </row>
    <row r="271" spans="1:26" ht="15.75" thickTop="1" x14ac:dyDescent="0.25">
      <c r="A271" s="9"/>
      <c r="C271" s="9"/>
      <c r="D271" s="18"/>
      <c r="E271" s="18"/>
      <c r="G271" s="18"/>
      <c r="H271" s="18"/>
      <c r="I271" s="18"/>
      <c r="J271" s="42"/>
      <c r="K271" s="18"/>
      <c r="L271" s="18"/>
      <c r="M271" s="18"/>
      <c r="P271" s="18"/>
      <c r="Q271" s="18"/>
      <c r="R271" s="42"/>
      <c r="S271" s="18"/>
      <c r="T271" s="18"/>
      <c r="U271" s="18"/>
      <c r="V271" s="42"/>
      <c r="W271" s="18"/>
      <c r="X271" s="18"/>
    </row>
    <row r="272" spans="1:26" x14ac:dyDescent="0.25">
      <c r="A272" s="9"/>
      <c r="B272" s="61">
        <v>43791.354715162037</v>
      </c>
      <c r="D272" s="18"/>
      <c r="E272" s="18"/>
      <c r="G272" s="18"/>
      <c r="H272" s="18"/>
      <c r="I272" s="18"/>
      <c r="J272" s="42"/>
      <c r="K272" s="18"/>
      <c r="L272" s="18"/>
      <c r="M272" s="18"/>
      <c r="P272" s="18"/>
      <c r="Q272" s="18"/>
      <c r="R272" s="42"/>
      <c r="S272" s="18"/>
      <c r="T272" s="18"/>
      <c r="U272" s="18"/>
      <c r="V272" s="42"/>
      <c r="W272" s="18"/>
      <c r="X272" s="18"/>
    </row>
    <row r="273" spans="1:24" x14ac:dyDescent="0.25">
      <c r="A273" s="9"/>
      <c r="B273" s="56" t="s">
        <v>313</v>
      </c>
      <c r="D273" s="18"/>
      <c r="E273" s="18"/>
      <c r="G273" s="18"/>
      <c r="H273" s="18"/>
      <c r="I273" s="18"/>
      <c r="J273" s="42"/>
      <c r="K273" s="18"/>
      <c r="L273" s="18"/>
      <c r="M273" s="18"/>
      <c r="P273" s="18"/>
      <c r="Q273" s="18"/>
      <c r="R273" s="42"/>
      <c r="S273" s="18"/>
      <c r="T273" s="18"/>
      <c r="U273" s="18"/>
      <c r="V273" s="42"/>
      <c r="W273" s="18"/>
      <c r="X273" s="18"/>
    </row>
    <row r="274" spans="1:24" x14ac:dyDescent="0.25">
      <c r="A274" s="9"/>
      <c r="B274" s="57"/>
      <c r="D274" s="18"/>
      <c r="E274" s="18"/>
      <c r="G274" s="18"/>
      <c r="H274" s="18"/>
      <c r="I274" s="18"/>
      <c r="J274" s="42"/>
      <c r="K274" s="18"/>
      <c r="L274" s="18"/>
      <c r="M274" s="18"/>
      <c r="P274" s="18"/>
      <c r="Q274" s="18"/>
      <c r="R274" s="42"/>
      <c r="S274" s="18"/>
      <c r="T274" s="18"/>
      <c r="U274" s="18"/>
      <c r="V274" s="42"/>
      <c r="W274" s="18"/>
      <c r="X274" s="18"/>
    </row>
    <row r="275" spans="1:24" x14ac:dyDescent="0.25">
      <c r="D275" s="18"/>
      <c r="E275" s="18"/>
      <c r="G275" s="18"/>
      <c r="H275" s="18"/>
      <c r="I275" s="18"/>
      <c r="J275" s="42"/>
      <c r="K275" s="18"/>
      <c r="L275" s="18"/>
      <c r="M275" s="18"/>
      <c r="P275" s="18"/>
      <c r="Q275" s="18"/>
      <c r="R275" s="42"/>
      <c r="S275" s="18"/>
      <c r="T275" s="18"/>
      <c r="U275" s="18"/>
      <c r="V275" s="42"/>
      <c r="W275" s="18"/>
      <c r="X275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6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478812.74</v>
      </c>
      <c r="E12" s="4"/>
      <c r="F12" s="12"/>
      <c r="G12" s="4"/>
      <c r="H12" s="4">
        <f>SUM(OSRRefH13x_0)</f>
        <v>467022.92</v>
      </c>
      <c r="I12" s="4"/>
      <c r="J12" s="12"/>
      <c r="K12" s="4"/>
      <c r="L12" s="4">
        <f t="shared" ref="L12:L103" si="0">+D12-H12</f>
        <v>11789.820000000007</v>
      </c>
      <c r="M12" s="4"/>
      <c r="N12" s="12">
        <f t="shared" ref="N12:N103" si="1">IF(H12=0,0,L12/H12)</f>
        <v>2.524462825079336E-2</v>
      </c>
      <c r="O12" s="10"/>
      <c r="P12" s="4">
        <f>SUM(OSRRefP13x_0)</f>
        <v>4620816.0699999984</v>
      </c>
      <c r="Q12" s="4"/>
      <c r="R12" s="12"/>
      <c r="S12" s="4"/>
      <c r="T12" s="4">
        <f>SUM(OSRRefT13x_0)</f>
        <v>5018527.129999998</v>
      </c>
      <c r="U12" s="4"/>
      <c r="V12" s="12"/>
      <c r="W12" s="4"/>
      <c r="X12" s="4">
        <f t="shared" ref="X12:X103" si="2">+P12-T12</f>
        <v>-397711.05999999959</v>
      </c>
      <c r="Y12" s="4"/>
      <c r="Z12" s="12">
        <f t="shared" ref="Z12:Z103" si="3">IF(T12=0,0,X12/T12)</f>
        <v>-7.9248562316728915E-2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--31204.32</f>
        <v>31204.32</v>
      </c>
      <c r="E13" s="2"/>
      <c r="F13" s="19"/>
      <c r="G13" s="2"/>
      <c r="H13" s="2">
        <f>--48405.77</f>
        <v>48405.77</v>
      </c>
      <c r="I13" s="2"/>
      <c r="J13" s="19"/>
      <c r="K13" s="2"/>
      <c r="L13" s="2">
        <f t="shared" si="0"/>
        <v>-17201.449999999997</v>
      </c>
      <c r="M13" s="2"/>
      <c r="N13" s="19">
        <f t="shared" si="1"/>
        <v>-0.35535949536594497</v>
      </c>
      <c r="O13" s="11"/>
      <c r="P13" s="2">
        <f>--1495159.74</f>
        <v>1495159.74</v>
      </c>
      <c r="Q13" s="2"/>
      <c r="R13" s="19"/>
      <c r="S13" s="2"/>
      <c r="T13" s="2">
        <f>--1838816.03</f>
        <v>1838816.03</v>
      </c>
      <c r="U13" s="2"/>
      <c r="V13" s="19"/>
      <c r="W13" s="2"/>
      <c r="X13" s="2">
        <f t="shared" si="2"/>
        <v>-343656.29000000004</v>
      </c>
      <c r="Y13" s="2"/>
      <c r="Z13" s="19">
        <f t="shared" si="3"/>
        <v>-0.18688997941789753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--8985.78</f>
        <v>8985.7800000000007</v>
      </c>
      <c r="E14" s="2"/>
      <c r="F14" s="19"/>
      <c r="G14" s="2"/>
      <c r="H14" s="2">
        <f>--11150.82</f>
        <v>11150.82</v>
      </c>
      <c r="I14" s="2"/>
      <c r="J14" s="19"/>
      <c r="K14" s="2"/>
      <c r="L14" s="2">
        <f t="shared" si="0"/>
        <v>-2165.0399999999991</v>
      </c>
      <c r="M14" s="2"/>
      <c r="N14" s="19">
        <f t="shared" si="1"/>
        <v>-0.19415971202117863</v>
      </c>
      <c r="O14" s="11"/>
      <c r="P14" s="2">
        <f>--666296.36</f>
        <v>666296.36</v>
      </c>
      <c r="Q14" s="2"/>
      <c r="R14" s="19"/>
      <c r="S14" s="2"/>
      <c r="T14" s="2">
        <f>--740611.19</f>
        <v>740611.19</v>
      </c>
      <c r="U14" s="2"/>
      <c r="V14" s="19"/>
      <c r="W14" s="2"/>
      <c r="X14" s="2">
        <f t="shared" si="2"/>
        <v>-74314.829999999958</v>
      </c>
      <c r="Y14" s="2"/>
      <c r="Z14" s="19">
        <f t="shared" si="3"/>
        <v>-0.10034256976322484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--307.97</f>
        <v>307.97000000000003</v>
      </c>
      <c r="E15" s="2"/>
      <c r="F15" s="19"/>
      <c r="G15" s="2"/>
      <c r="H15" s="2">
        <f>--85</f>
        <v>85</v>
      </c>
      <c r="I15" s="2"/>
      <c r="J15" s="19"/>
      <c r="K15" s="2"/>
      <c r="L15" s="2">
        <f t="shared" si="0"/>
        <v>222.97000000000003</v>
      </c>
      <c r="M15" s="2"/>
      <c r="N15" s="19">
        <f t="shared" si="1"/>
        <v>2.6231764705882354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--460.04</f>
        <v>460.04</v>
      </c>
      <c r="E16" s="2"/>
      <c r="F16" s="19"/>
      <c r="G16" s="2"/>
      <c r="H16" s="2">
        <f>--180.48</f>
        <v>180.48</v>
      </c>
      <c r="I16" s="2"/>
      <c r="J16" s="19"/>
      <c r="K16" s="2"/>
      <c r="L16" s="2">
        <f t="shared" si="0"/>
        <v>279.56000000000006</v>
      </c>
      <c r="M16" s="2"/>
      <c r="N16" s="19">
        <f t="shared" si="1"/>
        <v>1.5489804964539011</v>
      </c>
      <c r="O16" s="11"/>
      <c r="P16" s="2">
        <f>--30160.48</f>
        <v>30160.48</v>
      </c>
      <c r="Q16" s="2"/>
      <c r="R16" s="19"/>
      <c r="S16" s="2"/>
      <c r="T16" s="2">
        <f>--42280.28</f>
        <v>42280.28</v>
      </c>
      <c r="U16" s="2"/>
      <c r="V16" s="19"/>
      <c r="W16" s="2"/>
      <c r="X16" s="2">
        <f t="shared" si="2"/>
        <v>-12119.8</v>
      </c>
      <c r="Y16" s="2"/>
      <c r="Z16" s="19">
        <f t="shared" si="3"/>
        <v>-0.2866537307699949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--5.23</f>
        <v>5.23</v>
      </c>
      <c r="I17" s="2"/>
      <c r="J17" s="19"/>
      <c r="K17" s="2"/>
      <c r="L17" s="2">
        <f t="shared" si="0"/>
        <v>-5.23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--5.23</f>
        <v>5.23</v>
      </c>
      <c r="U17" s="2"/>
      <c r="V17" s="19"/>
      <c r="W17" s="2"/>
      <c r="X17" s="2">
        <f t="shared" si="2"/>
        <v>4.3699999999999992</v>
      </c>
      <c r="Y17" s="2"/>
      <c r="Z17" s="19">
        <f t="shared" si="3"/>
        <v>0.83556405353728469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--686.63</f>
        <v>686.63</v>
      </c>
      <c r="E18" s="2"/>
      <c r="F18" s="19"/>
      <c r="G18" s="2"/>
      <c r="H18" s="2">
        <f>--735.51</f>
        <v>735.51</v>
      </c>
      <c r="I18" s="2"/>
      <c r="J18" s="19"/>
      <c r="K18" s="2"/>
      <c r="L18" s="2">
        <f t="shared" si="0"/>
        <v>-48.879999999999995</v>
      </c>
      <c r="M18" s="2"/>
      <c r="N18" s="19">
        <f t="shared" si="1"/>
        <v>-6.6457288140202034E-2</v>
      </c>
      <c r="O18" s="11"/>
      <c r="P18" s="2">
        <f>--827.39</f>
        <v>827.39</v>
      </c>
      <c r="Q18" s="2"/>
      <c r="R18" s="19"/>
      <c r="S18" s="2"/>
      <c r="T18" s="2">
        <f>--2008.49</f>
        <v>2008.49</v>
      </c>
      <c r="U18" s="2"/>
      <c r="V18" s="19"/>
      <c r="W18" s="2"/>
      <c r="X18" s="2">
        <f t="shared" si="2"/>
        <v>-1181.0999999999999</v>
      </c>
      <c r="Y18" s="2"/>
      <c r="Z18" s="19">
        <f t="shared" si="3"/>
        <v>-0.58805371199259138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--171.13</f>
        <v>171.13</v>
      </c>
      <c r="E19" s="2"/>
      <c r="F19" s="19"/>
      <c r="G19" s="2"/>
      <c r="H19" s="2">
        <f>--228.75</f>
        <v>228.75</v>
      </c>
      <c r="I19" s="2"/>
      <c r="J19" s="19"/>
      <c r="K19" s="2"/>
      <c r="L19" s="2">
        <f t="shared" si="0"/>
        <v>-57.620000000000005</v>
      </c>
      <c r="M19" s="2"/>
      <c r="N19" s="19">
        <f t="shared" si="1"/>
        <v>-0.25189071038251371</v>
      </c>
      <c r="O19" s="11"/>
      <c r="P19" s="2">
        <f>--694.22</f>
        <v>694.22</v>
      </c>
      <c r="Q19" s="2"/>
      <c r="R19" s="19"/>
      <c r="S19" s="2"/>
      <c r="T19" s="2">
        <f>--816.62</f>
        <v>816.62</v>
      </c>
      <c r="U19" s="2"/>
      <c r="V19" s="19"/>
      <c r="W19" s="2"/>
      <c r="X19" s="2">
        <f t="shared" si="2"/>
        <v>-122.39999999999998</v>
      </c>
      <c r="Y19" s="2"/>
      <c r="Z19" s="19">
        <f t="shared" si="3"/>
        <v>-0.14988611594131906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--2.98</f>
        <v>2.98</v>
      </c>
      <c r="E20" s="2"/>
      <c r="F20" s="19"/>
      <c r="G20" s="2"/>
      <c r="H20" s="2">
        <f>--23.84</f>
        <v>23.84</v>
      </c>
      <c r="I20" s="2"/>
      <c r="J20" s="19"/>
      <c r="K20" s="2"/>
      <c r="L20" s="2">
        <f t="shared" si="0"/>
        <v>-20.86</v>
      </c>
      <c r="M20" s="2"/>
      <c r="N20" s="19">
        <f t="shared" si="1"/>
        <v>-0.875</v>
      </c>
      <c r="O20" s="11"/>
      <c r="P20" s="2">
        <f>--225.67</f>
        <v>225.67</v>
      </c>
      <c r="Q20" s="2"/>
      <c r="R20" s="19"/>
      <c r="S20" s="2"/>
      <c r="T20" s="2">
        <f>--633.13</f>
        <v>633.13</v>
      </c>
      <c r="U20" s="2"/>
      <c r="V20" s="19"/>
      <c r="W20" s="2"/>
      <c r="X20" s="2">
        <f t="shared" si="2"/>
        <v>-407.46000000000004</v>
      </c>
      <c r="Y20" s="2"/>
      <c r="Z20" s="19">
        <f t="shared" si="3"/>
        <v>-0.643564512817273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--394.68</f>
        <v>394.68</v>
      </c>
      <c r="E21" s="2"/>
      <c r="F21" s="19"/>
      <c r="G21" s="2"/>
      <c r="H21" s="2">
        <f>--603.17</f>
        <v>603.16999999999996</v>
      </c>
      <c r="I21" s="2"/>
      <c r="J21" s="19"/>
      <c r="K21" s="2"/>
      <c r="L21" s="2">
        <f t="shared" si="0"/>
        <v>-208.48999999999995</v>
      </c>
      <c r="M21" s="2"/>
      <c r="N21" s="19">
        <f t="shared" si="1"/>
        <v>-0.34565711159374629</v>
      </c>
      <c r="O21" s="11"/>
      <c r="P21" s="2">
        <f>--2454.83</f>
        <v>2454.83</v>
      </c>
      <c r="Q21" s="2"/>
      <c r="R21" s="19"/>
      <c r="S21" s="2"/>
      <c r="T21" s="2">
        <f>--3429.78</f>
        <v>3429.78</v>
      </c>
      <c r="U21" s="2"/>
      <c r="V21" s="19"/>
      <c r="W21" s="2"/>
      <c r="X21" s="2">
        <f t="shared" si="2"/>
        <v>-974.95000000000027</v>
      </c>
      <c r="Y21" s="2"/>
      <c r="Z21" s="19">
        <f t="shared" si="3"/>
        <v>-0.28426021494090004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--14.95</f>
        <v>14.95</v>
      </c>
      <c r="E22" s="2"/>
      <c r="F22" s="19"/>
      <c r="G22" s="2"/>
      <c r="H22" s="2">
        <f>--14.58</f>
        <v>14.58</v>
      </c>
      <c r="I22" s="2"/>
      <c r="J22" s="19"/>
      <c r="K22" s="2"/>
      <c r="L22" s="2">
        <f t="shared" si="0"/>
        <v>0.36999999999999922</v>
      </c>
      <c r="M22" s="2"/>
      <c r="N22" s="19">
        <f t="shared" si="1"/>
        <v>2.537722908093273E-2</v>
      </c>
      <c r="O22" s="11"/>
      <c r="P22" s="2">
        <f>--29.9</f>
        <v>29.9</v>
      </c>
      <c r="Q22" s="2"/>
      <c r="R22" s="19"/>
      <c r="S22" s="2"/>
      <c r="T22" s="2">
        <f>--54.48</f>
        <v>54.48</v>
      </c>
      <c r="U22" s="2"/>
      <c r="V22" s="19"/>
      <c r="W22" s="2"/>
      <c r="X22" s="2">
        <f t="shared" si="2"/>
        <v>-24.58</v>
      </c>
      <c r="Y22" s="2"/>
      <c r="Z22" s="19">
        <f t="shared" si="3"/>
        <v>-0.4511747430249633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--10035.97</f>
        <v>10035.969999999999</v>
      </c>
      <c r="E23" s="2"/>
      <c r="F23" s="19"/>
      <c r="G23" s="2"/>
      <c r="H23" s="2">
        <f>--8910.31</f>
        <v>8910.31</v>
      </c>
      <c r="I23" s="2"/>
      <c r="J23" s="19"/>
      <c r="K23" s="2"/>
      <c r="L23" s="2">
        <f t="shared" si="0"/>
        <v>1125.6599999999999</v>
      </c>
      <c r="M23" s="2"/>
      <c r="N23" s="19">
        <f t="shared" si="1"/>
        <v>0.1263323049366408</v>
      </c>
      <c r="O23" s="11"/>
      <c r="P23" s="2">
        <f>--26332.04</f>
        <v>26332.04</v>
      </c>
      <c r="Q23" s="2"/>
      <c r="R23" s="19"/>
      <c r="S23" s="2"/>
      <c r="T23" s="2">
        <f>--25209.73</f>
        <v>25209.73</v>
      </c>
      <c r="U23" s="2"/>
      <c r="V23" s="19"/>
      <c r="W23" s="2"/>
      <c r="X23" s="2">
        <f t="shared" si="2"/>
        <v>1122.3100000000013</v>
      </c>
      <c r="Y23" s="2"/>
      <c r="Z23" s="19">
        <f t="shared" si="3"/>
        <v>4.4518921860726049E-2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--12565.24</f>
        <v>12565.24</v>
      </c>
      <c r="E24" s="2"/>
      <c r="F24" s="19"/>
      <c r="G24" s="2"/>
      <c r="H24" s="2">
        <f>--9174.14</f>
        <v>9174.14</v>
      </c>
      <c r="I24" s="2"/>
      <c r="J24" s="19"/>
      <c r="K24" s="2"/>
      <c r="L24" s="2">
        <f t="shared" si="0"/>
        <v>3391.1000000000004</v>
      </c>
      <c r="M24" s="2"/>
      <c r="N24" s="19">
        <f t="shared" si="1"/>
        <v>0.36963682699413791</v>
      </c>
      <c r="O24" s="11"/>
      <c r="P24" s="2">
        <f>--37064.54</f>
        <v>37064.54</v>
      </c>
      <c r="Q24" s="2"/>
      <c r="R24" s="19"/>
      <c r="S24" s="2"/>
      <c r="T24" s="2">
        <f>--32634.34</f>
        <v>32634.34</v>
      </c>
      <c r="U24" s="2"/>
      <c r="V24" s="19"/>
      <c r="W24" s="2"/>
      <c r="X24" s="2">
        <f t="shared" si="2"/>
        <v>4430.2000000000007</v>
      </c>
      <c r="Y24" s="2"/>
      <c r="Z24" s="19">
        <f t="shared" si="3"/>
        <v>0.13575270711771711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--20952.95</f>
        <v>20952.95</v>
      </c>
      <c r="E25" s="2"/>
      <c r="F25" s="19"/>
      <c r="G25" s="2"/>
      <c r="H25" s="2">
        <f>--17904.21</f>
        <v>17904.21</v>
      </c>
      <c r="I25" s="2"/>
      <c r="J25" s="19"/>
      <c r="K25" s="2"/>
      <c r="L25" s="2">
        <f t="shared" si="0"/>
        <v>3048.7400000000016</v>
      </c>
      <c r="M25" s="2"/>
      <c r="N25" s="19">
        <f t="shared" si="1"/>
        <v>0.17028062114999779</v>
      </c>
      <c r="O25" s="11"/>
      <c r="P25" s="2">
        <f>--144273.54</f>
        <v>144273.54</v>
      </c>
      <c r="Q25" s="2"/>
      <c r="R25" s="19"/>
      <c r="S25" s="2"/>
      <c r="T25" s="2">
        <f>--132898.26</f>
        <v>132898.26</v>
      </c>
      <c r="U25" s="2"/>
      <c r="V25" s="19"/>
      <c r="W25" s="2"/>
      <c r="X25" s="2">
        <f t="shared" si="2"/>
        <v>11375.279999999999</v>
      </c>
      <c r="Y25" s="2"/>
      <c r="Z25" s="19">
        <f t="shared" si="3"/>
        <v>8.5593897166147986E-2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--45836.99</f>
        <v>45836.99</v>
      </c>
      <c r="E26" s="2"/>
      <c r="F26" s="19"/>
      <c r="G26" s="2"/>
      <c r="H26" s="2">
        <f>--55157</f>
        <v>55157</v>
      </c>
      <c r="I26" s="2"/>
      <c r="J26" s="19"/>
      <c r="K26" s="2"/>
      <c r="L26" s="2">
        <f t="shared" si="0"/>
        <v>-9320.010000000002</v>
      </c>
      <c r="M26" s="2"/>
      <c r="N26" s="19">
        <f t="shared" si="1"/>
        <v>-0.16897238791087263</v>
      </c>
      <c r="O26" s="11"/>
      <c r="P26" s="2">
        <f>--146564.67</f>
        <v>146564.67000000001</v>
      </c>
      <c r="Q26" s="2"/>
      <c r="R26" s="19"/>
      <c r="S26" s="2"/>
      <c r="T26" s="2">
        <f>--154844.8</f>
        <v>154844.79999999999</v>
      </c>
      <c r="U26" s="2"/>
      <c r="V26" s="19"/>
      <c r="W26" s="2"/>
      <c r="X26" s="2">
        <f t="shared" si="2"/>
        <v>-8280.1299999999756</v>
      </c>
      <c r="Y26" s="2"/>
      <c r="Z26" s="19">
        <f t="shared" si="3"/>
        <v>-5.3473736283039378E-2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--100.46</f>
        <v>100.46</v>
      </c>
      <c r="E27" s="2"/>
      <c r="F27" s="19"/>
      <c r="G27" s="2"/>
      <c r="H27" s="2">
        <f>--130.84</f>
        <v>130.84</v>
      </c>
      <c r="I27" s="2"/>
      <c r="J27" s="19"/>
      <c r="K27" s="2"/>
      <c r="L27" s="2">
        <f t="shared" si="0"/>
        <v>-30.38000000000001</v>
      </c>
      <c r="M27" s="2"/>
      <c r="N27" s="19">
        <f t="shared" si="1"/>
        <v>-0.23219199021705908</v>
      </c>
      <c r="O27" s="11"/>
      <c r="P27" s="2">
        <f>--221.28</f>
        <v>221.28</v>
      </c>
      <c r="Q27" s="2"/>
      <c r="R27" s="19"/>
      <c r="S27" s="2"/>
      <c r="T27" s="2">
        <f>--245.9</f>
        <v>245.9</v>
      </c>
      <c r="U27" s="2"/>
      <c r="V27" s="19"/>
      <c r="W27" s="2"/>
      <c r="X27" s="2">
        <f t="shared" si="2"/>
        <v>-24.620000000000005</v>
      </c>
      <c r="Y27" s="2"/>
      <c r="Z27" s="19">
        <f t="shared" si="3"/>
        <v>-0.10012200081333877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--32.07</f>
        <v>32.07</v>
      </c>
      <c r="E28" s="2"/>
      <c r="F28" s="19"/>
      <c r="G28" s="2"/>
      <c r="H28" s="2">
        <f>--127.15</f>
        <v>127.15</v>
      </c>
      <c r="I28" s="2"/>
      <c r="J28" s="19"/>
      <c r="K28" s="2"/>
      <c r="L28" s="2">
        <f t="shared" si="0"/>
        <v>-95.080000000000013</v>
      </c>
      <c r="M28" s="2"/>
      <c r="N28" s="19">
        <f t="shared" si="1"/>
        <v>-0.74777821470703898</v>
      </c>
      <c r="O28" s="11"/>
      <c r="P28" s="2">
        <f>--53.42</f>
        <v>53.42</v>
      </c>
      <c r="Q28" s="2"/>
      <c r="R28" s="19"/>
      <c r="S28" s="2"/>
      <c r="T28" s="2">
        <f>--183.3</f>
        <v>183.3</v>
      </c>
      <c r="U28" s="2"/>
      <c r="V28" s="19"/>
      <c r="W28" s="2"/>
      <c r="X28" s="2">
        <f t="shared" si="2"/>
        <v>-129.88</v>
      </c>
      <c r="Y28" s="2"/>
      <c r="Z28" s="19">
        <f t="shared" si="3"/>
        <v>-0.70856519367157655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--44.43</f>
        <v>44.43</v>
      </c>
      <c r="E29" s="2"/>
      <c r="F29" s="19"/>
      <c r="G29" s="2"/>
      <c r="H29" s="2">
        <f>--43.82</f>
        <v>43.82</v>
      </c>
      <c r="I29" s="2"/>
      <c r="J29" s="19"/>
      <c r="K29" s="2"/>
      <c r="L29" s="2">
        <f t="shared" si="0"/>
        <v>0.60999999999999943</v>
      </c>
      <c r="M29" s="2"/>
      <c r="N29" s="19">
        <f t="shared" si="1"/>
        <v>1.3920584208124131E-2</v>
      </c>
      <c r="O29" s="11"/>
      <c r="P29" s="2">
        <f>--85.4</f>
        <v>85.4</v>
      </c>
      <c r="Q29" s="2"/>
      <c r="R29" s="19"/>
      <c r="S29" s="2"/>
      <c r="T29" s="2">
        <f>--73.67</f>
        <v>73.67</v>
      </c>
      <c r="U29" s="2"/>
      <c r="V29" s="19"/>
      <c r="W29" s="2"/>
      <c r="X29" s="2">
        <f t="shared" si="2"/>
        <v>11.730000000000004</v>
      </c>
      <c r="Y29" s="2"/>
      <c r="Z29" s="19">
        <f t="shared" si="3"/>
        <v>0.1592235645445908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--1854.69</f>
        <v>1854.69</v>
      </c>
      <c r="E30" s="2"/>
      <c r="F30" s="19"/>
      <c r="G30" s="2"/>
      <c r="H30" s="2">
        <f>--1612.65</f>
        <v>1612.65</v>
      </c>
      <c r="I30" s="2"/>
      <c r="J30" s="19"/>
      <c r="K30" s="2"/>
      <c r="L30" s="2">
        <f t="shared" si="0"/>
        <v>242.03999999999996</v>
      </c>
      <c r="M30" s="2"/>
      <c r="N30" s="19">
        <f t="shared" si="1"/>
        <v>0.15008836387312804</v>
      </c>
      <c r="O30" s="11"/>
      <c r="P30" s="2">
        <f>--3714.24</f>
        <v>3714.24</v>
      </c>
      <c r="Q30" s="2"/>
      <c r="R30" s="19"/>
      <c r="S30" s="2"/>
      <c r="T30" s="2">
        <f>--3018.46</f>
        <v>3018.46</v>
      </c>
      <c r="U30" s="2"/>
      <c r="V30" s="19"/>
      <c r="W30" s="2"/>
      <c r="X30" s="2">
        <f t="shared" si="2"/>
        <v>695.77999999999975</v>
      </c>
      <c r="Y30" s="2"/>
      <c r="Z30" s="19">
        <f t="shared" si="3"/>
        <v>0.23050827243031205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--425.93</f>
        <v>425.93</v>
      </c>
      <c r="E31" s="2"/>
      <c r="F31" s="19"/>
      <c r="G31" s="2"/>
      <c r="H31" s="2">
        <f>--517.17</f>
        <v>517.16999999999996</v>
      </c>
      <c r="I31" s="2"/>
      <c r="J31" s="19"/>
      <c r="K31" s="2"/>
      <c r="L31" s="2">
        <f t="shared" si="0"/>
        <v>-91.239999999999952</v>
      </c>
      <c r="M31" s="2"/>
      <c r="N31" s="19">
        <f t="shared" si="1"/>
        <v>-0.17642167952510773</v>
      </c>
      <c r="O31" s="11"/>
      <c r="P31" s="2">
        <f>--864.36</f>
        <v>864.36</v>
      </c>
      <c r="Q31" s="2"/>
      <c r="R31" s="19"/>
      <c r="S31" s="2"/>
      <c r="T31" s="2">
        <f>--1144.01</f>
        <v>1144.01</v>
      </c>
      <c r="U31" s="2"/>
      <c r="V31" s="19"/>
      <c r="W31" s="2"/>
      <c r="X31" s="2">
        <f t="shared" si="2"/>
        <v>-279.64999999999998</v>
      </c>
      <c r="Y31" s="2"/>
      <c r="Z31" s="19">
        <f t="shared" si="3"/>
        <v>-0.24444716392339225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--128.42</f>
        <v>128.41999999999999</v>
      </c>
      <c r="E32" s="2"/>
      <c r="F32" s="19"/>
      <c r="G32" s="2"/>
      <c r="H32" s="2">
        <f>--145.84</f>
        <v>145.84</v>
      </c>
      <c r="I32" s="2"/>
      <c r="J32" s="19"/>
      <c r="K32" s="2"/>
      <c r="L32" s="2">
        <f t="shared" si="0"/>
        <v>-17.420000000000016</v>
      </c>
      <c r="M32" s="2"/>
      <c r="N32" s="19">
        <f t="shared" si="1"/>
        <v>-0.11944596818431168</v>
      </c>
      <c r="O32" s="11"/>
      <c r="P32" s="2">
        <f>--302.57</f>
        <v>302.57</v>
      </c>
      <c r="Q32" s="2"/>
      <c r="R32" s="19"/>
      <c r="S32" s="2"/>
      <c r="T32" s="2">
        <f>--303.08</f>
        <v>303.08</v>
      </c>
      <c r="U32" s="2"/>
      <c r="V32" s="19"/>
      <c r="W32" s="2"/>
      <c r="X32" s="2">
        <f t="shared" si="2"/>
        <v>-0.50999999999999091</v>
      </c>
      <c r="Y32" s="2"/>
      <c r="Z32" s="19">
        <f t="shared" si="3"/>
        <v>-1.6827240332585158E-3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--215340.93</f>
        <v>215340.93</v>
      </c>
      <c r="E33" s="2"/>
      <c r="F33" s="19"/>
      <c r="G33" s="2"/>
      <c r="H33" s="2">
        <f>--174982.98</f>
        <v>174982.98</v>
      </c>
      <c r="I33" s="2"/>
      <c r="J33" s="19"/>
      <c r="K33" s="2"/>
      <c r="L33" s="2">
        <f t="shared" si="0"/>
        <v>40357.949999999983</v>
      </c>
      <c r="M33" s="2"/>
      <c r="N33" s="19">
        <f t="shared" si="1"/>
        <v>0.23063928846108336</v>
      </c>
      <c r="O33" s="11"/>
      <c r="P33" s="2">
        <f>--848240.45</f>
        <v>848240.45</v>
      </c>
      <c r="Q33" s="2"/>
      <c r="R33" s="19"/>
      <c r="S33" s="2"/>
      <c r="T33" s="2">
        <f>--718140.33</f>
        <v>718140.33</v>
      </c>
      <c r="U33" s="2"/>
      <c r="V33" s="19"/>
      <c r="W33" s="2"/>
      <c r="X33" s="2">
        <f t="shared" si="2"/>
        <v>130100.12</v>
      </c>
      <c r="Y33" s="2"/>
      <c r="Z33" s="19">
        <f t="shared" si="3"/>
        <v>0.18116253128410154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--27181.29</f>
        <v>27181.29</v>
      </c>
      <c r="E34" s="2"/>
      <c r="F34" s="19"/>
      <c r="G34" s="2"/>
      <c r="H34" s="2">
        <f>--30072.27</f>
        <v>30072.27</v>
      </c>
      <c r="I34" s="2"/>
      <c r="J34" s="19"/>
      <c r="K34" s="2"/>
      <c r="L34" s="2">
        <f t="shared" si="0"/>
        <v>-2890.9799999999996</v>
      </c>
      <c r="M34" s="2"/>
      <c r="N34" s="19">
        <f t="shared" si="1"/>
        <v>-9.6134412201007755E-2</v>
      </c>
      <c r="O34" s="11"/>
      <c r="P34" s="2">
        <f>--228813.9</f>
        <v>228813.9</v>
      </c>
      <c r="Q34" s="2"/>
      <c r="R34" s="19"/>
      <c r="S34" s="2"/>
      <c r="T34" s="2">
        <f>--237024.53</f>
        <v>237024.53</v>
      </c>
      <c r="U34" s="2"/>
      <c r="V34" s="19"/>
      <c r="W34" s="2"/>
      <c r="X34" s="2">
        <f t="shared" si="2"/>
        <v>-8210.6300000000047</v>
      </c>
      <c r="Y34" s="2"/>
      <c r="Z34" s="19">
        <f t="shared" si="3"/>
        <v>-3.4640423081948542E-2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--29192.1</f>
        <v>29192.1</v>
      </c>
      <c r="E35" s="2"/>
      <c r="F35" s="19"/>
      <c r="G35" s="2"/>
      <c r="H35" s="2">
        <f>--28016.78</f>
        <v>28016.78</v>
      </c>
      <c r="I35" s="2"/>
      <c r="J35" s="19"/>
      <c r="K35" s="2"/>
      <c r="L35" s="2">
        <f t="shared" si="0"/>
        <v>1175.3199999999997</v>
      </c>
      <c r="M35" s="2"/>
      <c r="N35" s="19">
        <f t="shared" si="1"/>
        <v>4.1950573906066282E-2</v>
      </c>
      <c r="O35" s="11"/>
      <c r="P35" s="2">
        <f>--124310.37</f>
        <v>124310.37</v>
      </c>
      <c r="Q35" s="2"/>
      <c r="R35" s="19"/>
      <c r="S35" s="2"/>
      <c r="T35" s="2">
        <f>--100527.24</f>
        <v>100527.24</v>
      </c>
      <c r="U35" s="2"/>
      <c r="V35" s="19"/>
      <c r="W35" s="2"/>
      <c r="X35" s="2">
        <f t="shared" si="2"/>
        <v>23783.12999999999</v>
      </c>
      <c r="Y35" s="2"/>
      <c r="Z35" s="19">
        <f t="shared" si="3"/>
        <v>0.23658393486183435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--63.04</f>
        <v>63.04</v>
      </c>
      <c r="E36" s="2"/>
      <c r="F36" s="19"/>
      <c r="G36" s="2"/>
      <c r="H36" s="2">
        <f>--581.91</f>
        <v>581.91</v>
      </c>
      <c r="I36" s="2"/>
      <c r="J36" s="19"/>
      <c r="K36" s="2"/>
      <c r="L36" s="2">
        <f t="shared" si="0"/>
        <v>-518.87</v>
      </c>
      <c r="M36" s="2"/>
      <c r="N36" s="19">
        <f t="shared" si="1"/>
        <v>-0.89166709628636731</v>
      </c>
      <c r="O36" s="11"/>
      <c r="P36" s="2">
        <f>--520.85</f>
        <v>520.85</v>
      </c>
      <c r="Q36" s="2"/>
      <c r="R36" s="19"/>
      <c r="S36" s="2"/>
      <c r="T36" s="2">
        <f>--1397.81</f>
        <v>1397.81</v>
      </c>
      <c r="U36" s="2"/>
      <c r="V36" s="19"/>
      <c r="W36" s="2"/>
      <c r="X36" s="2">
        <f t="shared" si="2"/>
        <v>-876.95999999999992</v>
      </c>
      <c r="Y36" s="2"/>
      <c r="Z36" s="19">
        <f t="shared" si="3"/>
        <v>-0.62738140376732165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--4838.74</f>
        <v>4838.74</v>
      </c>
      <c r="E37" s="2"/>
      <c r="F37" s="19"/>
      <c r="G37" s="2"/>
      <c r="H37" s="2">
        <f>--4689.55</f>
        <v>4689.55</v>
      </c>
      <c r="I37" s="2"/>
      <c r="J37" s="19"/>
      <c r="K37" s="2"/>
      <c r="L37" s="2">
        <f t="shared" si="0"/>
        <v>149.1899999999996</v>
      </c>
      <c r="M37" s="2"/>
      <c r="N37" s="19">
        <f t="shared" si="1"/>
        <v>3.1813286989156656E-2</v>
      </c>
      <c r="O37" s="11"/>
      <c r="P37" s="2">
        <f>--33067.15</f>
        <v>33067.15</v>
      </c>
      <c r="Q37" s="2"/>
      <c r="R37" s="19"/>
      <c r="S37" s="2"/>
      <c r="T37" s="2">
        <f>--35499.98</f>
        <v>35499.980000000003</v>
      </c>
      <c r="U37" s="2"/>
      <c r="V37" s="19"/>
      <c r="W37" s="2"/>
      <c r="X37" s="2">
        <f t="shared" si="2"/>
        <v>-2432.8300000000017</v>
      </c>
      <c r="Y37" s="2"/>
      <c r="Z37" s="19">
        <f t="shared" si="3"/>
        <v>-6.853046114392182E-2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--4525.99</f>
        <v>4525.99</v>
      </c>
      <c r="E38" s="2"/>
      <c r="F38" s="19"/>
      <c r="G38" s="2"/>
      <c r="H38" s="2">
        <f>--9608.62</f>
        <v>9608.6200000000008</v>
      </c>
      <c r="I38" s="2"/>
      <c r="J38" s="19"/>
      <c r="K38" s="2"/>
      <c r="L38" s="2">
        <f t="shared" si="0"/>
        <v>-5082.630000000001</v>
      </c>
      <c r="M38" s="2"/>
      <c r="N38" s="19">
        <f t="shared" si="1"/>
        <v>-0.52896565791965966</v>
      </c>
      <c r="O38" s="11"/>
      <c r="P38" s="2">
        <f>--35853.1</f>
        <v>35853.1</v>
      </c>
      <c r="Q38" s="2"/>
      <c r="R38" s="19"/>
      <c r="S38" s="2"/>
      <c r="T38" s="2">
        <f>--58195.46</f>
        <v>58195.46</v>
      </c>
      <c r="U38" s="2"/>
      <c r="V38" s="19"/>
      <c r="W38" s="2"/>
      <c r="X38" s="2">
        <f t="shared" si="2"/>
        <v>-22342.36</v>
      </c>
      <c r="Y38" s="2"/>
      <c r="Z38" s="19">
        <f t="shared" si="3"/>
        <v>-0.38391929542270137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--402.65</f>
        <v>402.65</v>
      </c>
      <c r="E39" s="2"/>
      <c r="F39" s="19"/>
      <c r="G39" s="2"/>
      <c r="H39" s="2">
        <f>--532.34</f>
        <v>532.34</v>
      </c>
      <c r="I39" s="2"/>
      <c r="J39" s="19"/>
      <c r="K39" s="2"/>
      <c r="L39" s="2">
        <f t="shared" si="0"/>
        <v>-129.69000000000005</v>
      </c>
      <c r="M39" s="2"/>
      <c r="N39" s="19">
        <f t="shared" si="1"/>
        <v>-0.24362249690047721</v>
      </c>
      <c r="O39" s="11"/>
      <c r="P39" s="2">
        <f>--1374</f>
        <v>1374</v>
      </c>
      <c r="Q39" s="2"/>
      <c r="R39" s="19"/>
      <c r="S39" s="2"/>
      <c r="T39" s="2">
        <f>--1181.85</f>
        <v>1181.8499999999999</v>
      </c>
      <c r="U39" s="2"/>
      <c r="V39" s="19"/>
      <c r="W39" s="2"/>
      <c r="X39" s="2">
        <f t="shared" si="2"/>
        <v>192.15000000000009</v>
      </c>
      <c r="Y39" s="2"/>
      <c r="Z39" s="19">
        <f t="shared" si="3"/>
        <v>0.16258408427465423</v>
      </c>
    </row>
    <row r="40" spans="1:26" s="24" customFormat="1" hidden="1" outlineLevel="1" x14ac:dyDescent="0.25">
      <c r="A40" s="44"/>
      <c r="B40" s="11" t="str">
        <f>CONCATENATE("          ", "4081", " - ", "TAXABLE SALES-ELECTRONICS")</f>
        <v xml:space="preserve">          4081 - TAXABLE SALES-ELECTRONICS</v>
      </c>
      <c r="C40" s="11"/>
      <c r="D40" s="2">
        <f>--873.49</f>
        <v>873.49</v>
      </c>
      <c r="E40" s="2"/>
      <c r="F40" s="19"/>
      <c r="G40" s="2"/>
      <c r="H40" s="2">
        <f>--991.34</f>
        <v>991.34</v>
      </c>
      <c r="I40" s="2"/>
      <c r="J40" s="19"/>
      <c r="K40" s="2"/>
      <c r="L40" s="2">
        <f t="shared" si="0"/>
        <v>-117.85000000000002</v>
      </c>
      <c r="M40" s="2"/>
      <c r="N40" s="19">
        <f t="shared" si="1"/>
        <v>-0.11887949643916317</v>
      </c>
      <c r="O40" s="11"/>
      <c r="P40" s="2">
        <f>--1792.91</f>
        <v>1792.91</v>
      </c>
      <c r="Q40" s="2"/>
      <c r="R40" s="19"/>
      <c r="S40" s="2"/>
      <c r="T40" s="2">
        <f>--2199.46</f>
        <v>2199.46</v>
      </c>
      <c r="U40" s="2"/>
      <c r="V40" s="19"/>
      <c r="W40" s="2"/>
      <c r="X40" s="2">
        <f t="shared" si="2"/>
        <v>-406.54999999999995</v>
      </c>
      <c r="Y40" s="2"/>
      <c r="Z40" s="19">
        <f t="shared" si="3"/>
        <v>-0.18484082456602982</v>
      </c>
    </row>
    <row r="41" spans="1:26" s="24" customFormat="1" hidden="1" outlineLevel="1" x14ac:dyDescent="0.25">
      <c r="A41" s="44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0</f>
        <v>0</v>
      </c>
      <c r="E41" s="2"/>
      <c r="F41" s="19"/>
      <c r="G41" s="2"/>
      <c r="H41" s="2">
        <f>--173</f>
        <v>173</v>
      </c>
      <c r="I41" s="2"/>
      <c r="J41" s="19"/>
      <c r="K41" s="2"/>
      <c r="L41" s="2">
        <f t="shared" si="0"/>
        <v>-173</v>
      </c>
      <c r="M41" s="2"/>
      <c r="N41" s="19">
        <f t="shared" si="1"/>
        <v>-1</v>
      </c>
      <c r="O41" s="11"/>
      <c r="P41" s="2">
        <f>--162</f>
        <v>162</v>
      </c>
      <c r="Q41" s="2"/>
      <c r="R41" s="19"/>
      <c r="S41" s="2"/>
      <c r="T41" s="2">
        <f>--308</f>
        <v>308</v>
      </c>
      <c r="U41" s="2"/>
      <c r="V41" s="19"/>
      <c r="W41" s="2"/>
      <c r="X41" s="2">
        <f t="shared" si="2"/>
        <v>-146</v>
      </c>
      <c r="Y41" s="2"/>
      <c r="Z41" s="19">
        <f t="shared" si="3"/>
        <v>-0.47402597402597402</v>
      </c>
    </row>
    <row r="42" spans="1:26" s="24" customFormat="1" hidden="1" outlineLevel="1" x14ac:dyDescent="0.25">
      <c r="A42" s="44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>--129.89</f>
        <v>129.88999999999999</v>
      </c>
      <c r="E42" s="2"/>
      <c r="F42" s="19"/>
      <c r="G42" s="2"/>
      <c r="H42" s="2">
        <f>--249.81</f>
        <v>249.81</v>
      </c>
      <c r="I42" s="2"/>
      <c r="J42" s="19"/>
      <c r="K42" s="2"/>
      <c r="L42" s="2">
        <f t="shared" si="0"/>
        <v>-119.92000000000002</v>
      </c>
      <c r="M42" s="2"/>
      <c r="N42" s="19">
        <f t="shared" si="1"/>
        <v>-0.4800448340738962</v>
      </c>
      <c r="O42" s="11"/>
      <c r="P42" s="2">
        <f>--429.69</f>
        <v>429.69</v>
      </c>
      <c r="Q42" s="2"/>
      <c r="R42" s="19"/>
      <c r="S42" s="2"/>
      <c r="T42" s="2">
        <f>--639.49</f>
        <v>639.49</v>
      </c>
      <c r="U42" s="2"/>
      <c r="V42" s="19"/>
      <c r="W42" s="2"/>
      <c r="X42" s="2">
        <f t="shared" si="2"/>
        <v>-209.8</v>
      </c>
      <c r="Y42" s="2"/>
      <c r="Z42" s="19">
        <f t="shared" si="3"/>
        <v>-0.32807393391608941</v>
      </c>
    </row>
    <row r="43" spans="1:26" s="24" customFormat="1" hidden="1" outlineLevel="1" x14ac:dyDescent="0.25">
      <c r="A43" s="44"/>
      <c r="B43" s="11" t="str">
        <f>CONCATENATE("          ", "4086", " - ", "TAXABLE SALES-COMPUTER SUPPLIE")</f>
        <v xml:space="preserve">          4086 - TAXABLE SALES-COMPUTER SUPPLIE</v>
      </c>
      <c r="C43" s="11"/>
      <c r="D43" s="2">
        <f>--80.97</f>
        <v>80.97</v>
      </c>
      <c r="E43" s="2"/>
      <c r="F43" s="19"/>
      <c r="G43" s="2"/>
      <c r="H43" s="2">
        <f>--409.79</f>
        <v>409.79</v>
      </c>
      <c r="I43" s="2"/>
      <c r="J43" s="19"/>
      <c r="K43" s="2"/>
      <c r="L43" s="2">
        <f t="shared" si="0"/>
        <v>-328.82000000000005</v>
      </c>
      <c r="M43" s="2"/>
      <c r="N43" s="19">
        <f t="shared" si="1"/>
        <v>-0.80241099099538793</v>
      </c>
      <c r="O43" s="11"/>
      <c r="P43" s="2">
        <f>--534.79</f>
        <v>534.79</v>
      </c>
      <c r="Q43" s="2"/>
      <c r="R43" s="19"/>
      <c r="S43" s="2"/>
      <c r="T43" s="2">
        <f>--970.49</f>
        <v>970.49</v>
      </c>
      <c r="U43" s="2"/>
      <c r="V43" s="19"/>
      <c r="W43" s="2"/>
      <c r="X43" s="2">
        <f t="shared" si="2"/>
        <v>-435.70000000000005</v>
      </c>
      <c r="Y43" s="2"/>
      <c r="Z43" s="19">
        <f t="shared" si="3"/>
        <v>-0.44894846932992616</v>
      </c>
    </row>
    <row r="44" spans="1:26" s="24" customFormat="1" hidden="1" outlineLevel="1" x14ac:dyDescent="0.25">
      <c r="A44" s="44"/>
      <c r="B44" s="11" t="str">
        <f>CONCATENATE("          ", "4092", " - ", "TAXABLE SALES-GRAD MERCH")</f>
        <v xml:space="preserve">          4092 - TAXABLE SALES-GRAD MERCH</v>
      </c>
      <c r="C44" s="11"/>
      <c r="D44" s="2">
        <f>--1178.45</f>
        <v>1178.45</v>
      </c>
      <c r="E44" s="2"/>
      <c r="F44" s="19"/>
      <c r="G44" s="2"/>
      <c r="H44" s="2">
        <f>--300.95</f>
        <v>300.95</v>
      </c>
      <c r="I44" s="2"/>
      <c r="J44" s="19"/>
      <c r="K44" s="2"/>
      <c r="L44" s="2">
        <f t="shared" si="0"/>
        <v>877.5</v>
      </c>
      <c r="M44" s="2"/>
      <c r="N44" s="19">
        <f t="shared" si="1"/>
        <v>2.9157667386609072</v>
      </c>
      <c r="O44" s="11"/>
      <c r="P44" s="2">
        <f>--5051.08</f>
        <v>5051.08</v>
      </c>
      <c r="Q44" s="2"/>
      <c r="R44" s="19"/>
      <c r="S44" s="2"/>
      <c r="T44" s="2">
        <f>--4367.25</f>
        <v>4367.25</v>
      </c>
      <c r="U44" s="2"/>
      <c r="V44" s="19"/>
      <c r="W44" s="2"/>
      <c r="X44" s="2">
        <f t="shared" si="2"/>
        <v>683.82999999999993</v>
      </c>
      <c r="Y44" s="2"/>
      <c r="Z44" s="19">
        <f t="shared" si="3"/>
        <v>0.15658137271738506</v>
      </c>
    </row>
    <row r="45" spans="1:26" s="24" customFormat="1" hidden="1" outlineLevel="1" x14ac:dyDescent="0.25">
      <c r="A45" s="44"/>
      <c r="B45" s="11" t="str">
        <f>CONCATENATE("          ", "4095", " - ", "TAXABLE SALES-CUSTOMER SERVICE")</f>
        <v xml:space="preserve">          4095 - TAXABLE SALES-CUSTOMER SERVICE</v>
      </c>
      <c r="C45" s="11"/>
      <c r="D45" s="2">
        <f>--43.76</f>
        <v>43.76</v>
      </c>
      <c r="E45" s="2"/>
      <c r="F45" s="19"/>
      <c r="G45" s="2"/>
      <c r="H45" s="2">
        <f>--478.17</f>
        <v>478.17</v>
      </c>
      <c r="I45" s="2"/>
      <c r="J45" s="19"/>
      <c r="K45" s="2"/>
      <c r="L45" s="2">
        <f t="shared" si="0"/>
        <v>-434.41</v>
      </c>
      <c r="M45" s="2"/>
      <c r="N45" s="19">
        <f t="shared" si="1"/>
        <v>-0.90848443022356073</v>
      </c>
      <c r="O45" s="11"/>
      <c r="P45" s="2">
        <f>--244.61</f>
        <v>244.61</v>
      </c>
      <c r="Q45" s="2"/>
      <c r="R45" s="19"/>
      <c r="S45" s="2"/>
      <c r="T45" s="2">
        <f>--1098.94</f>
        <v>1098.94</v>
      </c>
      <c r="U45" s="2"/>
      <c r="V45" s="19"/>
      <c r="W45" s="2"/>
      <c r="X45" s="2">
        <f t="shared" si="2"/>
        <v>-854.33</v>
      </c>
      <c r="Y45" s="2"/>
      <c r="Z45" s="19">
        <f t="shared" si="3"/>
        <v>-0.77741277958760258</v>
      </c>
    </row>
    <row r="46" spans="1:26" s="24" customFormat="1" hidden="1" outlineLevel="1" x14ac:dyDescent="0.25">
      <c r="A46" s="44"/>
      <c r="B46" s="11" t="str">
        <f>CONCATENATE("          ", "4100", " - ", "NON-TAXABLE SALES")</f>
        <v xml:space="preserve">          4100 - NON-TAXABLE SALES</v>
      </c>
      <c r="C46" s="11"/>
      <c r="D46" s="2">
        <f>--3713.9</f>
        <v>3713.9</v>
      </c>
      <c r="E46" s="2"/>
      <c r="F46" s="19"/>
      <c r="G46" s="2"/>
      <c r="H46" s="2">
        <f>--4821.88</f>
        <v>4821.88</v>
      </c>
      <c r="I46" s="2"/>
      <c r="J46" s="19"/>
      <c r="K46" s="2"/>
      <c r="L46" s="2">
        <f t="shared" si="0"/>
        <v>-1107.98</v>
      </c>
      <c r="M46" s="2"/>
      <c r="N46" s="19">
        <f t="shared" si="1"/>
        <v>-0.22978174487959052</v>
      </c>
      <c r="O46" s="11"/>
      <c r="P46" s="2">
        <f>--335381.67</f>
        <v>335381.67</v>
      </c>
      <c r="Q46" s="2"/>
      <c r="R46" s="19"/>
      <c r="S46" s="2"/>
      <c r="T46" s="2">
        <f>--390310.29</f>
        <v>390310.29</v>
      </c>
      <c r="U46" s="2"/>
      <c r="V46" s="19"/>
      <c r="W46" s="2"/>
      <c r="X46" s="2">
        <f t="shared" si="2"/>
        <v>-54928.619999999995</v>
      </c>
      <c r="Y46" s="2"/>
      <c r="Z46" s="19">
        <f t="shared" si="3"/>
        <v>-0.14073064791604648</v>
      </c>
    </row>
    <row r="47" spans="1:26" s="24" customFormat="1" hidden="1" outlineLevel="1" x14ac:dyDescent="0.25">
      <c r="A47" s="44"/>
      <c r="B47" s="11" t="str">
        <f>CONCATENATE("          ", "4101", " - ", "NON-TAXABLE SALES-NEW TEXT")</f>
        <v xml:space="preserve">          4101 - NON-TAXABLE SALES-NEW TEXT</v>
      </c>
      <c r="C47" s="11"/>
      <c r="D47" s="2">
        <f>--8438.54</f>
        <v>8438.5400000000009</v>
      </c>
      <c r="E47" s="2"/>
      <c r="F47" s="19"/>
      <c r="G47" s="2"/>
      <c r="H47" s="2">
        <f>--6989.58</f>
        <v>6989.58</v>
      </c>
      <c r="I47" s="2"/>
      <c r="J47" s="19"/>
      <c r="K47" s="2"/>
      <c r="L47" s="2">
        <f t="shared" si="0"/>
        <v>1448.9600000000009</v>
      </c>
      <c r="M47" s="2"/>
      <c r="N47" s="19">
        <f t="shared" si="1"/>
        <v>0.20730287084488638</v>
      </c>
      <c r="O47" s="11"/>
      <c r="P47" s="2">
        <f>--92331.09</f>
        <v>92331.09</v>
      </c>
      <c r="Q47" s="2"/>
      <c r="R47" s="19"/>
      <c r="S47" s="2"/>
      <c r="T47" s="2">
        <f>--148009.28</f>
        <v>148009.28</v>
      </c>
      <c r="U47" s="2"/>
      <c r="V47" s="19"/>
      <c r="W47" s="2"/>
      <c r="X47" s="2">
        <f t="shared" si="2"/>
        <v>-55678.19</v>
      </c>
      <c r="Y47" s="2"/>
      <c r="Z47" s="19">
        <f t="shared" si="3"/>
        <v>-0.37618039895876804</v>
      </c>
    </row>
    <row r="48" spans="1:26" s="24" customFormat="1" hidden="1" outlineLevel="1" x14ac:dyDescent="0.25">
      <c r="A48" s="44"/>
      <c r="B48" s="11" t="str">
        <f>CONCATENATE("          ", "4102", " - ", "NON-TAXABLE SALES-USED TEXT")</f>
        <v xml:space="preserve">          4102 - NON-TAXABLE SALES-USED TEXT</v>
      </c>
      <c r="C48" s="11"/>
      <c r="D48" s="2">
        <f>--578.81</f>
        <v>578.80999999999995</v>
      </c>
      <c r="E48" s="2"/>
      <c r="F48" s="19"/>
      <c r="G48" s="2"/>
      <c r="H48" s="2">
        <f>--1243.24</f>
        <v>1243.24</v>
      </c>
      <c r="I48" s="2"/>
      <c r="J48" s="19"/>
      <c r="K48" s="2"/>
      <c r="L48" s="2">
        <f t="shared" si="0"/>
        <v>-664.43000000000006</v>
      </c>
      <c r="M48" s="2"/>
      <c r="N48" s="19">
        <f t="shared" si="1"/>
        <v>-0.53443422026318332</v>
      </c>
      <c r="O48" s="11"/>
      <c r="P48" s="2">
        <f>--37022.32</f>
        <v>37022.32</v>
      </c>
      <c r="Q48" s="2"/>
      <c r="R48" s="19"/>
      <c r="S48" s="2"/>
      <c r="T48" s="2">
        <f>--50495.17</f>
        <v>50495.17</v>
      </c>
      <c r="U48" s="2"/>
      <c r="V48" s="19"/>
      <c r="W48" s="2"/>
      <c r="X48" s="2">
        <f t="shared" si="2"/>
        <v>-13472.849999999999</v>
      </c>
      <c r="Y48" s="2"/>
      <c r="Z48" s="19">
        <f t="shared" si="3"/>
        <v>-0.26681462801293665</v>
      </c>
    </row>
    <row r="49" spans="1:26" s="24" customFormat="1" hidden="1" outlineLevel="1" x14ac:dyDescent="0.25">
      <c r="A49" s="44"/>
      <c r="B49" s="11" t="str">
        <f>CONCATENATE("          ", "4103", " - ", "NON-TAXABLE SALES-RENTAL TEXT")</f>
        <v xml:space="preserve">          4103 - NON-TAXABLE SALES-RENTAL TEXT</v>
      </c>
      <c r="C49" s="11"/>
      <c r="D49" s="2">
        <f>0</f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--329.98</f>
        <v>329.98</v>
      </c>
      <c r="Q49" s="2"/>
      <c r="R49" s="19"/>
      <c r="S49" s="2"/>
      <c r="T49" s="2">
        <f>--509.85</f>
        <v>509.85</v>
      </c>
      <c r="U49" s="2"/>
      <c r="V49" s="19"/>
      <c r="W49" s="2"/>
      <c r="X49" s="2">
        <f t="shared" si="2"/>
        <v>-179.87</v>
      </c>
      <c r="Y49" s="2"/>
      <c r="Z49" s="19">
        <f t="shared" si="3"/>
        <v>-0.35279003628518191</v>
      </c>
    </row>
    <row r="50" spans="1:26" s="24" customFormat="1" hidden="1" outlineLevel="1" x14ac:dyDescent="0.25">
      <c r="A50" s="44"/>
      <c r="B50" s="11" t="str">
        <f>CONCATENATE("          ", "4104", " - ", "NON-TAXABLE SALES-DIGITAL TEXT")</f>
        <v xml:space="preserve">          4104 - NON-TAXABLE SALES-DIGITAL TEXT</v>
      </c>
      <c r="C50" s="11"/>
      <c r="D50" s="2">
        <f>--1559.03</f>
        <v>1559.03</v>
      </c>
      <c r="E50" s="2"/>
      <c r="F50" s="19"/>
      <c r="G50" s="2"/>
      <c r="H50" s="2">
        <f>--2584.6</f>
        <v>2584.6</v>
      </c>
      <c r="I50" s="2"/>
      <c r="J50" s="19"/>
      <c r="K50" s="2"/>
      <c r="L50" s="2">
        <f t="shared" si="0"/>
        <v>-1025.57</v>
      </c>
      <c r="M50" s="2"/>
      <c r="N50" s="19">
        <f t="shared" si="1"/>
        <v>-0.39680027857308675</v>
      </c>
      <c r="O50" s="11"/>
      <c r="P50" s="2">
        <f>--320492.85</f>
        <v>320492.84999999998</v>
      </c>
      <c r="Q50" s="2"/>
      <c r="R50" s="19"/>
      <c r="S50" s="2"/>
      <c r="T50" s="2">
        <f>--337326.13</f>
        <v>337326.13</v>
      </c>
      <c r="U50" s="2"/>
      <c r="V50" s="19"/>
      <c r="W50" s="2"/>
      <c r="X50" s="2">
        <f t="shared" si="2"/>
        <v>-16833.280000000028</v>
      </c>
      <c r="Y50" s="2"/>
      <c r="Z50" s="19">
        <f t="shared" si="3"/>
        <v>-4.9902093265054882E-2</v>
      </c>
    </row>
    <row r="51" spans="1:26" s="24" customFormat="1" hidden="1" outlineLevel="1" x14ac:dyDescent="0.25">
      <c r="A51" s="44"/>
      <c r="B51" s="11" t="str">
        <f>CONCATENATE("          ", "4111", " - ", "NON-TAXABLE SALES-NO VALUE TEX")</f>
        <v xml:space="preserve">          4111 - NON-TAXABLE SALES-NO VALUE TEX</v>
      </c>
      <c r="C51" s="11"/>
      <c r="D51" s="2">
        <f>--757.3</f>
        <v>757.3</v>
      </c>
      <c r="E51" s="2"/>
      <c r="F51" s="19"/>
      <c r="G51" s="2"/>
      <c r="H51" s="2">
        <f>--1124.17</f>
        <v>1124.17</v>
      </c>
      <c r="I51" s="2"/>
      <c r="J51" s="19"/>
      <c r="K51" s="2"/>
      <c r="L51" s="2">
        <f t="shared" si="0"/>
        <v>-366.87000000000012</v>
      </c>
      <c r="M51" s="2"/>
      <c r="N51" s="19">
        <f t="shared" si="1"/>
        <v>-0.32634743855466708</v>
      </c>
      <c r="O51" s="11"/>
      <c r="P51" s="2">
        <f>--7099.47</f>
        <v>7099.47</v>
      </c>
      <c r="Q51" s="2"/>
      <c r="R51" s="19"/>
      <c r="S51" s="2"/>
      <c r="T51" s="2">
        <f>--9713.91</f>
        <v>9713.91</v>
      </c>
      <c r="U51" s="2"/>
      <c r="V51" s="19"/>
      <c r="W51" s="2"/>
      <c r="X51" s="2">
        <f t="shared" si="2"/>
        <v>-2614.4399999999996</v>
      </c>
      <c r="Y51" s="2"/>
      <c r="Z51" s="19">
        <f t="shared" si="3"/>
        <v>-0.26914393894940347</v>
      </c>
    </row>
    <row r="52" spans="1:26" s="24" customFormat="1" hidden="1" outlineLevel="1" x14ac:dyDescent="0.25">
      <c r="A52" s="44"/>
      <c r="B52" s="11" t="str">
        <f>CONCATENATE("          ", "4113", " - ", "NON-TAXABLE SALES-TRADE BOOKS")</f>
        <v xml:space="preserve">          4113 - NON-TAXABLE SALES-TRADE BOOKS</v>
      </c>
      <c r="C52" s="11"/>
      <c r="D52" s="2">
        <f t="shared" ref="D52:D54" si="4">0</f>
        <v>0</v>
      </c>
      <c r="E52" s="2"/>
      <c r="F52" s="19"/>
      <c r="G52" s="2"/>
      <c r="H52" s="2">
        <f t="shared" ref="H52:H54" si="5"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--1146.72</f>
        <v>1146.72</v>
      </c>
      <c r="Q52" s="2"/>
      <c r="R52" s="19"/>
      <c r="S52" s="2"/>
      <c r="T52" s="2">
        <f>--38.23</f>
        <v>38.229999999999997</v>
      </c>
      <c r="U52" s="2"/>
      <c r="V52" s="19"/>
      <c r="W52" s="2"/>
      <c r="X52" s="2">
        <f t="shared" si="2"/>
        <v>1108.49</v>
      </c>
      <c r="Y52" s="2"/>
      <c r="Z52" s="19">
        <f t="shared" si="3"/>
        <v>28.995291655767723</v>
      </c>
    </row>
    <row r="53" spans="1:26" s="24" customFormat="1" hidden="1" outlineLevel="1" x14ac:dyDescent="0.25">
      <c r="A53" s="44"/>
      <c r="B53" s="11" t="str">
        <f>CONCATENATE("          ", "4118", " - ", "NON-TAXABLE SALES-STUDY GUIDES")</f>
        <v xml:space="preserve">          4118 - NON-TAXABLE SALES-STUDY GUIDES</v>
      </c>
      <c r="C53" s="11"/>
      <c r="D53" s="2">
        <f t="shared" si="4"/>
        <v>0</v>
      </c>
      <c r="E53" s="2"/>
      <c r="F53" s="19"/>
      <c r="G53" s="2"/>
      <c r="H53" s="2">
        <f t="shared" si="5"/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--20.92</f>
        <v>20.92</v>
      </c>
      <c r="Q53" s="2"/>
      <c r="R53" s="19"/>
      <c r="S53" s="2"/>
      <c r="T53" s="2">
        <f>--111.41</f>
        <v>111.41</v>
      </c>
      <c r="U53" s="2"/>
      <c r="V53" s="19"/>
      <c r="W53" s="2"/>
      <c r="X53" s="2">
        <f t="shared" si="2"/>
        <v>-90.49</v>
      </c>
      <c r="Y53" s="2"/>
      <c r="Z53" s="19">
        <f t="shared" si="3"/>
        <v>-0.81222511444215062</v>
      </c>
    </row>
    <row r="54" spans="1:26" s="24" customFormat="1" hidden="1" outlineLevel="1" x14ac:dyDescent="0.25">
      <c r="A54" s="44"/>
      <c r="B54" s="11" t="str">
        <f>CONCATENATE("          ", "4125", " - ", "NON-TAXABLE SALES-TEST FORMS")</f>
        <v xml:space="preserve">          4125 - NON-TAXABLE SALES-TEST FORMS</v>
      </c>
      <c r="C54" s="11"/>
      <c r="D54" s="2">
        <f t="shared" si="4"/>
        <v>0</v>
      </c>
      <c r="E54" s="2"/>
      <c r="F54" s="19"/>
      <c r="G54" s="2"/>
      <c r="H54" s="2">
        <f t="shared" si="5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--124.18</f>
        <v>124.18</v>
      </c>
      <c r="Q54" s="2"/>
      <c r="R54" s="19"/>
      <c r="S54" s="2"/>
      <c r="T54" s="2">
        <f>--160.73</f>
        <v>160.72999999999999</v>
      </c>
      <c r="U54" s="2"/>
      <c r="V54" s="19"/>
      <c r="W54" s="2"/>
      <c r="X54" s="2">
        <f t="shared" si="2"/>
        <v>-36.549999999999983</v>
      </c>
      <c r="Y54" s="2"/>
      <c r="Z54" s="19">
        <f t="shared" si="3"/>
        <v>-0.22739998755677213</v>
      </c>
    </row>
    <row r="55" spans="1:26" s="24" customFormat="1" hidden="1" outlineLevel="1" x14ac:dyDescent="0.25">
      <c r="A55" s="44"/>
      <c r="B55" s="11" t="str">
        <f>CONCATENATE("          ", "4126", " - ", "NON-TAXABLE SALES-WRITING INST")</f>
        <v xml:space="preserve">          4126 - NON-TAXABLE SALES-WRITING INST</v>
      </c>
      <c r="C55" s="11"/>
      <c r="D55" s="2">
        <f>--115.27</f>
        <v>115.27</v>
      </c>
      <c r="E55" s="2"/>
      <c r="F55" s="19"/>
      <c r="G55" s="2"/>
      <c r="H55" s="2">
        <f>--96.42</f>
        <v>96.42</v>
      </c>
      <c r="I55" s="2"/>
      <c r="J55" s="19"/>
      <c r="K55" s="2"/>
      <c r="L55" s="2">
        <f t="shared" si="0"/>
        <v>18.849999999999994</v>
      </c>
      <c r="M55" s="2"/>
      <c r="N55" s="19">
        <f t="shared" si="1"/>
        <v>0.19549885915785101</v>
      </c>
      <c r="O55" s="11"/>
      <c r="P55" s="2">
        <f>--1458.53</f>
        <v>1458.53</v>
      </c>
      <c r="Q55" s="2"/>
      <c r="R55" s="19"/>
      <c r="S55" s="2"/>
      <c r="T55" s="2">
        <f>--1791.88</f>
        <v>1791.88</v>
      </c>
      <c r="U55" s="2"/>
      <c r="V55" s="19"/>
      <c r="W55" s="2"/>
      <c r="X55" s="2">
        <f t="shared" si="2"/>
        <v>-333.35000000000014</v>
      </c>
      <c r="Y55" s="2"/>
      <c r="Z55" s="19">
        <f t="shared" si="3"/>
        <v>-0.18603366296850243</v>
      </c>
    </row>
    <row r="56" spans="1:26" s="24" customFormat="1" hidden="1" outlineLevel="1" x14ac:dyDescent="0.25">
      <c r="A56" s="44"/>
      <c r="B56" s="11" t="str">
        <f>CONCATENATE("          ", "4127", " - ", "NON-TAXABLE SALES-SCHOOL SUPPL")</f>
        <v xml:space="preserve">          4127 - NON-TAXABLE SALES-SCHOOL SUPPL</v>
      </c>
      <c r="C56" s="11"/>
      <c r="D56" s="2">
        <f>--179.63</f>
        <v>179.63</v>
      </c>
      <c r="E56" s="2"/>
      <c r="F56" s="19"/>
      <c r="G56" s="2"/>
      <c r="H56" s="2">
        <f>--3738.84</f>
        <v>3738.84</v>
      </c>
      <c r="I56" s="2"/>
      <c r="J56" s="19"/>
      <c r="K56" s="2"/>
      <c r="L56" s="2">
        <f t="shared" si="0"/>
        <v>-3559.21</v>
      </c>
      <c r="M56" s="2"/>
      <c r="N56" s="19">
        <f t="shared" si="1"/>
        <v>-0.95195568679055531</v>
      </c>
      <c r="O56" s="11"/>
      <c r="P56" s="2">
        <f>--2597.12</f>
        <v>2597.12</v>
      </c>
      <c r="Q56" s="2"/>
      <c r="R56" s="19"/>
      <c r="S56" s="2"/>
      <c r="T56" s="2">
        <f>--6275.52</f>
        <v>6275.52</v>
      </c>
      <c r="U56" s="2"/>
      <c r="V56" s="19"/>
      <c r="W56" s="2"/>
      <c r="X56" s="2">
        <f t="shared" si="2"/>
        <v>-3678.4000000000005</v>
      </c>
      <c r="Y56" s="2"/>
      <c r="Z56" s="19">
        <f t="shared" si="3"/>
        <v>-0.58615062974861054</v>
      </c>
    </row>
    <row r="57" spans="1:26" s="24" customFormat="1" hidden="1" outlineLevel="1" x14ac:dyDescent="0.25">
      <c r="A57" s="44"/>
      <c r="B57" s="11" t="str">
        <f>CONCATENATE("          ", "4128", " - ", "NON-TAXABLE SALES-ART/TECH")</f>
        <v xml:space="preserve">          4128 - NON-TAXABLE SALES-ART/TECH</v>
      </c>
      <c r="C57" s="11"/>
      <c r="D57" s="2">
        <f>--85.82</f>
        <v>85.82</v>
      </c>
      <c r="E57" s="2"/>
      <c r="F57" s="19"/>
      <c r="G57" s="2"/>
      <c r="H57" s="2">
        <f>--61.65</f>
        <v>61.65</v>
      </c>
      <c r="I57" s="2"/>
      <c r="J57" s="19"/>
      <c r="K57" s="2"/>
      <c r="L57" s="2">
        <f t="shared" si="0"/>
        <v>24.169999999999995</v>
      </c>
      <c r="M57" s="2"/>
      <c r="N57" s="19">
        <f t="shared" si="1"/>
        <v>0.39205190592051897</v>
      </c>
      <c r="O57" s="11"/>
      <c r="P57" s="2">
        <f>--348.72</f>
        <v>348.72</v>
      </c>
      <c r="Q57" s="2"/>
      <c r="R57" s="19"/>
      <c r="S57" s="2"/>
      <c r="T57" s="2">
        <f>--624.21</f>
        <v>624.21</v>
      </c>
      <c r="U57" s="2"/>
      <c r="V57" s="19"/>
      <c r="W57" s="2"/>
      <c r="X57" s="2">
        <f t="shared" si="2"/>
        <v>-275.49</v>
      </c>
      <c r="Y57" s="2"/>
      <c r="Z57" s="19">
        <f t="shared" si="3"/>
        <v>-0.44134185610611815</v>
      </c>
    </row>
    <row r="58" spans="1:26" s="24" customFormat="1" hidden="1" outlineLevel="1" x14ac:dyDescent="0.25">
      <c r="A58" s="44"/>
      <c r="B58" s="11" t="str">
        <f>CONCATENATE("          ", "4131", " - ", "NON-TAXABLE SALES-FOOD")</f>
        <v xml:space="preserve">          4131 - NON-TAXABLE SALES-FOOD</v>
      </c>
      <c r="C58" s="11"/>
      <c r="D58" s="2">
        <f>--13457.13</f>
        <v>13457.13</v>
      </c>
      <c r="E58" s="2"/>
      <c r="F58" s="19"/>
      <c r="G58" s="2"/>
      <c r="H58" s="2">
        <f>--13610.6</f>
        <v>13610.6</v>
      </c>
      <c r="I58" s="2"/>
      <c r="J58" s="19"/>
      <c r="K58" s="2"/>
      <c r="L58" s="2">
        <f t="shared" si="0"/>
        <v>-153.47000000000116</v>
      </c>
      <c r="M58" s="2"/>
      <c r="N58" s="19">
        <f t="shared" si="1"/>
        <v>-1.127577035545833E-2</v>
      </c>
      <c r="O58" s="11"/>
      <c r="P58" s="2">
        <f>--26722.42</f>
        <v>26722.42</v>
      </c>
      <c r="Q58" s="2"/>
      <c r="R58" s="19"/>
      <c r="S58" s="2"/>
      <c r="T58" s="2">
        <f>--26794.17</f>
        <v>26794.17</v>
      </c>
      <c r="U58" s="2"/>
      <c r="V58" s="19"/>
      <c r="W58" s="2"/>
      <c r="X58" s="2">
        <f t="shared" si="2"/>
        <v>-71.75</v>
      </c>
      <c r="Y58" s="2"/>
      <c r="Z58" s="19">
        <f t="shared" si="3"/>
        <v>-2.6778213320285721E-3</v>
      </c>
    </row>
    <row r="59" spans="1:26" s="24" customFormat="1" hidden="1" outlineLevel="1" x14ac:dyDescent="0.25">
      <c r="A59" s="44"/>
      <c r="B59" s="11" t="str">
        <f>CONCATENATE("          ", "4132", " - ", "NON-TAXABLE SALES-JUICE")</f>
        <v xml:space="preserve">          4132 - NON-TAXABLE SALES-JUICE</v>
      </c>
      <c r="C59" s="11"/>
      <c r="D59" s="2">
        <f>--3958.43</f>
        <v>3958.43</v>
      </c>
      <c r="E59" s="2"/>
      <c r="F59" s="19"/>
      <c r="G59" s="2"/>
      <c r="H59" s="2">
        <f>--3458.58</f>
        <v>3458.58</v>
      </c>
      <c r="I59" s="2"/>
      <c r="J59" s="19"/>
      <c r="K59" s="2"/>
      <c r="L59" s="2">
        <f t="shared" si="0"/>
        <v>499.84999999999991</v>
      </c>
      <c r="M59" s="2"/>
      <c r="N59" s="19">
        <f t="shared" si="1"/>
        <v>0.14452463149616315</v>
      </c>
      <c r="O59" s="11"/>
      <c r="P59" s="2">
        <f>--7768.8</f>
        <v>7768.8</v>
      </c>
      <c r="Q59" s="2"/>
      <c r="R59" s="19"/>
      <c r="S59" s="2"/>
      <c r="T59" s="2">
        <f>--6841.08</f>
        <v>6841.08</v>
      </c>
      <c r="U59" s="2"/>
      <c r="V59" s="19"/>
      <c r="W59" s="2"/>
      <c r="X59" s="2">
        <f t="shared" si="2"/>
        <v>927.72000000000025</v>
      </c>
      <c r="Y59" s="2"/>
      <c r="Z59" s="19">
        <f t="shared" si="3"/>
        <v>0.13561016681576596</v>
      </c>
    </row>
    <row r="60" spans="1:26" s="24" customFormat="1" hidden="1" outlineLevel="1" x14ac:dyDescent="0.25">
      <c r="A60" s="44"/>
      <c r="B60" s="11" t="str">
        <f>CONCATENATE("          ", "4133", " - ", "NON-TAXABLE SALES-CANDY")</f>
        <v xml:space="preserve">          4133 - NON-TAXABLE SALES-CANDY</v>
      </c>
      <c r="C60" s="11"/>
      <c r="D60" s="2">
        <f>--3801.88</f>
        <v>3801.88</v>
      </c>
      <c r="E60" s="2"/>
      <c r="F60" s="19"/>
      <c r="G60" s="2"/>
      <c r="H60" s="2">
        <f>--3409.32</f>
        <v>3409.32</v>
      </c>
      <c r="I60" s="2"/>
      <c r="J60" s="19"/>
      <c r="K60" s="2"/>
      <c r="L60" s="2">
        <f t="shared" si="0"/>
        <v>392.55999999999995</v>
      </c>
      <c r="M60" s="2"/>
      <c r="N60" s="19">
        <f t="shared" si="1"/>
        <v>0.11514319571058156</v>
      </c>
      <c r="O60" s="11"/>
      <c r="P60" s="2">
        <f>--8466.86</f>
        <v>8466.86</v>
      </c>
      <c r="Q60" s="2"/>
      <c r="R60" s="19"/>
      <c r="S60" s="2"/>
      <c r="T60" s="2">
        <f>--7215.99</f>
        <v>7215.99</v>
      </c>
      <c r="U60" s="2"/>
      <c r="V60" s="19"/>
      <c r="W60" s="2"/>
      <c r="X60" s="2">
        <f t="shared" si="2"/>
        <v>1250.8700000000008</v>
      </c>
      <c r="Y60" s="2"/>
      <c r="Z60" s="19">
        <f t="shared" si="3"/>
        <v>0.17334696971586724</v>
      </c>
    </row>
    <row r="61" spans="1:26" s="24" customFormat="1" hidden="1" outlineLevel="1" x14ac:dyDescent="0.25">
      <c r="A61" s="44"/>
      <c r="B61" s="11" t="str">
        <f>CONCATENATE("          ", "4134", " - ", "NON-TAXABLE SALES-SODA")</f>
        <v xml:space="preserve">          4134 - NON-TAXABLE SALES-SODA</v>
      </c>
      <c r="C61" s="11"/>
      <c r="D61" s="2">
        <f>0</f>
        <v>0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0</f>
        <v>0</v>
      </c>
      <c r="Q61" s="2"/>
      <c r="R61" s="19"/>
      <c r="S61" s="2"/>
      <c r="T61" s="2">
        <f>--109.47</f>
        <v>109.47</v>
      </c>
      <c r="U61" s="2"/>
      <c r="V61" s="19"/>
      <c r="W61" s="2"/>
      <c r="X61" s="2">
        <f t="shared" si="2"/>
        <v>-109.47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"4135", " - ", "NON-TAXABLE SALES")</f>
        <v xml:space="preserve">          4135 - NON-TAXABLE SALES</v>
      </c>
      <c r="C62" s="11"/>
      <c r="D62" s="2">
        <f>--17.9</f>
        <v>17.899999999999999</v>
      </c>
      <c r="E62" s="2"/>
      <c r="F62" s="19"/>
      <c r="G62" s="2"/>
      <c r="H62" s="2">
        <f>--58.44</f>
        <v>58.44</v>
      </c>
      <c r="I62" s="2"/>
      <c r="J62" s="19"/>
      <c r="K62" s="2"/>
      <c r="L62" s="2">
        <f t="shared" si="0"/>
        <v>-40.54</v>
      </c>
      <c r="M62" s="2"/>
      <c r="N62" s="19">
        <f t="shared" si="1"/>
        <v>-0.69370294318959613</v>
      </c>
      <c r="O62" s="11"/>
      <c r="P62" s="2">
        <f>--103.96</f>
        <v>103.96</v>
      </c>
      <c r="Q62" s="2"/>
      <c r="R62" s="19"/>
      <c r="S62" s="2"/>
      <c r="T62" s="2">
        <f>--109.06</f>
        <v>109.06</v>
      </c>
      <c r="U62" s="2"/>
      <c r="V62" s="19"/>
      <c r="W62" s="2"/>
      <c r="X62" s="2">
        <f t="shared" si="2"/>
        <v>-5.1000000000000085</v>
      </c>
      <c r="Y62" s="2"/>
      <c r="Z62" s="19">
        <f t="shared" si="3"/>
        <v>-4.676324958738317E-2</v>
      </c>
    </row>
    <row r="63" spans="1:26" s="24" customFormat="1" hidden="1" outlineLevel="1" x14ac:dyDescent="0.25">
      <c r="A63" s="44"/>
      <c r="B63" s="11" t="str">
        <f>CONCATENATE("          ", "4137", " - ", "NON-TAXABLE SALES-WATER")</f>
        <v xml:space="preserve">          4137 - NON-TAXABLE SALES-WATER</v>
      </c>
      <c r="C63" s="11"/>
      <c r="D63" s="2">
        <f>--2024.43</f>
        <v>2024.43</v>
      </c>
      <c r="E63" s="2"/>
      <c r="F63" s="19"/>
      <c r="G63" s="2"/>
      <c r="H63" s="2">
        <f>--2014.68</f>
        <v>2014.68</v>
      </c>
      <c r="I63" s="2"/>
      <c r="J63" s="19"/>
      <c r="K63" s="2"/>
      <c r="L63" s="2">
        <f t="shared" si="0"/>
        <v>9.75</v>
      </c>
      <c r="M63" s="2"/>
      <c r="N63" s="19">
        <f t="shared" si="1"/>
        <v>4.8394782297933167E-3</v>
      </c>
      <c r="O63" s="11"/>
      <c r="P63" s="2">
        <f>--4265.3</f>
        <v>4265.3</v>
      </c>
      <c r="Q63" s="2"/>
      <c r="R63" s="19"/>
      <c r="S63" s="2"/>
      <c r="T63" s="2">
        <f>--3828.36</f>
        <v>3828.36</v>
      </c>
      <c r="U63" s="2"/>
      <c r="V63" s="19"/>
      <c r="W63" s="2"/>
      <c r="X63" s="2">
        <f t="shared" si="2"/>
        <v>436.94000000000005</v>
      </c>
      <c r="Y63" s="2"/>
      <c r="Z63" s="19">
        <f t="shared" si="3"/>
        <v>0.11413242223824302</v>
      </c>
    </row>
    <row r="64" spans="1:26" s="24" customFormat="1" hidden="1" outlineLevel="1" x14ac:dyDescent="0.25">
      <c r="A64" s="44"/>
      <c r="B64" s="11" t="str">
        <f>CONCATENATE("          ", "4140", " - ", "NON-TAXABLE SALES-LOGO CLOTHIN")</f>
        <v xml:space="preserve">          4140 - NON-TAXABLE SALES-LOGO CLOTHIN</v>
      </c>
      <c r="C64" s="11"/>
      <c r="D64" s="2">
        <f>--4377.82</f>
        <v>4377.82</v>
      </c>
      <c r="E64" s="2"/>
      <c r="F64" s="19"/>
      <c r="G64" s="2"/>
      <c r="H64" s="2">
        <f>--3652.71</f>
        <v>3652.71</v>
      </c>
      <c r="I64" s="2"/>
      <c r="J64" s="19"/>
      <c r="K64" s="2"/>
      <c r="L64" s="2">
        <f t="shared" si="0"/>
        <v>725.10999999999967</v>
      </c>
      <c r="M64" s="2"/>
      <c r="N64" s="19">
        <f t="shared" si="1"/>
        <v>0.19851288495391084</v>
      </c>
      <c r="O64" s="11"/>
      <c r="P64" s="2">
        <f>--12635.52</f>
        <v>12635.52</v>
      </c>
      <c r="Q64" s="2"/>
      <c r="R64" s="19"/>
      <c r="S64" s="2"/>
      <c r="T64" s="2">
        <f>--11557.01</f>
        <v>11557.01</v>
      </c>
      <c r="U64" s="2"/>
      <c r="V64" s="19"/>
      <c r="W64" s="2"/>
      <c r="X64" s="2">
        <f t="shared" si="2"/>
        <v>1078.5100000000002</v>
      </c>
      <c r="Y64" s="2"/>
      <c r="Z64" s="19">
        <f t="shared" si="3"/>
        <v>9.3320850289131896E-2</v>
      </c>
    </row>
    <row r="65" spans="1:26" s="24" customFormat="1" hidden="1" outlineLevel="1" x14ac:dyDescent="0.25">
      <c r="A65" s="44"/>
      <c r="B65" s="11" t="str">
        <f>CONCATENATE("          ", "4141", " - ", "NON-TAXABLE SALES-LOGO GIFTS")</f>
        <v xml:space="preserve">          4141 - NON-TAXABLE SALES-LOGO GIFTS</v>
      </c>
      <c r="C65" s="11"/>
      <c r="D65" s="2">
        <f>--581.29</f>
        <v>581.29</v>
      </c>
      <c r="E65" s="2"/>
      <c r="F65" s="19"/>
      <c r="G65" s="2"/>
      <c r="H65" s="2">
        <f>--741.24</f>
        <v>741.24</v>
      </c>
      <c r="I65" s="2"/>
      <c r="J65" s="19"/>
      <c r="K65" s="2"/>
      <c r="L65" s="2">
        <f t="shared" si="0"/>
        <v>-159.95000000000005</v>
      </c>
      <c r="M65" s="2"/>
      <c r="N65" s="19">
        <f t="shared" si="1"/>
        <v>-0.21578705952188232</v>
      </c>
      <c r="O65" s="11"/>
      <c r="P65" s="2">
        <f>--1395.93</f>
        <v>1395.93</v>
      </c>
      <c r="Q65" s="2"/>
      <c r="R65" s="19"/>
      <c r="S65" s="2"/>
      <c r="T65" s="2">
        <f>--2469.53</f>
        <v>2469.5300000000002</v>
      </c>
      <c r="U65" s="2"/>
      <c r="V65" s="19"/>
      <c r="W65" s="2"/>
      <c r="X65" s="2">
        <f t="shared" si="2"/>
        <v>-1073.6000000000001</v>
      </c>
      <c r="Y65" s="2"/>
      <c r="Z65" s="19">
        <f t="shared" si="3"/>
        <v>-0.43473859398347053</v>
      </c>
    </row>
    <row r="66" spans="1:26" s="24" customFormat="1" hidden="1" outlineLevel="1" x14ac:dyDescent="0.25">
      <c r="A66" s="44"/>
      <c r="B66" s="11" t="str">
        <f>CONCATENATE("          ", "4142", " - ", "NON-TAXABLE SALES-EVERYDAY GIF")</f>
        <v xml:space="preserve">          4142 - NON-TAXABLE SALES-EVERYDAY GIF</v>
      </c>
      <c r="C66" s="11"/>
      <c r="D66" s="2">
        <f>--2883.11</f>
        <v>2883.11</v>
      </c>
      <c r="E66" s="2"/>
      <c r="F66" s="19"/>
      <c r="G66" s="2"/>
      <c r="H66" s="2">
        <f>--2670.34</f>
        <v>2670.34</v>
      </c>
      <c r="I66" s="2"/>
      <c r="J66" s="19"/>
      <c r="K66" s="2"/>
      <c r="L66" s="2">
        <f t="shared" si="0"/>
        <v>212.76999999999998</v>
      </c>
      <c r="M66" s="2"/>
      <c r="N66" s="19">
        <f t="shared" si="1"/>
        <v>7.9678992188260661E-2</v>
      </c>
      <c r="O66" s="11"/>
      <c r="P66" s="2">
        <f>--5919.61</f>
        <v>5919.61</v>
      </c>
      <c r="Q66" s="2"/>
      <c r="R66" s="19"/>
      <c r="S66" s="2"/>
      <c r="T66" s="2">
        <f>--5118.1</f>
        <v>5118.1000000000004</v>
      </c>
      <c r="U66" s="2"/>
      <c r="V66" s="19"/>
      <c r="W66" s="2"/>
      <c r="X66" s="2">
        <f t="shared" si="2"/>
        <v>801.50999999999931</v>
      </c>
      <c r="Y66" s="2"/>
      <c r="Z66" s="19">
        <f t="shared" si="3"/>
        <v>0.15660303628299549</v>
      </c>
    </row>
    <row r="67" spans="1:26" s="24" customFormat="1" hidden="1" outlineLevel="1" x14ac:dyDescent="0.25">
      <c r="A67" s="44"/>
      <c r="B67" s="11" t="str">
        <f>CONCATENATE("          ", "4144", " - ", "NON-TAXABLE SALES-ACCESSORIES")</f>
        <v xml:space="preserve">          4144 - NON-TAXABLE SALES-ACCESSORIES</v>
      </c>
      <c r="C67" s="11"/>
      <c r="D67" s="2">
        <f>--71.85</f>
        <v>71.849999999999994</v>
      </c>
      <c r="E67" s="2"/>
      <c r="F67" s="19"/>
      <c r="G67" s="2"/>
      <c r="H67" s="2">
        <f>--165.85</f>
        <v>165.85</v>
      </c>
      <c r="I67" s="2"/>
      <c r="J67" s="19"/>
      <c r="K67" s="2"/>
      <c r="L67" s="2">
        <f t="shared" si="0"/>
        <v>-94</v>
      </c>
      <c r="M67" s="2"/>
      <c r="N67" s="19">
        <f t="shared" si="1"/>
        <v>-0.56677720832077183</v>
      </c>
      <c r="O67" s="11"/>
      <c r="P67" s="2">
        <f>--211.61</f>
        <v>211.61</v>
      </c>
      <c r="Q67" s="2"/>
      <c r="R67" s="19"/>
      <c r="S67" s="2"/>
      <c r="T67" s="2">
        <f>--340.6</f>
        <v>340.6</v>
      </c>
      <c r="U67" s="2"/>
      <c r="V67" s="19"/>
      <c r="W67" s="2"/>
      <c r="X67" s="2">
        <f t="shared" si="2"/>
        <v>-128.99</v>
      </c>
      <c r="Y67" s="2"/>
      <c r="Z67" s="19">
        <f t="shared" si="3"/>
        <v>-0.3787140340575455</v>
      </c>
    </row>
    <row r="68" spans="1:26" s="24" customFormat="1" hidden="1" outlineLevel="1" x14ac:dyDescent="0.25">
      <c r="A68" s="44"/>
      <c r="B68" s="11" t="str">
        <f>CONCATENATE("          ", "4145", " - ", "NON-TAXABLE SALES-SPECIAL ORDE")</f>
        <v xml:space="preserve">          4145 - NON-TAXABLE SALES-SPECIAL ORDE</v>
      </c>
      <c r="C68" s="11"/>
      <c r="D68" s="2">
        <f>0</f>
        <v>0</v>
      </c>
      <c r="E68" s="2"/>
      <c r="F68" s="19"/>
      <c r="G68" s="2"/>
      <c r="H68" s="2">
        <f>--59.85</f>
        <v>59.85</v>
      </c>
      <c r="I68" s="2"/>
      <c r="J68" s="19"/>
      <c r="K68" s="2"/>
      <c r="L68" s="2">
        <f t="shared" si="0"/>
        <v>-59.85</v>
      </c>
      <c r="M68" s="2"/>
      <c r="N68" s="19">
        <f t="shared" si="1"/>
        <v>-1</v>
      </c>
      <c r="O68" s="11"/>
      <c r="P68" s="2">
        <f>--90</f>
        <v>90</v>
      </c>
      <c r="Q68" s="2"/>
      <c r="R68" s="19"/>
      <c r="S68" s="2"/>
      <c r="T68" s="2">
        <f>--261.6</f>
        <v>261.60000000000002</v>
      </c>
      <c r="U68" s="2"/>
      <c r="V68" s="19"/>
      <c r="W68" s="2"/>
      <c r="X68" s="2">
        <f t="shared" si="2"/>
        <v>-171.60000000000002</v>
      </c>
      <c r="Y68" s="2"/>
      <c r="Z68" s="19">
        <f t="shared" si="3"/>
        <v>-0.65596330275229364</v>
      </c>
    </row>
    <row r="69" spans="1:26" s="24" customFormat="1" hidden="1" outlineLevel="1" x14ac:dyDescent="0.25">
      <c r="A69" s="44"/>
      <c r="B69" s="11" t="str">
        <f>CONCATENATE("          ", "4146", " - ", "NON-TAXABLE SALES-COIN OP MACH")</f>
        <v xml:space="preserve">          4146 - NON-TAXABLE SALES-COIN OP MACH</v>
      </c>
      <c r="C69" s="11"/>
      <c r="D69" s="2">
        <f>--40316.8</f>
        <v>40316.800000000003</v>
      </c>
      <c r="E69" s="2"/>
      <c r="F69" s="19"/>
      <c r="G69" s="2"/>
      <c r="H69" s="2">
        <f>--41126.65</f>
        <v>41126.65</v>
      </c>
      <c r="I69" s="2"/>
      <c r="J69" s="19"/>
      <c r="K69" s="2"/>
      <c r="L69" s="2">
        <f t="shared" si="0"/>
        <v>-809.84999999999854</v>
      </c>
      <c r="M69" s="2"/>
      <c r="N69" s="19">
        <f t="shared" si="1"/>
        <v>-1.9691611157242286E-2</v>
      </c>
      <c r="O69" s="11"/>
      <c r="P69" s="2">
        <f>--90410.3</f>
        <v>90410.3</v>
      </c>
      <c r="Q69" s="2"/>
      <c r="R69" s="19"/>
      <c r="S69" s="2"/>
      <c r="T69" s="2">
        <f>--90241.1</f>
        <v>90241.1</v>
      </c>
      <c r="U69" s="2"/>
      <c r="V69" s="19"/>
      <c r="W69" s="2"/>
      <c r="X69" s="2">
        <f t="shared" si="2"/>
        <v>169.19999999999709</v>
      </c>
      <c r="Y69" s="2"/>
      <c r="Z69" s="19">
        <f t="shared" si="3"/>
        <v>1.8749771445604839E-3</v>
      </c>
    </row>
    <row r="70" spans="1:26" s="24" customFormat="1" hidden="1" outlineLevel="1" x14ac:dyDescent="0.25">
      <c r="A70" s="44"/>
      <c r="B70" s="11" t="str">
        <f>CONCATENATE("          ", "4147", " - ", "NON-TAXABLE SALES-MISC")</f>
        <v xml:space="preserve">          4147 - NON-TAXABLE SALES-MISC</v>
      </c>
      <c r="C70" s="11"/>
      <c r="D70" s="2">
        <f>-240</f>
        <v>-240</v>
      </c>
      <c r="E70" s="2"/>
      <c r="F70" s="19"/>
      <c r="G70" s="2"/>
      <c r="H70" s="2">
        <f>--96</f>
        <v>96</v>
      </c>
      <c r="I70" s="2"/>
      <c r="J70" s="19"/>
      <c r="K70" s="2"/>
      <c r="L70" s="2">
        <f t="shared" si="0"/>
        <v>-336</v>
      </c>
      <c r="M70" s="2"/>
      <c r="N70" s="19">
        <f t="shared" si="1"/>
        <v>-3.5</v>
      </c>
      <c r="O70" s="11"/>
      <c r="P70" s="2">
        <f>--174.9</f>
        <v>174.9</v>
      </c>
      <c r="Q70" s="2"/>
      <c r="R70" s="19"/>
      <c r="S70" s="2"/>
      <c r="T70" s="2">
        <f>--286</f>
        <v>286</v>
      </c>
      <c r="U70" s="2"/>
      <c r="V70" s="19"/>
      <c r="W70" s="2"/>
      <c r="X70" s="2">
        <f t="shared" si="2"/>
        <v>-111.1</v>
      </c>
      <c r="Y70" s="2"/>
      <c r="Z70" s="19">
        <f t="shared" si="3"/>
        <v>-0.38846153846153847</v>
      </c>
    </row>
    <row r="71" spans="1:26" s="24" customFormat="1" hidden="1" outlineLevel="1" x14ac:dyDescent="0.25">
      <c r="A71" s="44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>--4.01</f>
        <v>4.01</v>
      </c>
      <c r="E71" s="2"/>
      <c r="F71" s="19"/>
      <c r="G71" s="2"/>
      <c r="H71" s="2">
        <f>-19</f>
        <v>-19</v>
      </c>
      <c r="I71" s="2"/>
      <c r="J71" s="19"/>
      <c r="K71" s="2"/>
      <c r="L71" s="2">
        <f t="shared" si="0"/>
        <v>23.009999999999998</v>
      </c>
      <c r="M71" s="2"/>
      <c r="N71" s="19">
        <f t="shared" si="1"/>
        <v>-1.2110526315789472</v>
      </c>
      <c r="O71" s="11"/>
      <c r="P71" s="2">
        <f>-30.97</f>
        <v>-30.97</v>
      </c>
      <c r="Q71" s="2"/>
      <c r="R71" s="19"/>
      <c r="S71" s="2"/>
      <c r="T71" s="2">
        <f>-67.98</f>
        <v>-67.98</v>
      </c>
      <c r="U71" s="2"/>
      <c r="V71" s="19"/>
      <c r="W71" s="2"/>
      <c r="X71" s="2">
        <f t="shared" si="2"/>
        <v>37.010000000000005</v>
      </c>
      <c r="Y71" s="2"/>
      <c r="Z71" s="19">
        <f t="shared" si="3"/>
        <v>-0.54442483083259785</v>
      </c>
    </row>
    <row r="72" spans="1:26" s="24" customFormat="1" hidden="1" outlineLevel="1" x14ac:dyDescent="0.25">
      <c r="A72" s="44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-4543.92</f>
        <v>-4543.92</v>
      </c>
      <c r="E72" s="2"/>
      <c r="F72" s="19"/>
      <c r="G72" s="2"/>
      <c r="H72" s="2">
        <f>-12940.45</f>
        <v>-12940.45</v>
      </c>
      <c r="I72" s="2"/>
      <c r="J72" s="19"/>
      <c r="K72" s="2"/>
      <c r="L72" s="2">
        <f t="shared" si="0"/>
        <v>8396.5300000000007</v>
      </c>
      <c r="M72" s="2"/>
      <c r="N72" s="19">
        <f t="shared" si="1"/>
        <v>-0.64885919732312247</v>
      </c>
      <c r="O72" s="11"/>
      <c r="P72" s="2">
        <f>-77783.67</f>
        <v>-77783.67</v>
      </c>
      <c r="Q72" s="2"/>
      <c r="R72" s="19"/>
      <c r="S72" s="2"/>
      <c r="T72" s="2">
        <f>-111732.67</f>
        <v>-111732.67</v>
      </c>
      <c r="U72" s="2"/>
      <c r="V72" s="19"/>
      <c r="W72" s="2"/>
      <c r="X72" s="2">
        <f t="shared" si="2"/>
        <v>33949</v>
      </c>
      <c r="Y72" s="2"/>
      <c r="Z72" s="19">
        <f t="shared" si="3"/>
        <v>-0.30384130263780507</v>
      </c>
    </row>
    <row r="73" spans="1:26" s="24" customFormat="1" hidden="1" outlineLevel="1" x14ac:dyDescent="0.25">
      <c r="A73" s="44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-3577.9</f>
        <v>-3577.9</v>
      </c>
      <c r="E73" s="2"/>
      <c r="F73" s="19"/>
      <c r="G73" s="2"/>
      <c r="H73" s="2">
        <f>-2444</f>
        <v>-2444</v>
      </c>
      <c r="I73" s="2"/>
      <c r="J73" s="19"/>
      <c r="K73" s="2"/>
      <c r="L73" s="2">
        <f t="shared" si="0"/>
        <v>-1133.9000000000001</v>
      </c>
      <c r="M73" s="2"/>
      <c r="N73" s="19">
        <f t="shared" si="1"/>
        <v>0.4639525368248773</v>
      </c>
      <c r="O73" s="11"/>
      <c r="P73" s="2">
        <f>-26929</f>
        <v>-26929</v>
      </c>
      <c r="Q73" s="2"/>
      <c r="R73" s="19"/>
      <c r="S73" s="2"/>
      <c r="T73" s="2">
        <f>-29099.65</f>
        <v>-29099.65</v>
      </c>
      <c r="U73" s="2"/>
      <c r="V73" s="19"/>
      <c r="W73" s="2"/>
      <c r="X73" s="2">
        <f t="shared" si="2"/>
        <v>2170.6500000000015</v>
      </c>
      <c r="Y73" s="2"/>
      <c r="Z73" s="19">
        <f t="shared" si="3"/>
        <v>-7.4593680680008226E-2</v>
      </c>
    </row>
    <row r="74" spans="1:26" s="24" customFormat="1" hidden="1" outlineLevel="1" x14ac:dyDescent="0.25">
      <c r="A74" s="44"/>
      <c r="B74" s="11" t="str">
        <f>CONCATENATE("          ", "4203", " - ", "SALES RETURN TAXABLE-RENTAL TE")</f>
        <v xml:space="preserve">          4203 - SALES RETURN TAXABLE-RENTAL TE</v>
      </c>
      <c r="C74" s="11"/>
      <c r="D74" s="2">
        <f>0</f>
        <v>0</v>
      </c>
      <c r="E74" s="2"/>
      <c r="F74" s="19"/>
      <c r="G74" s="2"/>
      <c r="H74" s="2">
        <f>0</f>
        <v>0</v>
      </c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-144.99</f>
        <v>-144.99</v>
      </c>
      <c r="Q74" s="2"/>
      <c r="R74" s="19"/>
      <c r="S74" s="2"/>
      <c r="T74" s="2">
        <f>-1529.55</f>
        <v>-1529.55</v>
      </c>
      <c r="U74" s="2"/>
      <c r="V74" s="19"/>
      <c r="W74" s="2"/>
      <c r="X74" s="2">
        <f t="shared" si="2"/>
        <v>1384.56</v>
      </c>
      <c r="Y74" s="2"/>
      <c r="Z74" s="19">
        <f t="shared" si="3"/>
        <v>-0.90520741394527804</v>
      </c>
    </row>
    <row r="75" spans="1:26" s="24" customFormat="1" hidden="1" outlineLevel="1" x14ac:dyDescent="0.25">
      <c r="A75" s="44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>-193.34</f>
        <v>-193.34</v>
      </c>
      <c r="E75" s="2"/>
      <c r="F75" s="19"/>
      <c r="G75" s="2"/>
      <c r="H75" s="2">
        <f>-358.14</f>
        <v>-358.14</v>
      </c>
      <c r="I75" s="2"/>
      <c r="J75" s="19"/>
      <c r="K75" s="2"/>
      <c r="L75" s="2">
        <f t="shared" si="0"/>
        <v>164.79999999999998</v>
      </c>
      <c r="M75" s="2"/>
      <c r="N75" s="19">
        <f t="shared" si="1"/>
        <v>-0.46015524655162782</v>
      </c>
      <c r="O75" s="11"/>
      <c r="P75" s="2">
        <f>-11250.06</f>
        <v>-11250.06</v>
      </c>
      <c r="Q75" s="2"/>
      <c r="R75" s="19"/>
      <c r="S75" s="2"/>
      <c r="T75" s="2">
        <f>-15499.78</f>
        <v>-15499.78</v>
      </c>
      <c r="U75" s="2"/>
      <c r="V75" s="19"/>
      <c r="W75" s="2"/>
      <c r="X75" s="2">
        <f t="shared" si="2"/>
        <v>4249.7200000000012</v>
      </c>
      <c r="Y75" s="2"/>
      <c r="Z75" s="19">
        <f t="shared" si="3"/>
        <v>-0.27417937544920001</v>
      </c>
    </row>
    <row r="76" spans="1:26" s="24" customFormat="1" hidden="1" outlineLevel="1" x14ac:dyDescent="0.25">
      <c r="A76" s="44"/>
      <c r="B76" s="11" t="str">
        <f>CONCATENATE("          ", "4213", " - ", "NON-TAXABLE SALES-TRADE BOOKS")</f>
        <v xml:space="preserve">          4213 - NON-TAXABLE SALES-TRADE BOOKS</v>
      </c>
      <c r="C76" s="11"/>
      <c r="D76" s="2">
        <f>-35.37</f>
        <v>-35.369999999999997</v>
      </c>
      <c r="E76" s="2"/>
      <c r="F76" s="19"/>
      <c r="G76" s="2"/>
      <c r="H76" s="2">
        <f t="shared" ref="H76:H78" si="6">0</f>
        <v>0</v>
      </c>
      <c r="I76" s="2"/>
      <c r="J76" s="19"/>
      <c r="K76" s="2"/>
      <c r="L76" s="2">
        <f t="shared" si="0"/>
        <v>-35.369999999999997</v>
      </c>
      <c r="M76" s="2"/>
      <c r="N76" s="19">
        <f t="shared" si="1"/>
        <v>0</v>
      </c>
      <c r="O76" s="11"/>
      <c r="P76" s="2">
        <f>-35.37</f>
        <v>-35.369999999999997</v>
      </c>
      <c r="Q76" s="2"/>
      <c r="R76" s="19"/>
      <c r="S76" s="2"/>
      <c r="T76" s="2">
        <f>-15</f>
        <v>-15</v>
      </c>
      <c r="U76" s="2"/>
      <c r="V76" s="19"/>
      <c r="W76" s="2"/>
      <c r="X76" s="2">
        <f t="shared" si="2"/>
        <v>-20.369999999999997</v>
      </c>
      <c r="Y76" s="2"/>
      <c r="Z76" s="19">
        <f t="shared" si="3"/>
        <v>1.3579999999999999</v>
      </c>
    </row>
    <row r="77" spans="1:26" s="24" customFormat="1" hidden="1" outlineLevel="1" x14ac:dyDescent="0.25">
      <c r="A77" s="44"/>
      <c r="B77" s="11" t="str">
        <f>CONCATENATE("          ", "4217", " - ", "NON-TAXABLE SALES-DORM/HOUSEWA")</f>
        <v xml:space="preserve">          4217 - NON-TAXABLE SALES-DORM/HOUSEWA</v>
      </c>
      <c r="C77" s="11"/>
      <c r="D77" s="2">
        <f>-2.98</f>
        <v>-2.98</v>
      </c>
      <c r="E77" s="2"/>
      <c r="F77" s="19"/>
      <c r="G77" s="2"/>
      <c r="H77" s="2">
        <f t="shared" si="6"/>
        <v>0</v>
      </c>
      <c r="I77" s="2"/>
      <c r="J77" s="19"/>
      <c r="K77" s="2"/>
      <c r="L77" s="2">
        <f t="shared" si="0"/>
        <v>-2.98</v>
      </c>
      <c r="M77" s="2"/>
      <c r="N77" s="19">
        <f t="shared" si="1"/>
        <v>0</v>
      </c>
      <c r="O77" s="11"/>
      <c r="P77" s="2">
        <f>-2.98</f>
        <v>-2.98</v>
      </c>
      <c r="Q77" s="2"/>
      <c r="R77" s="19"/>
      <c r="S77" s="2"/>
      <c r="T77" s="2">
        <f>-1.5</f>
        <v>-1.5</v>
      </c>
      <c r="U77" s="2"/>
      <c r="V77" s="19"/>
      <c r="W77" s="2"/>
      <c r="X77" s="2">
        <f t="shared" si="2"/>
        <v>-1.48</v>
      </c>
      <c r="Y77" s="2"/>
      <c r="Z77" s="19">
        <f t="shared" si="3"/>
        <v>0.98666666666666669</v>
      </c>
    </row>
    <row r="78" spans="1:26" s="24" customFormat="1" hidden="1" outlineLevel="1" x14ac:dyDescent="0.25">
      <c r="A78" s="44"/>
      <c r="B78" s="11" t="str">
        <f>CONCATENATE("          ", "4218", " - ", "SALES RETURN TAXABLE-STUDY GUI")</f>
        <v xml:space="preserve">          4218 - SALES RETURN TAXABLE-STUDY GUI</v>
      </c>
      <c r="C78" s="11"/>
      <c r="D78" s="2">
        <f>0</f>
        <v>0</v>
      </c>
      <c r="E78" s="2"/>
      <c r="F78" s="19"/>
      <c r="G78" s="2"/>
      <c r="H78" s="2">
        <f t="shared" si="6"/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-32.75</f>
        <v>-32.75</v>
      </c>
      <c r="Q78" s="2"/>
      <c r="R78" s="19"/>
      <c r="S78" s="2"/>
      <c r="T78" s="2">
        <f>-22.9</f>
        <v>-22.9</v>
      </c>
      <c r="U78" s="2"/>
      <c r="V78" s="19"/>
      <c r="W78" s="2"/>
      <c r="X78" s="2">
        <f t="shared" si="2"/>
        <v>-9.8500000000000014</v>
      </c>
      <c r="Y78" s="2"/>
      <c r="Z78" s="19">
        <f t="shared" si="3"/>
        <v>0.43013100436681234</v>
      </c>
    </row>
    <row r="79" spans="1:26" s="24" customFormat="1" hidden="1" outlineLevel="1" x14ac:dyDescent="0.25">
      <c r="A79" s="44"/>
      <c r="B79" s="11" t="str">
        <f>CONCATENATE("          ", "4225", " - ", "SALES RETURN TAXABLE-TEST FORM")</f>
        <v xml:space="preserve">          4225 - SALES RETURN TAXABLE-TEST FORM</v>
      </c>
      <c r="C79" s="11"/>
      <c r="D79" s="2">
        <f>-8.45</f>
        <v>-8.4499999999999993</v>
      </c>
      <c r="E79" s="2"/>
      <c r="F79" s="19"/>
      <c r="G79" s="2"/>
      <c r="H79" s="2">
        <f>-23.96</f>
        <v>-23.96</v>
      </c>
      <c r="I79" s="2"/>
      <c r="J79" s="19"/>
      <c r="K79" s="2"/>
      <c r="L79" s="2">
        <f t="shared" si="0"/>
        <v>15.510000000000002</v>
      </c>
      <c r="M79" s="2"/>
      <c r="N79" s="19">
        <f t="shared" si="1"/>
        <v>-0.64732888146911527</v>
      </c>
      <c r="O79" s="11"/>
      <c r="P79" s="2">
        <f>-41.55</f>
        <v>-41.55</v>
      </c>
      <c r="Q79" s="2"/>
      <c r="R79" s="19"/>
      <c r="S79" s="2"/>
      <c r="T79" s="2">
        <f>-61.29</f>
        <v>-61.29</v>
      </c>
      <c r="U79" s="2"/>
      <c r="V79" s="19"/>
      <c r="W79" s="2"/>
      <c r="X79" s="2">
        <f t="shared" si="2"/>
        <v>19.740000000000002</v>
      </c>
      <c r="Y79" s="2"/>
      <c r="Z79" s="19">
        <f t="shared" si="3"/>
        <v>-0.32207537934410185</v>
      </c>
    </row>
    <row r="80" spans="1:26" s="24" customFormat="1" hidden="1" outlineLevel="1" x14ac:dyDescent="0.25">
      <c r="A80" s="44"/>
      <c r="B80" s="11" t="str">
        <f>CONCATENATE("          ", "4226", " - ", "SALES RETURN TAXABLE-WRITING I")</f>
        <v xml:space="preserve">          4226 - SALES RETURN TAXABLE-WRITING I</v>
      </c>
      <c r="C80" s="11"/>
      <c r="D80" s="2">
        <f>-166.9</f>
        <v>-166.9</v>
      </c>
      <c r="E80" s="2"/>
      <c r="F80" s="19"/>
      <c r="G80" s="2"/>
      <c r="H80" s="2">
        <f>-123.89</f>
        <v>-123.89</v>
      </c>
      <c r="I80" s="2"/>
      <c r="J80" s="19"/>
      <c r="K80" s="2"/>
      <c r="L80" s="2">
        <f t="shared" si="0"/>
        <v>-43.010000000000005</v>
      </c>
      <c r="M80" s="2"/>
      <c r="N80" s="19">
        <f t="shared" si="1"/>
        <v>0.347162805714747</v>
      </c>
      <c r="O80" s="11"/>
      <c r="P80" s="2">
        <f>-475.97</f>
        <v>-475.97</v>
      </c>
      <c r="Q80" s="2"/>
      <c r="R80" s="19"/>
      <c r="S80" s="2"/>
      <c r="T80" s="2">
        <f>-241.15</f>
        <v>-241.15</v>
      </c>
      <c r="U80" s="2"/>
      <c r="V80" s="19"/>
      <c r="W80" s="2"/>
      <c r="X80" s="2">
        <f t="shared" si="2"/>
        <v>-234.82000000000002</v>
      </c>
      <c r="Y80" s="2"/>
      <c r="Z80" s="19">
        <f t="shared" si="3"/>
        <v>0.97375077752436245</v>
      </c>
    </row>
    <row r="81" spans="1:26" s="24" customFormat="1" hidden="1" outlineLevel="1" x14ac:dyDescent="0.25">
      <c r="A81" s="44"/>
      <c r="B81" s="11" t="str">
        <f>CONCATENATE("          ", "4227", " - ", "SALES RETURN TAXABLE-SCHOOL SU")</f>
        <v xml:space="preserve">          4227 - SALES RETURN TAXABLE-SCHOOL SU</v>
      </c>
      <c r="C81" s="11"/>
      <c r="D81" s="2">
        <f>-324.85</f>
        <v>-324.85000000000002</v>
      </c>
      <c r="E81" s="2"/>
      <c r="F81" s="19"/>
      <c r="G81" s="2"/>
      <c r="H81" s="2">
        <f>-154.62</f>
        <v>-154.62</v>
      </c>
      <c r="I81" s="2"/>
      <c r="J81" s="19"/>
      <c r="K81" s="2"/>
      <c r="L81" s="2">
        <f t="shared" si="0"/>
        <v>-170.23000000000002</v>
      </c>
      <c r="M81" s="2"/>
      <c r="N81" s="19">
        <f t="shared" si="1"/>
        <v>1.1009571853576512</v>
      </c>
      <c r="O81" s="11"/>
      <c r="P81" s="2">
        <f>-4826.48</f>
        <v>-4826.4799999999996</v>
      </c>
      <c r="Q81" s="2"/>
      <c r="R81" s="19"/>
      <c r="S81" s="2"/>
      <c r="T81" s="2">
        <f>-2100.84</f>
        <v>-2100.84</v>
      </c>
      <c r="U81" s="2"/>
      <c r="V81" s="19"/>
      <c r="W81" s="2"/>
      <c r="X81" s="2">
        <f t="shared" si="2"/>
        <v>-2725.6399999999994</v>
      </c>
      <c r="Y81" s="2"/>
      <c r="Z81" s="19">
        <f t="shared" si="3"/>
        <v>1.2974048475847753</v>
      </c>
    </row>
    <row r="82" spans="1:26" s="24" customFormat="1" hidden="1" outlineLevel="1" x14ac:dyDescent="0.25">
      <c r="A82" s="44"/>
      <c r="B82" s="11" t="str">
        <f>CONCATENATE("          ", "4228", " - ", "SALES RETURN TAXABLE-ART/TECH")</f>
        <v xml:space="preserve">          4228 - SALES RETURN TAXABLE-ART/TECH</v>
      </c>
      <c r="C82" s="11"/>
      <c r="D82" s="2">
        <f>-502.99</f>
        <v>-502.99</v>
      </c>
      <c r="E82" s="2"/>
      <c r="F82" s="19"/>
      <c r="G82" s="2"/>
      <c r="H82" s="2">
        <f>-995.36</f>
        <v>-995.36</v>
      </c>
      <c r="I82" s="2"/>
      <c r="J82" s="19"/>
      <c r="K82" s="2"/>
      <c r="L82" s="2">
        <f t="shared" si="0"/>
        <v>492.37</v>
      </c>
      <c r="M82" s="2"/>
      <c r="N82" s="19">
        <f t="shared" si="1"/>
        <v>-0.49466524674489631</v>
      </c>
      <c r="O82" s="11"/>
      <c r="P82" s="2">
        <f>-2430.26</f>
        <v>-2430.2600000000002</v>
      </c>
      <c r="Q82" s="2"/>
      <c r="R82" s="19"/>
      <c r="S82" s="2"/>
      <c r="T82" s="2">
        <f>-3776.79</f>
        <v>-3776.79</v>
      </c>
      <c r="U82" s="2"/>
      <c r="V82" s="19"/>
      <c r="W82" s="2"/>
      <c r="X82" s="2">
        <f t="shared" si="2"/>
        <v>1346.5299999999997</v>
      </c>
      <c r="Y82" s="2"/>
      <c r="Z82" s="19">
        <f t="shared" si="3"/>
        <v>-0.35652763325469505</v>
      </c>
    </row>
    <row r="83" spans="1:26" s="24" customFormat="1" hidden="1" outlineLevel="1" x14ac:dyDescent="0.25">
      <c r="A83" s="44"/>
      <c r="B83" s="11" t="str">
        <f>CONCATENATE("          ", "4233", " - ", "SALES RETURN TAXABLE-CANDY")</f>
        <v xml:space="preserve">          4233 - SALES RETURN TAXABLE-CANDY</v>
      </c>
      <c r="C83" s="11"/>
      <c r="D83" s="2">
        <f>0</f>
        <v>0</v>
      </c>
      <c r="E83" s="2"/>
      <c r="F83" s="19"/>
      <c r="G83" s="2"/>
      <c r="H83" s="2">
        <f>-1.89</f>
        <v>-1.89</v>
      </c>
      <c r="I83" s="2"/>
      <c r="J83" s="19"/>
      <c r="K83" s="2"/>
      <c r="L83" s="2">
        <f t="shared" si="0"/>
        <v>1.89</v>
      </c>
      <c r="M83" s="2"/>
      <c r="N83" s="19">
        <f t="shared" si="1"/>
        <v>-1</v>
      </c>
      <c r="O83" s="11"/>
      <c r="P83" s="2">
        <f>0</f>
        <v>0</v>
      </c>
      <c r="Q83" s="2"/>
      <c r="R83" s="19"/>
      <c r="S83" s="2"/>
      <c r="T83" s="2">
        <f>-1.89</f>
        <v>-1.89</v>
      </c>
      <c r="U83" s="2"/>
      <c r="V83" s="19"/>
      <c r="W83" s="2"/>
      <c r="X83" s="2">
        <f t="shared" si="2"/>
        <v>1.89</v>
      </c>
      <c r="Y83" s="2"/>
      <c r="Z83" s="19">
        <f t="shared" si="3"/>
        <v>-1</v>
      </c>
    </row>
    <row r="84" spans="1:26" s="24" customFormat="1" hidden="1" outlineLevel="1" x14ac:dyDescent="0.25">
      <c r="A84" s="44"/>
      <c r="B84" s="11" t="str">
        <f>CONCATENATE("          ", "4240", " - ", "SALES RETURN TAXABLE-LOGO CLOT")</f>
        <v xml:space="preserve">          4240 - SALES RETURN TAXABLE-LOGO CLOT</v>
      </c>
      <c r="C84" s="11"/>
      <c r="D84" s="2">
        <f>-9501.82</f>
        <v>-9501.82</v>
      </c>
      <c r="E84" s="2"/>
      <c r="F84" s="19"/>
      <c r="G84" s="2"/>
      <c r="H84" s="2">
        <f>-8092.81</f>
        <v>-8092.81</v>
      </c>
      <c r="I84" s="2"/>
      <c r="J84" s="19"/>
      <c r="K84" s="2"/>
      <c r="L84" s="2">
        <f t="shared" si="0"/>
        <v>-1409.0099999999993</v>
      </c>
      <c r="M84" s="2"/>
      <c r="N84" s="19">
        <f t="shared" si="1"/>
        <v>0.17410639814847986</v>
      </c>
      <c r="O84" s="11"/>
      <c r="P84" s="2">
        <f>-30294.8</f>
        <v>-30294.799999999999</v>
      </c>
      <c r="Q84" s="2"/>
      <c r="R84" s="19"/>
      <c r="S84" s="2"/>
      <c r="T84" s="2">
        <f>-28621.41</f>
        <v>-28621.41</v>
      </c>
      <c r="U84" s="2"/>
      <c r="V84" s="19"/>
      <c r="W84" s="2"/>
      <c r="X84" s="2">
        <f t="shared" si="2"/>
        <v>-1673.3899999999994</v>
      </c>
      <c r="Y84" s="2"/>
      <c r="Z84" s="19">
        <f t="shared" si="3"/>
        <v>5.8466371852399987E-2</v>
      </c>
    </row>
    <row r="85" spans="1:26" s="24" customFormat="1" hidden="1" outlineLevel="1" x14ac:dyDescent="0.25">
      <c r="A85" s="44"/>
      <c r="B85" s="11" t="str">
        <f>CONCATENATE("          ", "4241", " - ", "SALES RETURN TAXABLE-LOGO GIFT")</f>
        <v xml:space="preserve">          4241 - SALES RETURN TAXABLE-LOGO GIFT</v>
      </c>
      <c r="C85" s="11"/>
      <c r="D85" s="2">
        <f>-327.07</f>
        <v>-327.07</v>
      </c>
      <c r="E85" s="2"/>
      <c r="F85" s="19"/>
      <c r="G85" s="2"/>
      <c r="H85" s="2">
        <f>-816.93</f>
        <v>-816.93</v>
      </c>
      <c r="I85" s="2"/>
      <c r="J85" s="19"/>
      <c r="K85" s="2"/>
      <c r="L85" s="2">
        <f t="shared" si="0"/>
        <v>489.85999999999996</v>
      </c>
      <c r="M85" s="2"/>
      <c r="N85" s="19">
        <f t="shared" si="1"/>
        <v>-0.59963521966386346</v>
      </c>
      <c r="O85" s="11"/>
      <c r="P85" s="2">
        <f>-2717.95</f>
        <v>-2717.95</v>
      </c>
      <c r="Q85" s="2"/>
      <c r="R85" s="19"/>
      <c r="S85" s="2"/>
      <c r="T85" s="2">
        <f>-3417.67</f>
        <v>-3417.67</v>
      </c>
      <c r="U85" s="2"/>
      <c r="V85" s="19"/>
      <c r="W85" s="2"/>
      <c r="X85" s="2">
        <f t="shared" si="2"/>
        <v>699.72000000000025</v>
      </c>
      <c r="Y85" s="2"/>
      <c r="Z85" s="19">
        <f t="shared" si="3"/>
        <v>-0.20473597509414315</v>
      </c>
    </row>
    <row r="86" spans="1:26" s="24" customFormat="1" hidden="1" outlineLevel="1" x14ac:dyDescent="0.25">
      <c r="A86" s="44"/>
      <c r="B86" s="11" t="str">
        <f>CONCATENATE("          ", "4242", " - ", "SALES RETURN TAXABLE-EVERYDAY")</f>
        <v xml:space="preserve">          4242 - SALES RETURN TAXABLE-EVERYDAY</v>
      </c>
      <c r="C86" s="11"/>
      <c r="D86" s="2">
        <f>-165.1</f>
        <v>-165.1</v>
      </c>
      <c r="E86" s="2"/>
      <c r="F86" s="19"/>
      <c r="G86" s="2"/>
      <c r="H86" s="2">
        <f>-327.87</f>
        <v>-327.87</v>
      </c>
      <c r="I86" s="2"/>
      <c r="J86" s="19"/>
      <c r="K86" s="2"/>
      <c r="L86" s="2">
        <f t="shared" si="0"/>
        <v>162.77000000000001</v>
      </c>
      <c r="M86" s="2"/>
      <c r="N86" s="19">
        <f t="shared" si="1"/>
        <v>-0.49644676243633151</v>
      </c>
      <c r="O86" s="11"/>
      <c r="P86" s="2">
        <f>-1159.57</f>
        <v>-1159.57</v>
      </c>
      <c r="Q86" s="2"/>
      <c r="R86" s="19"/>
      <c r="S86" s="2"/>
      <c r="T86" s="2">
        <f>-1066.22</f>
        <v>-1066.22</v>
      </c>
      <c r="U86" s="2"/>
      <c r="V86" s="19"/>
      <c r="W86" s="2"/>
      <c r="X86" s="2">
        <f t="shared" si="2"/>
        <v>-93.349999999999909</v>
      </c>
      <c r="Y86" s="2"/>
      <c r="Z86" s="19">
        <f t="shared" si="3"/>
        <v>8.7552287520399077E-2</v>
      </c>
    </row>
    <row r="87" spans="1:26" s="24" customFormat="1" hidden="1" outlineLevel="1" x14ac:dyDescent="0.25">
      <c r="A87" s="44"/>
      <c r="B87" s="11" t="str">
        <f>CONCATENATE("          ", "4243", " - ", "SALES RETURN TAXABLE-CARDS")</f>
        <v xml:space="preserve">          4243 - SALES RETURN TAXABLE-CARDS</v>
      </c>
      <c r="C87" s="11"/>
      <c r="D87" s="2">
        <f>0</f>
        <v>0</v>
      </c>
      <c r="E87" s="2"/>
      <c r="F87" s="19"/>
      <c r="G87" s="2"/>
      <c r="H87" s="2">
        <f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-4.5</f>
        <v>-4.5</v>
      </c>
      <c r="Q87" s="2"/>
      <c r="R87" s="19"/>
      <c r="S87" s="2"/>
      <c r="T87" s="2">
        <f>-12.95</f>
        <v>-12.95</v>
      </c>
      <c r="U87" s="2"/>
      <c r="V87" s="19"/>
      <c r="W87" s="2"/>
      <c r="X87" s="2">
        <f t="shared" si="2"/>
        <v>8.4499999999999993</v>
      </c>
      <c r="Y87" s="2"/>
      <c r="Z87" s="19">
        <f t="shared" si="3"/>
        <v>-0.65250965250965254</v>
      </c>
    </row>
    <row r="88" spans="1:26" s="24" customFormat="1" hidden="1" outlineLevel="1" x14ac:dyDescent="0.25">
      <c r="A88" s="44"/>
      <c r="B88" s="11" t="str">
        <f>CONCATENATE("          ", "4244", " - ", "SALES RETURN TAXABLE-ACCESSORI")</f>
        <v xml:space="preserve">          4244 - SALES RETURN TAXABLE-ACCESSORI</v>
      </c>
      <c r="C88" s="11"/>
      <c r="D88" s="2">
        <f>-177.85</f>
        <v>-177.85</v>
      </c>
      <c r="E88" s="2"/>
      <c r="F88" s="19"/>
      <c r="G88" s="2"/>
      <c r="H88" s="2">
        <f>-424.7</f>
        <v>-424.7</v>
      </c>
      <c r="I88" s="2"/>
      <c r="J88" s="19"/>
      <c r="K88" s="2"/>
      <c r="L88" s="2">
        <f t="shared" si="0"/>
        <v>246.85</v>
      </c>
      <c r="M88" s="2"/>
      <c r="N88" s="19">
        <f t="shared" si="1"/>
        <v>-0.58123381210266067</v>
      </c>
      <c r="O88" s="11"/>
      <c r="P88" s="2">
        <f>-1432.36</f>
        <v>-1432.36</v>
      </c>
      <c r="Q88" s="2"/>
      <c r="R88" s="19"/>
      <c r="S88" s="2"/>
      <c r="T88" s="2">
        <f>-2448.06</f>
        <v>-2448.06</v>
      </c>
      <c r="U88" s="2"/>
      <c r="V88" s="19"/>
      <c r="W88" s="2"/>
      <c r="X88" s="2">
        <f t="shared" si="2"/>
        <v>1015.7</v>
      </c>
      <c r="Y88" s="2"/>
      <c r="Z88" s="19">
        <f t="shared" si="3"/>
        <v>-0.41489996160224835</v>
      </c>
    </row>
    <row r="89" spans="1:26" s="24" customFormat="1" hidden="1" outlineLevel="1" x14ac:dyDescent="0.25">
      <c r="A89" s="44"/>
      <c r="B89" s="11" t="str">
        <f>CONCATENATE("          ", "4245", " - ", "SALES RETURN TAXABLE-SPECIAL O")</f>
        <v xml:space="preserve">          4245 - SALES RETURN TAXABLE-SPECIAL O</v>
      </c>
      <c r="C89" s="11"/>
      <c r="D89" s="2">
        <f>0</f>
        <v>0</v>
      </c>
      <c r="E89" s="2"/>
      <c r="F89" s="19"/>
      <c r="G89" s="2"/>
      <c r="H89" s="2">
        <f t="shared" ref="H89:H92" si="7"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-91.96</f>
        <v>-91.96</v>
      </c>
      <c r="Q89" s="2"/>
      <c r="R89" s="19"/>
      <c r="S89" s="2"/>
      <c r="T89" s="2">
        <f>-174.85</f>
        <v>-174.85</v>
      </c>
      <c r="U89" s="2"/>
      <c r="V89" s="19"/>
      <c r="W89" s="2"/>
      <c r="X89" s="2">
        <f t="shared" si="2"/>
        <v>82.89</v>
      </c>
      <c r="Y89" s="2"/>
      <c r="Z89" s="19">
        <f t="shared" si="3"/>
        <v>-0.47406348298541606</v>
      </c>
    </row>
    <row r="90" spans="1:26" s="24" customFormat="1" hidden="1" outlineLevel="1" x14ac:dyDescent="0.25">
      <c r="A90" s="44"/>
      <c r="B90" s="11" t="str">
        <f>CONCATENATE("          ", "4281", " - ", "SALES RETURN TAXABLE-ELECTRONI")</f>
        <v xml:space="preserve">          4281 - SALES RETURN TAXABLE-ELECTRONI</v>
      </c>
      <c r="C90" s="11"/>
      <c r="D90" s="2">
        <f>-19.99</f>
        <v>-19.989999999999998</v>
      </c>
      <c r="E90" s="2"/>
      <c r="F90" s="19"/>
      <c r="G90" s="2"/>
      <c r="H90" s="2">
        <f t="shared" si="7"/>
        <v>0</v>
      </c>
      <c r="I90" s="2"/>
      <c r="J90" s="19"/>
      <c r="K90" s="2"/>
      <c r="L90" s="2">
        <f t="shared" si="0"/>
        <v>-19.989999999999998</v>
      </c>
      <c r="M90" s="2"/>
      <c r="N90" s="19">
        <f t="shared" si="1"/>
        <v>0</v>
      </c>
      <c r="O90" s="11"/>
      <c r="P90" s="2">
        <f>-44.98</f>
        <v>-44.98</v>
      </c>
      <c r="Q90" s="2"/>
      <c r="R90" s="19"/>
      <c r="S90" s="2"/>
      <c r="T90" s="2">
        <f>0</f>
        <v>0</v>
      </c>
      <c r="U90" s="2"/>
      <c r="V90" s="19"/>
      <c r="W90" s="2"/>
      <c r="X90" s="2">
        <f t="shared" si="2"/>
        <v>-44.98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"4292", " - ", "SALES RETURN TAXABLE-GRAD MERC")</f>
        <v xml:space="preserve">          4292 - SALES RETURN TAXABLE-GRAD MERC</v>
      </c>
      <c r="C91" s="11"/>
      <c r="D91" s="2">
        <f>-39.95</f>
        <v>-39.950000000000003</v>
      </c>
      <c r="E91" s="2"/>
      <c r="F91" s="19"/>
      <c r="G91" s="2"/>
      <c r="H91" s="2">
        <f t="shared" si="7"/>
        <v>0</v>
      </c>
      <c r="I91" s="2"/>
      <c r="J91" s="19"/>
      <c r="K91" s="2"/>
      <c r="L91" s="2">
        <f t="shared" si="0"/>
        <v>-39.950000000000003</v>
      </c>
      <c r="M91" s="2"/>
      <c r="N91" s="19">
        <f t="shared" si="1"/>
        <v>0</v>
      </c>
      <c r="O91" s="11"/>
      <c r="P91" s="2">
        <f>-409.1</f>
        <v>-409.1</v>
      </c>
      <c r="Q91" s="2"/>
      <c r="R91" s="19"/>
      <c r="S91" s="2"/>
      <c r="T91" s="2">
        <f>-478.25</f>
        <v>-478.25</v>
      </c>
      <c r="U91" s="2"/>
      <c r="V91" s="19"/>
      <c r="W91" s="2"/>
      <c r="X91" s="2">
        <f t="shared" si="2"/>
        <v>69.149999999999977</v>
      </c>
      <c r="Y91" s="2"/>
      <c r="Z91" s="19">
        <f t="shared" si="3"/>
        <v>-0.14458964976476735</v>
      </c>
    </row>
    <row r="92" spans="1:26" s="24" customFormat="1" hidden="1" outlineLevel="1" x14ac:dyDescent="0.25">
      <c r="A92" s="44"/>
      <c r="B92" s="11" t="str">
        <f>CONCATENATE("          ", "4295", " - ", "SALES RETURN TAXABLE-CUSTOMER")</f>
        <v xml:space="preserve">          4295 - SALES RETURN TAXABLE-CUSTOMER</v>
      </c>
      <c r="C92" s="11"/>
      <c r="D92" s="2">
        <f>0</f>
        <v>0</v>
      </c>
      <c r="E92" s="2"/>
      <c r="F92" s="19"/>
      <c r="G92" s="2"/>
      <c r="H92" s="2">
        <f t="shared" si="7"/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--0.99</f>
        <v>0.99</v>
      </c>
      <c r="Q92" s="2"/>
      <c r="R92" s="19"/>
      <c r="S92" s="2"/>
      <c r="T92" s="2">
        <f>-99</f>
        <v>-99</v>
      </c>
      <c r="U92" s="2"/>
      <c r="V92" s="19"/>
      <c r="W92" s="2"/>
      <c r="X92" s="2">
        <f t="shared" si="2"/>
        <v>99.99</v>
      </c>
      <c r="Y92" s="2"/>
      <c r="Z92" s="19">
        <f t="shared" si="3"/>
        <v>-1.01</v>
      </c>
    </row>
    <row r="93" spans="1:26" s="24" customFormat="1" hidden="1" outlineLevel="1" x14ac:dyDescent="0.25">
      <c r="A93" s="44"/>
      <c r="B93" s="11" t="str">
        <f>CONCATENATE("          ", "4301", " - ", "SALES RETURN NON TAXABLE-NEW T")</f>
        <v xml:space="preserve">          4301 - SALES RETURN NON TAXABLE-NEW T</v>
      </c>
      <c r="C93" s="11"/>
      <c r="D93" s="2">
        <f>-5585.76</f>
        <v>-5585.76</v>
      </c>
      <c r="E93" s="2"/>
      <c r="F93" s="19"/>
      <c r="G93" s="2"/>
      <c r="H93" s="2">
        <f>-3879.18</f>
        <v>-3879.18</v>
      </c>
      <c r="I93" s="2"/>
      <c r="J93" s="19"/>
      <c r="K93" s="2"/>
      <c r="L93" s="2">
        <f t="shared" si="0"/>
        <v>-1706.5800000000004</v>
      </c>
      <c r="M93" s="2"/>
      <c r="N93" s="19">
        <f t="shared" si="1"/>
        <v>0.43993318175490709</v>
      </c>
      <c r="O93" s="11"/>
      <c r="P93" s="2">
        <f>-12310.98</f>
        <v>-12310.98</v>
      </c>
      <c r="Q93" s="2"/>
      <c r="R93" s="19"/>
      <c r="S93" s="2"/>
      <c r="T93" s="2">
        <f>-24921.37</f>
        <v>-24921.37</v>
      </c>
      <c r="U93" s="2"/>
      <c r="V93" s="19"/>
      <c r="W93" s="2"/>
      <c r="X93" s="2">
        <f t="shared" si="2"/>
        <v>12610.39</v>
      </c>
      <c r="Y93" s="2"/>
      <c r="Z93" s="19">
        <f t="shared" si="3"/>
        <v>-0.50600709351050921</v>
      </c>
    </row>
    <row r="94" spans="1:26" s="24" customFormat="1" hidden="1" outlineLevel="1" x14ac:dyDescent="0.25">
      <c r="A94" s="44"/>
      <c r="B94" s="11" t="str">
        <f>CONCATENATE("          ", "4302", " - ", "SALES RETURN NON TAXABLE-TEXT")</f>
        <v xml:space="preserve">          4302 - SALES RETURN NON TAXABLE-TEXT</v>
      </c>
      <c r="C94" s="11"/>
      <c r="D94" s="2">
        <f>-35.1</f>
        <v>-35.1</v>
      </c>
      <c r="E94" s="2"/>
      <c r="F94" s="19"/>
      <c r="G94" s="2"/>
      <c r="H94" s="2">
        <f>-60</f>
        <v>-60</v>
      </c>
      <c r="I94" s="2"/>
      <c r="J94" s="19"/>
      <c r="K94" s="2"/>
      <c r="L94" s="2">
        <f t="shared" si="0"/>
        <v>24.9</v>
      </c>
      <c r="M94" s="2"/>
      <c r="N94" s="19">
        <f t="shared" si="1"/>
        <v>-0.41499999999999998</v>
      </c>
      <c r="O94" s="11"/>
      <c r="P94" s="2">
        <f>-683.8</f>
        <v>-683.8</v>
      </c>
      <c r="Q94" s="2"/>
      <c r="R94" s="19"/>
      <c r="S94" s="2"/>
      <c r="T94" s="2">
        <f>-2152.04</f>
        <v>-2152.04</v>
      </c>
      <c r="U94" s="2"/>
      <c r="V94" s="19"/>
      <c r="W94" s="2"/>
      <c r="X94" s="2">
        <f t="shared" si="2"/>
        <v>1468.24</v>
      </c>
      <c r="Y94" s="2"/>
      <c r="Z94" s="19">
        <f t="shared" si="3"/>
        <v>-0.68225497667329604</v>
      </c>
    </row>
    <row r="95" spans="1:26" s="24" customFormat="1" hidden="1" outlineLevel="1" x14ac:dyDescent="0.25">
      <c r="A95" s="44"/>
      <c r="B95" s="11" t="str">
        <f>CONCATENATE("          ", "4303", " - ", "SALES RETURN NON-TAXABLE-RENTA")</f>
        <v xml:space="preserve">          4303 - SALES RETURN NON-TAXABLE-RENTA</v>
      </c>
      <c r="C95" s="11"/>
      <c r="D95" s="2">
        <f>0</f>
        <v>0</v>
      </c>
      <c r="E95" s="2"/>
      <c r="F95" s="19"/>
      <c r="G95" s="2"/>
      <c r="H95" s="2">
        <f t="shared" ref="H95:H96" si="8"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-184.99</f>
        <v>-184.99</v>
      </c>
      <c r="Q95" s="2"/>
      <c r="R95" s="19"/>
      <c r="S95" s="2"/>
      <c r="T95" s="2">
        <f>-509.85</f>
        <v>-509.85</v>
      </c>
      <c r="U95" s="2"/>
      <c r="V95" s="19"/>
      <c r="W95" s="2"/>
      <c r="X95" s="2">
        <f t="shared" si="2"/>
        <v>324.86</v>
      </c>
      <c r="Y95" s="2"/>
      <c r="Z95" s="19">
        <f t="shared" si="3"/>
        <v>-0.63716779444934779</v>
      </c>
    </row>
    <row r="96" spans="1:26" s="24" customFormat="1" hidden="1" outlineLevel="1" x14ac:dyDescent="0.25">
      <c r="A96" s="44"/>
      <c r="B96" s="11" t="str">
        <f>CONCATENATE("          ", "4304", " - ", "SALES RETURN NON TAXABLE-DIGIT")</f>
        <v xml:space="preserve">          4304 - SALES RETURN NON TAXABLE-DIGIT</v>
      </c>
      <c r="C96" s="11"/>
      <c r="D96" s="2">
        <f>-617.98</f>
        <v>-617.98</v>
      </c>
      <c r="E96" s="2"/>
      <c r="F96" s="19"/>
      <c r="G96" s="2"/>
      <c r="H96" s="2">
        <f t="shared" si="8"/>
        <v>0</v>
      </c>
      <c r="I96" s="2"/>
      <c r="J96" s="19"/>
      <c r="K96" s="2"/>
      <c r="L96" s="2">
        <f t="shared" si="0"/>
        <v>-617.98</v>
      </c>
      <c r="M96" s="2"/>
      <c r="N96" s="19">
        <f t="shared" si="1"/>
        <v>0</v>
      </c>
      <c r="O96" s="11"/>
      <c r="P96" s="2">
        <f>-13133.29</f>
        <v>-13133.29</v>
      </c>
      <c r="Q96" s="2"/>
      <c r="R96" s="19"/>
      <c r="S96" s="2"/>
      <c r="T96" s="2">
        <f>-3743.75</f>
        <v>-3743.75</v>
      </c>
      <c r="U96" s="2"/>
      <c r="V96" s="19"/>
      <c r="W96" s="2"/>
      <c r="X96" s="2">
        <f t="shared" si="2"/>
        <v>-9389.5400000000009</v>
      </c>
      <c r="Y96" s="2"/>
      <c r="Z96" s="19">
        <f t="shared" si="3"/>
        <v>2.5080574290484141</v>
      </c>
    </row>
    <row r="97" spans="1:26" s="24" customFormat="1" hidden="1" outlineLevel="1" x14ac:dyDescent="0.25">
      <c r="A97" s="44"/>
      <c r="B97" s="11" t="str">
        <f>CONCATENATE("          ", "4311", " - ", "SALES RETURN NON TAXABLE-NO VA")</f>
        <v xml:space="preserve">          4311 - SALES RETURN NON TAXABLE-NO VA</v>
      </c>
      <c r="C97" s="11"/>
      <c r="D97" s="2">
        <f>-0.02</f>
        <v>-0.02</v>
      </c>
      <c r="E97" s="2"/>
      <c r="F97" s="19"/>
      <c r="G97" s="2"/>
      <c r="H97" s="2">
        <f>-228.36</f>
        <v>-228.36</v>
      </c>
      <c r="I97" s="2"/>
      <c r="J97" s="19"/>
      <c r="K97" s="2"/>
      <c r="L97" s="2">
        <f t="shared" si="0"/>
        <v>228.34</v>
      </c>
      <c r="M97" s="2"/>
      <c r="N97" s="19">
        <f t="shared" si="1"/>
        <v>-0.99991241898756344</v>
      </c>
      <c r="O97" s="11"/>
      <c r="P97" s="2">
        <f>-387.96</f>
        <v>-387.96</v>
      </c>
      <c r="Q97" s="2"/>
      <c r="R97" s="19"/>
      <c r="S97" s="2"/>
      <c r="T97" s="2">
        <f>-586.28</f>
        <v>-586.28</v>
      </c>
      <c r="U97" s="2"/>
      <c r="V97" s="19"/>
      <c r="W97" s="2"/>
      <c r="X97" s="2">
        <f t="shared" si="2"/>
        <v>198.32</v>
      </c>
      <c r="Y97" s="2"/>
      <c r="Z97" s="19">
        <f t="shared" si="3"/>
        <v>-0.33826840417547932</v>
      </c>
    </row>
    <row r="98" spans="1:26" s="24" customFormat="1" hidden="1" outlineLevel="1" x14ac:dyDescent="0.25">
      <c r="A98" s="44"/>
      <c r="B98" s="11" t="str">
        <f>CONCATENATE("          ", "4326", " - ", "SALES RETURN NON TAXABLE-WRITI")</f>
        <v xml:space="preserve">          4326 - SALES RETURN NON TAXABLE-WRITI</v>
      </c>
      <c r="C98" s="11"/>
      <c r="D98" s="2">
        <f t="shared" ref="D98:D100" si="9">0</f>
        <v>0</v>
      </c>
      <c r="E98" s="2"/>
      <c r="F98" s="19"/>
      <c r="G98" s="2"/>
      <c r="H98" s="2">
        <f>-2.5</f>
        <v>-2.5</v>
      </c>
      <c r="I98" s="2"/>
      <c r="J98" s="19"/>
      <c r="K98" s="2"/>
      <c r="L98" s="2">
        <f t="shared" si="0"/>
        <v>2.5</v>
      </c>
      <c r="M98" s="2"/>
      <c r="N98" s="19">
        <f t="shared" si="1"/>
        <v>-1</v>
      </c>
      <c r="O98" s="11"/>
      <c r="P98" s="2">
        <f>0</f>
        <v>0</v>
      </c>
      <c r="Q98" s="2"/>
      <c r="R98" s="19"/>
      <c r="S98" s="2"/>
      <c r="T98" s="2">
        <f>-8.08</f>
        <v>-8.08</v>
      </c>
      <c r="U98" s="2"/>
      <c r="V98" s="19"/>
      <c r="W98" s="2"/>
      <c r="X98" s="2">
        <f t="shared" si="2"/>
        <v>8.08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"4327", " - ", "SALES RETURN NON TAXABLE-SCHOO")</f>
        <v xml:space="preserve">          4327 - SALES RETURN NON TAXABLE-SCHOO</v>
      </c>
      <c r="C99" s="11"/>
      <c r="D99" s="2">
        <f t="shared" si="9"/>
        <v>0</v>
      </c>
      <c r="E99" s="2"/>
      <c r="F99" s="19"/>
      <c r="G99" s="2"/>
      <c r="H99" s="2">
        <f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-21.87</f>
        <v>-21.87</v>
      </c>
      <c r="Q99" s="2"/>
      <c r="R99" s="19"/>
      <c r="S99" s="2"/>
      <c r="T99" s="2">
        <f>0</f>
        <v>0</v>
      </c>
      <c r="U99" s="2"/>
      <c r="V99" s="19"/>
      <c r="W99" s="2"/>
      <c r="X99" s="2">
        <f t="shared" si="2"/>
        <v>-21.87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"4340", " - ", "SALES RETURN NON TAXABLE-LOGO")</f>
        <v xml:space="preserve">          4340 - SALES RETURN NON TAXABLE-LOGO</v>
      </c>
      <c r="C100" s="11"/>
      <c r="D100" s="2">
        <f t="shared" si="9"/>
        <v>0</v>
      </c>
      <c r="E100" s="2"/>
      <c r="F100" s="19"/>
      <c r="G100" s="2"/>
      <c r="H100" s="2">
        <f>-39.95</f>
        <v>-39.950000000000003</v>
      </c>
      <c r="I100" s="2"/>
      <c r="J100" s="19"/>
      <c r="K100" s="2"/>
      <c r="L100" s="2">
        <f t="shared" si="0"/>
        <v>39.950000000000003</v>
      </c>
      <c r="M100" s="2"/>
      <c r="N100" s="19">
        <f t="shared" si="1"/>
        <v>-1</v>
      </c>
      <c r="O100" s="11"/>
      <c r="P100" s="2">
        <f>-293.45</f>
        <v>-293.45</v>
      </c>
      <c r="Q100" s="2"/>
      <c r="R100" s="19"/>
      <c r="S100" s="2"/>
      <c r="T100" s="2">
        <f>-266.64</f>
        <v>-266.64</v>
      </c>
      <c r="U100" s="2"/>
      <c r="V100" s="19"/>
      <c r="W100" s="2"/>
      <c r="X100" s="2">
        <f t="shared" si="2"/>
        <v>-26.810000000000002</v>
      </c>
      <c r="Y100" s="2"/>
      <c r="Z100" s="19">
        <f t="shared" si="3"/>
        <v>0.10054755475547555</v>
      </c>
    </row>
    <row r="101" spans="1:26" s="24" customFormat="1" hidden="1" outlineLevel="1" x14ac:dyDescent="0.25">
      <c r="A101" s="44"/>
      <c r="B101" s="11" t="str">
        <f>CONCATENATE("          ", "4341", " - ", "SALES RETURN NON TAXABLE-LOGO")</f>
        <v xml:space="preserve">          4341 - SALES RETURN NON TAXABLE-LOGO</v>
      </c>
      <c r="C101" s="11"/>
      <c r="D101" s="2">
        <f>-6.95</f>
        <v>-6.95</v>
      </c>
      <c r="E101" s="2"/>
      <c r="F101" s="19"/>
      <c r="G101" s="2"/>
      <c r="H101" s="2">
        <f>-11.9</f>
        <v>-11.9</v>
      </c>
      <c r="I101" s="2"/>
      <c r="J101" s="19"/>
      <c r="K101" s="2"/>
      <c r="L101" s="2">
        <f t="shared" si="0"/>
        <v>4.95</v>
      </c>
      <c r="M101" s="2"/>
      <c r="N101" s="19">
        <f t="shared" si="1"/>
        <v>-0.41596638655462187</v>
      </c>
      <c r="O101" s="11"/>
      <c r="P101" s="2">
        <f>-10.9</f>
        <v>-10.9</v>
      </c>
      <c r="Q101" s="2"/>
      <c r="R101" s="19"/>
      <c r="S101" s="2"/>
      <c r="T101" s="2">
        <f>-60</f>
        <v>-60</v>
      </c>
      <c r="U101" s="2"/>
      <c r="V101" s="19"/>
      <c r="W101" s="2"/>
      <c r="X101" s="2">
        <f t="shared" si="2"/>
        <v>49.1</v>
      </c>
      <c r="Y101" s="2"/>
      <c r="Z101" s="19">
        <f t="shared" si="3"/>
        <v>-0.81833333333333336</v>
      </c>
    </row>
    <row r="102" spans="1:26" s="24" customFormat="1" hidden="1" outlineLevel="1" x14ac:dyDescent="0.25">
      <c r="A102" s="44"/>
      <c r="B102" s="11" t="str">
        <f>CONCATENATE("          ", "4342", " - ", "SALES RETURN NON TAXABLE-EVERY")</f>
        <v xml:space="preserve">          4342 - SALES RETURN NON TAXABLE-EVERY</v>
      </c>
      <c r="C102" s="11"/>
      <c r="D102" s="2">
        <f>-92.85</f>
        <v>-92.85</v>
      </c>
      <c r="E102" s="2"/>
      <c r="F102" s="19"/>
      <c r="G102" s="2"/>
      <c r="H102" s="2">
        <f t="shared" ref="H102:H103" si="10">0</f>
        <v>0</v>
      </c>
      <c r="I102" s="2"/>
      <c r="J102" s="19"/>
      <c r="K102" s="2"/>
      <c r="L102" s="2">
        <f t="shared" si="0"/>
        <v>-92.85</v>
      </c>
      <c r="M102" s="2"/>
      <c r="N102" s="19">
        <f t="shared" si="1"/>
        <v>0</v>
      </c>
      <c r="O102" s="11"/>
      <c r="P102" s="2">
        <f>-102.85</f>
        <v>-102.85</v>
      </c>
      <c r="Q102" s="2"/>
      <c r="R102" s="19"/>
      <c r="S102" s="2"/>
      <c r="T102" s="2">
        <f t="shared" ref="T102:T103" si="11">0</f>
        <v>0</v>
      </c>
      <c r="U102" s="2"/>
      <c r="V102" s="19"/>
      <c r="W102" s="2"/>
      <c r="X102" s="2">
        <f t="shared" si="2"/>
        <v>-102.85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"4346", " - ", "SALES RETURN NON TAXABLE-COIN-")</f>
        <v xml:space="preserve">          4346 - SALES RETURN NON TAXABLE-COIN-</v>
      </c>
      <c r="C103" s="11"/>
      <c r="D103" s="2">
        <f>0</f>
        <v>0</v>
      </c>
      <c r="E103" s="2"/>
      <c r="F103" s="19"/>
      <c r="G103" s="2"/>
      <c r="H103" s="2">
        <f t="shared" si="10"/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-8.15</f>
        <v>-8.15</v>
      </c>
      <c r="Q103" s="2"/>
      <c r="R103" s="19"/>
      <c r="S103" s="2"/>
      <c r="T103" s="2">
        <f t="shared" si="11"/>
        <v>0</v>
      </c>
      <c r="U103" s="2"/>
      <c r="V103" s="19"/>
      <c r="W103" s="2"/>
      <c r="X103" s="2">
        <f t="shared" si="2"/>
        <v>-8.15</v>
      </c>
      <c r="Y103" s="2"/>
      <c r="Z103" s="19">
        <f t="shared" si="3"/>
        <v>0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collapsed="1" x14ac:dyDescent="0.25">
      <c r="A105" s="10"/>
      <c r="B105" s="29" t="s">
        <v>8</v>
      </c>
      <c r="C105" s="10"/>
      <c r="D105" s="4">
        <f>SUM(OSRRefD16x_0)</f>
        <v>213090.59999999995</v>
      </c>
      <c r="E105" s="4"/>
      <c r="F105" s="12">
        <f t="shared" ref="F105:F154" si="12">IF(D$12=0,0,D105/D$12)</f>
        <v>0.44503953675083907</v>
      </c>
      <c r="G105" s="4"/>
      <c r="H105" s="4">
        <f>SUM(OSRRefH16x_0)</f>
        <v>214097.10000000003</v>
      </c>
      <c r="I105" s="4"/>
      <c r="J105" s="12">
        <f t="shared" ref="J105:J154" si="13">IF(H$12=0,0,H105/H$12)</f>
        <v>0.45842953489306271</v>
      </c>
      <c r="K105" s="4"/>
      <c r="L105" s="4">
        <f t="shared" ref="L105:L154" si="14">+D105-H105</f>
        <v>-1006.5000000000873</v>
      </c>
      <c r="M105" s="4"/>
      <c r="N105" s="12">
        <f t="shared" ref="N105:N154" si="15">IF(H105=0,0,L105/H105)</f>
        <v>-4.7011379416166173E-3</v>
      </c>
      <c r="O105" s="10"/>
      <c r="P105" s="4">
        <f>SUM(OSRRefP16x_0)</f>
        <v>2815193.22</v>
      </c>
      <c r="Q105" s="4"/>
      <c r="R105" s="12">
        <f t="shared" ref="R105:R154" si="16">IF(P$12=0,0,P105/P$12)</f>
        <v>0.60924156628463277</v>
      </c>
      <c r="S105" s="4"/>
      <c r="T105" s="4">
        <f>SUM(OSRRefT16x_0)</f>
        <v>3162206.9299999992</v>
      </c>
      <c r="U105" s="4"/>
      <c r="V105" s="12">
        <f t="shared" ref="V105:V154" si="17">IF(T$12=0,0,T105/T$12)</f>
        <v>0.63010657272266268</v>
      </c>
      <c r="W105" s="4"/>
      <c r="X105" s="4">
        <f t="shared" ref="X105:X154" si="18">+P105-T105</f>
        <v>-347013.70999999903</v>
      </c>
      <c r="Y105" s="4"/>
      <c r="Z105" s="12">
        <f t="shared" ref="Z105:Z154" si="19">IF(T105=0,0,X105/T105)</f>
        <v>-0.10973782477922756</v>
      </c>
    </row>
    <row r="106" spans="1:26" s="24" customFormat="1" hidden="1" outlineLevel="1" x14ac:dyDescent="0.25">
      <c r="A106" s="44"/>
      <c r="B106" s="11" t="str">
        <f>CONCATENATE("          ", "5001", " - ", "PURCHASES @ COST-NEW TEXT")</f>
        <v xml:space="preserve">          5001 - PURCHASES @ COST-NEW TEXT</v>
      </c>
      <c r="C106" s="11"/>
      <c r="D106" s="2">
        <v>-175502.53</v>
      </c>
      <c r="E106" s="2"/>
      <c r="F106" s="19">
        <f t="shared" si="12"/>
        <v>-0.36653688454488492</v>
      </c>
      <c r="G106" s="2"/>
      <c r="H106" s="2">
        <v>-327927.62</v>
      </c>
      <c r="I106" s="2"/>
      <c r="J106" s="19">
        <f t="shared" si="13"/>
        <v>-0.70216600932562367</v>
      </c>
      <c r="K106" s="2"/>
      <c r="L106" s="2">
        <f t="shared" si="14"/>
        <v>152425.09</v>
      </c>
      <c r="M106" s="2"/>
      <c r="N106" s="19">
        <f t="shared" si="15"/>
        <v>-0.46481321091526234</v>
      </c>
      <c r="O106" s="11"/>
      <c r="P106" s="2">
        <v>1757148.42</v>
      </c>
      <c r="Q106" s="2"/>
      <c r="R106" s="19">
        <f t="shared" si="16"/>
        <v>0.38026798586683425</v>
      </c>
      <c r="S106" s="2"/>
      <c r="T106" s="2">
        <v>1724550.02</v>
      </c>
      <c r="U106" s="2"/>
      <c r="V106" s="19">
        <f t="shared" si="17"/>
        <v>0.34363668369767303</v>
      </c>
      <c r="W106" s="2"/>
      <c r="X106" s="2">
        <f t="shared" si="18"/>
        <v>32598.399999999907</v>
      </c>
      <c r="Y106" s="2"/>
      <c r="Z106" s="19">
        <f t="shared" si="19"/>
        <v>1.8902554070307515E-2</v>
      </c>
    </row>
    <row r="107" spans="1:26" s="24" customFormat="1" hidden="1" outlineLevel="1" x14ac:dyDescent="0.25">
      <c r="A107" s="44"/>
      <c r="B107" s="11" t="str">
        <f>CONCATENATE("          ", "5002", " - ", "PURCHASES @ COST-USED TEXT")</f>
        <v xml:space="preserve">          5002 - PURCHASES @ COST-USED TEXT</v>
      </c>
      <c r="C107" s="11"/>
      <c r="D107" s="2">
        <v>14221.93</v>
      </c>
      <c r="E107" s="2"/>
      <c r="F107" s="19">
        <f t="shared" si="12"/>
        <v>2.970248870153288E-2</v>
      </c>
      <c r="G107" s="2"/>
      <c r="H107" s="2">
        <v>1917.24</v>
      </c>
      <c r="I107" s="2"/>
      <c r="J107" s="19">
        <f t="shared" si="13"/>
        <v>4.1052374902713559E-3</v>
      </c>
      <c r="K107" s="2"/>
      <c r="L107" s="2">
        <f t="shared" si="14"/>
        <v>12304.69</v>
      </c>
      <c r="M107" s="2"/>
      <c r="N107" s="19">
        <f t="shared" si="15"/>
        <v>6.417918466128393</v>
      </c>
      <c r="O107" s="11"/>
      <c r="P107" s="2">
        <v>368033.17</v>
      </c>
      <c r="Q107" s="2"/>
      <c r="R107" s="19">
        <f t="shared" si="16"/>
        <v>7.9646790615494054E-2</v>
      </c>
      <c r="S107" s="2"/>
      <c r="T107" s="2">
        <v>316967.42000000004</v>
      </c>
      <c r="U107" s="2"/>
      <c r="V107" s="19">
        <f t="shared" si="17"/>
        <v>6.3159451326907576E-2</v>
      </c>
      <c r="W107" s="2"/>
      <c r="X107" s="2">
        <f t="shared" si="18"/>
        <v>51065.749999999942</v>
      </c>
      <c r="Y107" s="2"/>
      <c r="Z107" s="19">
        <f t="shared" si="19"/>
        <v>0.16110725196930314</v>
      </c>
    </row>
    <row r="108" spans="1:26" s="24" customFormat="1" hidden="1" outlineLevel="1" x14ac:dyDescent="0.25">
      <c r="A108" s="44"/>
      <c r="B108" s="11" t="str">
        <f>CONCATENATE("          ", "5003", " - ", "PURCHASES @ COST-RENTAL TEXT")</f>
        <v xml:space="preserve">          5003 - PURCHASES @ COST-RENTAL TEXT</v>
      </c>
      <c r="C108" s="11"/>
      <c r="D108" s="2"/>
      <c r="E108" s="2"/>
      <c r="F108" s="19">
        <f t="shared" si="12"/>
        <v>0</v>
      </c>
      <c r="G108" s="2"/>
      <c r="H108" s="2">
        <v>707.2</v>
      </c>
      <c r="I108" s="2"/>
      <c r="J108" s="19">
        <f t="shared" si="13"/>
        <v>1.5142725757442484E-3</v>
      </c>
      <c r="K108" s="2"/>
      <c r="L108" s="2">
        <f t="shared" si="14"/>
        <v>-707.2</v>
      </c>
      <c r="M108" s="2"/>
      <c r="N108" s="19">
        <f t="shared" si="15"/>
        <v>-1</v>
      </c>
      <c r="O108" s="11"/>
      <c r="P108" s="2">
        <v>-78.400000000000006</v>
      </c>
      <c r="Q108" s="2"/>
      <c r="R108" s="19">
        <f t="shared" si="16"/>
        <v>-1.6966699996782177E-5</v>
      </c>
      <c r="S108" s="2"/>
      <c r="T108" s="2">
        <v>185.1</v>
      </c>
      <c r="U108" s="2"/>
      <c r="V108" s="19">
        <f t="shared" si="17"/>
        <v>3.6883331544329038E-5</v>
      </c>
      <c r="W108" s="2"/>
      <c r="X108" s="2">
        <f t="shared" si="18"/>
        <v>-263.5</v>
      </c>
      <c r="Y108" s="2"/>
      <c r="Z108" s="19">
        <f t="shared" si="19"/>
        <v>-1.4235548352242031</v>
      </c>
    </row>
    <row r="109" spans="1:26" s="24" customFormat="1" hidden="1" outlineLevel="1" x14ac:dyDescent="0.25">
      <c r="A109" s="44"/>
      <c r="B109" s="11" t="str">
        <f>CONCATENATE("          ", "5004", " - ", "PURCHASES @ COST-DIGITAL TEXT")</f>
        <v xml:space="preserve">          5004 - PURCHASES @ COST-DIGITAL TEXT</v>
      </c>
      <c r="C109" s="11"/>
      <c r="D109" s="2">
        <v>-30949.360000000001</v>
      </c>
      <c r="E109" s="2"/>
      <c r="F109" s="19">
        <f t="shared" si="12"/>
        <v>-6.4637712020778726E-2</v>
      </c>
      <c r="G109" s="2"/>
      <c r="H109" s="2">
        <v>51916.84</v>
      </c>
      <c r="I109" s="2"/>
      <c r="J109" s="19">
        <f t="shared" si="13"/>
        <v>0.1111655076800085</v>
      </c>
      <c r="K109" s="2"/>
      <c r="L109" s="2">
        <f t="shared" si="14"/>
        <v>-82866.2</v>
      </c>
      <c r="M109" s="2"/>
      <c r="N109" s="19">
        <f t="shared" si="15"/>
        <v>-1.5961333548035668</v>
      </c>
      <c r="O109" s="11"/>
      <c r="P109" s="2">
        <v>322779.02999999997</v>
      </c>
      <c r="Q109" s="2"/>
      <c r="R109" s="19">
        <f t="shared" si="16"/>
        <v>6.9853252133448382E-2</v>
      </c>
      <c r="S109" s="2"/>
      <c r="T109" s="2">
        <v>291596.33</v>
      </c>
      <c r="U109" s="2"/>
      <c r="V109" s="19">
        <f t="shared" si="17"/>
        <v>5.8103966053482337E-2</v>
      </c>
      <c r="W109" s="2"/>
      <c r="X109" s="2">
        <f t="shared" si="18"/>
        <v>31182.699999999953</v>
      </c>
      <c r="Y109" s="2"/>
      <c r="Z109" s="19">
        <f t="shared" si="19"/>
        <v>0.10693790281928429</v>
      </c>
    </row>
    <row r="110" spans="1:26" s="24" customFormat="1" hidden="1" outlineLevel="1" x14ac:dyDescent="0.25">
      <c r="A110" s="44"/>
      <c r="B110" s="11" t="str">
        <f>CONCATENATE("          ", "5011", " - ", "PURCHASES @ COST-NO VALUE TEXT")</f>
        <v xml:space="preserve">          5011 - PURCHASES @ COST-NO VALUE TEXT</v>
      </c>
      <c r="C110" s="11"/>
      <c r="D110" s="2">
        <v>90</v>
      </c>
      <c r="E110" s="2"/>
      <c r="F110" s="19">
        <f t="shared" si="12"/>
        <v>1.8796492340617338E-4</v>
      </c>
      <c r="G110" s="2"/>
      <c r="H110" s="2">
        <v>1692</v>
      </c>
      <c r="I110" s="2"/>
      <c r="J110" s="19">
        <f t="shared" si="13"/>
        <v>3.6229485268089198E-3</v>
      </c>
      <c r="K110" s="2"/>
      <c r="L110" s="2">
        <f t="shared" si="14"/>
        <v>-1602</v>
      </c>
      <c r="M110" s="2"/>
      <c r="N110" s="19">
        <f t="shared" si="15"/>
        <v>-0.94680851063829785</v>
      </c>
      <c r="O110" s="11"/>
      <c r="P110" s="2">
        <v>3675</v>
      </c>
      <c r="Q110" s="2"/>
      <c r="R110" s="19">
        <f t="shared" si="16"/>
        <v>7.9531406234916444E-4</v>
      </c>
      <c r="S110" s="2"/>
      <c r="T110" s="2">
        <v>2775</v>
      </c>
      <c r="U110" s="2"/>
      <c r="V110" s="19">
        <f t="shared" si="17"/>
        <v>5.5295108068888752E-4</v>
      </c>
      <c r="W110" s="2"/>
      <c r="X110" s="2">
        <f t="shared" si="18"/>
        <v>900</v>
      </c>
      <c r="Y110" s="2"/>
      <c r="Z110" s="19">
        <f t="shared" si="19"/>
        <v>0.32432432432432434</v>
      </c>
    </row>
    <row r="111" spans="1:26" s="24" customFormat="1" hidden="1" outlineLevel="1" x14ac:dyDescent="0.25">
      <c r="A111" s="44"/>
      <c r="B111" s="11" t="str">
        <f>CONCATENATE("          ", "5013", " - ", "PURCHASES @ COST-TRADE BOOKS")</f>
        <v xml:space="preserve">          5013 - PURCHASES @ COST-TRADE BOOKS</v>
      </c>
      <c r="C111" s="11"/>
      <c r="D111" s="2">
        <v>212.56</v>
      </c>
      <c r="E111" s="2"/>
      <c r="F111" s="19">
        <f t="shared" si="12"/>
        <v>4.4393137910240236E-4</v>
      </c>
      <c r="G111" s="2"/>
      <c r="H111" s="2">
        <v>557.55999999999995</v>
      </c>
      <c r="I111" s="2"/>
      <c r="J111" s="19">
        <f t="shared" si="13"/>
        <v>1.1938600358200834E-3</v>
      </c>
      <c r="K111" s="2"/>
      <c r="L111" s="2">
        <f t="shared" si="14"/>
        <v>-344.99999999999994</v>
      </c>
      <c r="M111" s="2"/>
      <c r="N111" s="19">
        <f t="shared" si="15"/>
        <v>-0.6187674869072386</v>
      </c>
      <c r="O111" s="11"/>
      <c r="P111" s="2">
        <v>687.35</v>
      </c>
      <c r="Q111" s="2"/>
      <c r="R111" s="19">
        <f t="shared" si="16"/>
        <v>1.4875078115801312E-4</v>
      </c>
      <c r="S111" s="2"/>
      <c r="T111" s="2">
        <v>1136.94</v>
      </c>
      <c r="U111" s="2"/>
      <c r="V111" s="19">
        <f t="shared" si="17"/>
        <v>2.2654854114537794E-4</v>
      </c>
      <c r="W111" s="2"/>
      <c r="X111" s="2">
        <f t="shared" si="18"/>
        <v>-449.59000000000003</v>
      </c>
      <c r="Y111" s="2"/>
      <c r="Z111" s="19">
        <f t="shared" si="19"/>
        <v>-0.39543863352507608</v>
      </c>
    </row>
    <row r="112" spans="1:26" s="24" customFormat="1" hidden="1" outlineLevel="1" x14ac:dyDescent="0.25">
      <c r="A112" s="44"/>
      <c r="B112" s="11" t="str">
        <f>CONCATENATE("          ", "5014", " - ", "PURCHASES @ COST-REMAINDERS")</f>
        <v xml:space="preserve">          5014 - PURCHASES @ COST-REMAINDERS</v>
      </c>
      <c r="C112" s="11"/>
      <c r="D112" s="2">
        <v>52</v>
      </c>
      <c r="E112" s="2"/>
      <c r="F112" s="19">
        <f t="shared" si="12"/>
        <v>1.0860195574578906E-4</v>
      </c>
      <c r="G112" s="2"/>
      <c r="H112" s="2">
        <v>87.6</v>
      </c>
      <c r="I112" s="2"/>
      <c r="J112" s="19">
        <f t="shared" si="13"/>
        <v>1.8757109394117101E-4</v>
      </c>
      <c r="K112" s="2"/>
      <c r="L112" s="2">
        <f t="shared" si="14"/>
        <v>-35.599999999999994</v>
      </c>
      <c r="M112" s="2"/>
      <c r="N112" s="19">
        <f t="shared" si="15"/>
        <v>-0.40639269406392692</v>
      </c>
      <c r="O112" s="11"/>
      <c r="P112" s="2">
        <v>341.97</v>
      </c>
      <c r="Q112" s="2"/>
      <c r="R112" s="19">
        <f t="shared" si="16"/>
        <v>7.400640813647451E-5</v>
      </c>
      <c r="S112" s="2"/>
      <c r="T112" s="2">
        <v>488.86</v>
      </c>
      <c r="U112" s="2"/>
      <c r="V112" s="19">
        <f t="shared" si="17"/>
        <v>9.7411050560565601E-5</v>
      </c>
      <c r="W112" s="2"/>
      <c r="X112" s="2">
        <f t="shared" si="18"/>
        <v>-146.88999999999999</v>
      </c>
      <c r="Y112" s="2"/>
      <c r="Z112" s="19">
        <f t="shared" si="19"/>
        <v>-0.30047457349752482</v>
      </c>
    </row>
    <row r="113" spans="1:26" s="24" customFormat="1" hidden="1" outlineLevel="1" x14ac:dyDescent="0.25">
      <c r="A113" s="44"/>
      <c r="B113" s="11" t="str">
        <f>CONCATENATE("          ", "5017", " - ", "PURCHASES @ COST-DORM/HOUSEWAR")</f>
        <v xml:space="preserve">          5017 - PURCHASES @ COST-DORM/HOUSEWAR</v>
      </c>
      <c r="C113" s="11"/>
      <c r="D113" s="2"/>
      <c r="E113" s="2"/>
      <c r="F113" s="19">
        <f t="shared" si="12"/>
        <v>0</v>
      </c>
      <c r="G113" s="2"/>
      <c r="H113" s="2">
        <v>239.9</v>
      </c>
      <c r="I113" s="2"/>
      <c r="J113" s="19">
        <f t="shared" si="13"/>
        <v>5.1367928580464532E-4</v>
      </c>
      <c r="K113" s="2"/>
      <c r="L113" s="2">
        <f t="shared" si="14"/>
        <v>-239.9</v>
      </c>
      <c r="M113" s="2"/>
      <c r="N113" s="19">
        <f t="shared" si="15"/>
        <v>-1</v>
      </c>
      <c r="O113" s="11"/>
      <c r="P113" s="2">
        <v>0</v>
      </c>
      <c r="Q113" s="2"/>
      <c r="R113" s="19">
        <f t="shared" si="16"/>
        <v>0</v>
      </c>
      <c r="S113" s="2"/>
      <c r="T113" s="2">
        <v>239.9</v>
      </c>
      <c r="U113" s="2"/>
      <c r="V113" s="19">
        <f t="shared" si="17"/>
        <v>4.7802870002617698E-5</v>
      </c>
      <c r="W113" s="2"/>
      <c r="X113" s="2">
        <f t="shared" si="18"/>
        <v>-239.9</v>
      </c>
      <c r="Y113" s="2"/>
      <c r="Z113" s="19">
        <f t="shared" si="19"/>
        <v>-1</v>
      </c>
    </row>
    <row r="114" spans="1:26" s="24" customFormat="1" hidden="1" outlineLevel="1" x14ac:dyDescent="0.25">
      <c r="A114" s="44"/>
      <c r="B114" s="11" t="str">
        <f>CONCATENATE("          ", "5018", " - ", "PURCHASES @ COST-STUDY GUIDES")</f>
        <v xml:space="preserve">          5018 - PURCHASES @ COST-STUDY GUIDES</v>
      </c>
      <c r="C114" s="11"/>
      <c r="D114" s="2">
        <v>298.16000000000003</v>
      </c>
      <c r="E114" s="2"/>
      <c r="F114" s="19">
        <f t="shared" si="12"/>
        <v>6.2270690625316279E-4</v>
      </c>
      <c r="G114" s="2"/>
      <c r="H114" s="2">
        <v>-0.12</v>
      </c>
      <c r="I114" s="2"/>
      <c r="J114" s="19">
        <f t="shared" si="13"/>
        <v>-2.5694670402900139E-7</v>
      </c>
      <c r="K114" s="2"/>
      <c r="L114" s="2">
        <f t="shared" si="14"/>
        <v>298.28000000000003</v>
      </c>
      <c r="M114" s="2"/>
      <c r="N114" s="19">
        <f t="shared" si="15"/>
        <v>-2485.666666666667</v>
      </c>
      <c r="O114" s="11"/>
      <c r="P114" s="2">
        <v>802.09</v>
      </c>
      <c r="Q114" s="2"/>
      <c r="R114" s="19">
        <f t="shared" si="16"/>
        <v>1.7358189286248744E-4</v>
      </c>
      <c r="S114" s="2"/>
      <c r="T114" s="2">
        <v>1034.55</v>
      </c>
      <c r="U114" s="2"/>
      <c r="V114" s="19">
        <f t="shared" si="17"/>
        <v>2.061461407303382E-4</v>
      </c>
      <c r="W114" s="2"/>
      <c r="X114" s="2">
        <f t="shared" si="18"/>
        <v>-232.45999999999992</v>
      </c>
      <c r="Y114" s="2"/>
      <c r="Z114" s="19">
        <f t="shared" si="19"/>
        <v>-0.22469672804601029</v>
      </c>
    </row>
    <row r="115" spans="1:26" s="24" customFormat="1" hidden="1" outlineLevel="1" x14ac:dyDescent="0.25">
      <c r="A115" s="44"/>
      <c r="B115" s="11" t="str">
        <f>CONCATENATE("          ", "5025", " - ", "PURCHASES @ COST-TEST FORMS")</f>
        <v xml:space="preserve">          5025 - PURCHASES @ COST-TEST FORMS</v>
      </c>
      <c r="C115" s="11"/>
      <c r="D115" s="2">
        <v>0</v>
      </c>
      <c r="E115" s="2"/>
      <c r="F115" s="19">
        <f t="shared" si="12"/>
        <v>0</v>
      </c>
      <c r="G115" s="2"/>
      <c r="H115" s="2">
        <v>0</v>
      </c>
      <c r="I115" s="2"/>
      <c r="J115" s="19">
        <f t="shared" si="13"/>
        <v>0</v>
      </c>
      <c r="K115" s="2"/>
      <c r="L115" s="2">
        <f t="shared" si="14"/>
        <v>0</v>
      </c>
      <c r="M115" s="2"/>
      <c r="N115" s="19">
        <f t="shared" si="15"/>
        <v>0</v>
      </c>
      <c r="O115" s="11"/>
      <c r="P115" s="2">
        <v>3252.39</v>
      </c>
      <c r="Q115" s="2"/>
      <c r="R115" s="19">
        <f t="shared" si="16"/>
        <v>7.0385619135885692E-4</v>
      </c>
      <c r="S115" s="2"/>
      <c r="T115" s="2">
        <v>1050</v>
      </c>
      <c r="U115" s="2"/>
      <c r="V115" s="19">
        <f t="shared" si="17"/>
        <v>2.0922473323363311E-4</v>
      </c>
      <c r="W115" s="2"/>
      <c r="X115" s="2">
        <f t="shared" si="18"/>
        <v>2202.39</v>
      </c>
      <c r="Y115" s="2"/>
      <c r="Z115" s="19">
        <f t="shared" si="19"/>
        <v>2.0975142857142854</v>
      </c>
    </row>
    <row r="116" spans="1:26" s="24" customFormat="1" hidden="1" outlineLevel="1" x14ac:dyDescent="0.25">
      <c r="A116" s="44"/>
      <c r="B116" s="11" t="str">
        <f>CONCATENATE("          ", "5026", " - ", "PURCHASES @ COST-WRITING INSTR")</f>
        <v xml:space="preserve">          5026 - PURCHASES @ COST-WRITING INSTR</v>
      </c>
      <c r="C116" s="11"/>
      <c r="D116" s="2">
        <v>10530.19</v>
      </c>
      <c r="E116" s="2"/>
      <c r="F116" s="19">
        <f t="shared" si="12"/>
        <v>2.1992292853360587E-2</v>
      </c>
      <c r="G116" s="2"/>
      <c r="H116" s="2">
        <v>4384.4399999999996</v>
      </c>
      <c r="I116" s="2"/>
      <c r="J116" s="19">
        <f t="shared" si="13"/>
        <v>9.3880617251076229E-3</v>
      </c>
      <c r="K116" s="2"/>
      <c r="L116" s="2">
        <f t="shared" si="14"/>
        <v>6145.7500000000009</v>
      </c>
      <c r="M116" s="2"/>
      <c r="N116" s="19">
        <f t="shared" si="15"/>
        <v>1.4017183494357321</v>
      </c>
      <c r="O116" s="11"/>
      <c r="P116" s="2">
        <v>25317.57</v>
      </c>
      <c r="Q116" s="2"/>
      <c r="R116" s="19">
        <f t="shared" si="16"/>
        <v>5.4790256994583231E-3</v>
      </c>
      <c r="S116" s="2"/>
      <c r="T116" s="2">
        <v>27224.929999999997</v>
      </c>
      <c r="U116" s="2"/>
      <c r="V116" s="19">
        <f t="shared" si="17"/>
        <v>5.424884491956509E-3</v>
      </c>
      <c r="W116" s="2"/>
      <c r="X116" s="2">
        <f t="shared" si="18"/>
        <v>-1907.3599999999969</v>
      </c>
      <c r="Y116" s="2"/>
      <c r="Z116" s="19">
        <f t="shared" si="19"/>
        <v>-7.0059316956921372E-2</v>
      </c>
    </row>
    <row r="117" spans="1:26" s="24" customFormat="1" hidden="1" outlineLevel="1" x14ac:dyDescent="0.25">
      <c r="A117" s="44"/>
      <c r="B117" s="11" t="str">
        <f>CONCATENATE("          ", "5027", " - ", "PURCHASES @ COST-SCHOOL SUPPLI")</f>
        <v xml:space="preserve">          5027 - PURCHASES @ COST-SCHOOL SUPPLI</v>
      </c>
      <c r="C117" s="11"/>
      <c r="D117" s="2">
        <v>9839.7000000000007</v>
      </c>
      <c r="E117" s="2"/>
      <c r="F117" s="19">
        <f t="shared" si="12"/>
        <v>2.0550205075996936E-2</v>
      </c>
      <c r="G117" s="2"/>
      <c r="H117" s="2">
        <v>15846.8</v>
      </c>
      <c r="I117" s="2"/>
      <c r="J117" s="19">
        <f t="shared" si="13"/>
        <v>3.3931525245056493E-2</v>
      </c>
      <c r="K117" s="2"/>
      <c r="L117" s="2">
        <f t="shared" si="14"/>
        <v>-6007.0999999999985</v>
      </c>
      <c r="M117" s="2"/>
      <c r="N117" s="19">
        <f t="shared" si="15"/>
        <v>-0.37907337759042825</v>
      </c>
      <c r="O117" s="11"/>
      <c r="P117" s="2">
        <v>72022.38</v>
      </c>
      <c r="Q117" s="2"/>
      <c r="R117" s="19">
        <f t="shared" si="16"/>
        <v>1.5586506562681693E-2</v>
      </c>
      <c r="S117" s="2"/>
      <c r="T117" s="2">
        <v>74579.03</v>
      </c>
      <c r="U117" s="2"/>
      <c r="V117" s="19">
        <f t="shared" si="17"/>
        <v>1.4860740625307733E-2</v>
      </c>
      <c r="W117" s="2"/>
      <c r="X117" s="2">
        <f t="shared" si="18"/>
        <v>-2556.6499999999942</v>
      </c>
      <c r="Y117" s="2"/>
      <c r="Z117" s="19">
        <f t="shared" si="19"/>
        <v>-3.4281084106349925E-2</v>
      </c>
    </row>
    <row r="118" spans="1:26" s="24" customFormat="1" hidden="1" outlineLevel="1" x14ac:dyDescent="0.25">
      <c r="A118" s="44"/>
      <c r="B118" s="11" t="str">
        <f>CONCATENATE("          ", "5028", " - ", "PURCHASES @ COST-ART/TECH")</f>
        <v xml:space="preserve">          5028 - PURCHASES @ COST-ART/TECH</v>
      </c>
      <c r="C118" s="11"/>
      <c r="D118" s="2">
        <v>19494.289999999997</v>
      </c>
      <c r="E118" s="2"/>
      <c r="F118" s="19">
        <f t="shared" si="12"/>
        <v>4.0713808074530344E-2</v>
      </c>
      <c r="G118" s="2"/>
      <c r="H118" s="2">
        <v>29619.939999999995</v>
      </c>
      <c r="I118" s="2"/>
      <c r="J118" s="19">
        <f t="shared" si="13"/>
        <v>6.3422882971139821E-2</v>
      </c>
      <c r="K118" s="2"/>
      <c r="L118" s="2">
        <f t="shared" si="14"/>
        <v>-10125.649999999998</v>
      </c>
      <c r="M118" s="2"/>
      <c r="N118" s="19">
        <f t="shared" si="15"/>
        <v>-0.34185248180786321</v>
      </c>
      <c r="O118" s="11"/>
      <c r="P118" s="2">
        <v>90339.069999999992</v>
      </c>
      <c r="Q118" s="2"/>
      <c r="R118" s="19">
        <f t="shared" si="16"/>
        <v>1.9550457891304905E-2</v>
      </c>
      <c r="S118" s="2"/>
      <c r="T118" s="2">
        <v>82795.509999999995</v>
      </c>
      <c r="U118" s="2"/>
      <c r="V118" s="19">
        <f t="shared" si="17"/>
        <v>1.6497969993040575E-2</v>
      </c>
      <c r="W118" s="2"/>
      <c r="X118" s="2">
        <f t="shared" si="18"/>
        <v>7543.5599999999977</v>
      </c>
      <c r="Y118" s="2"/>
      <c r="Z118" s="19">
        <f t="shared" si="19"/>
        <v>9.1110737768267849E-2</v>
      </c>
    </row>
    <row r="119" spans="1:26" s="24" customFormat="1" hidden="1" outlineLevel="1" x14ac:dyDescent="0.25">
      <c r="A119" s="44"/>
      <c r="B119" s="11" t="str">
        <f>CONCATENATE("          ", "5031", " - ", "PURCHASES @ COST-FOOD")</f>
        <v xml:space="preserve">          5031 - PURCHASES @ COST-FOOD</v>
      </c>
      <c r="C119" s="11"/>
      <c r="D119" s="2">
        <v>7839.04</v>
      </c>
      <c r="E119" s="2"/>
      <c r="F119" s="19">
        <f t="shared" si="12"/>
        <v>1.6371828368643659E-2</v>
      </c>
      <c r="G119" s="2"/>
      <c r="H119" s="2">
        <v>6328.18</v>
      </c>
      <c r="I119" s="2"/>
      <c r="J119" s="19">
        <f t="shared" si="13"/>
        <v>1.3550041612518719E-2</v>
      </c>
      <c r="K119" s="2"/>
      <c r="L119" s="2">
        <f t="shared" si="14"/>
        <v>1510.8599999999997</v>
      </c>
      <c r="M119" s="2"/>
      <c r="N119" s="19">
        <f t="shared" si="15"/>
        <v>0.23875111011380834</v>
      </c>
      <c r="O119" s="11"/>
      <c r="P119" s="2">
        <v>15989.089999999998</v>
      </c>
      <c r="Q119" s="2"/>
      <c r="R119" s="19">
        <f t="shared" si="16"/>
        <v>3.4602307812697688E-3</v>
      </c>
      <c r="S119" s="2"/>
      <c r="T119" s="2">
        <v>13421.61</v>
      </c>
      <c r="U119" s="2"/>
      <c r="V119" s="19">
        <f t="shared" si="17"/>
        <v>2.674412163634155E-3</v>
      </c>
      <c r="W119" s="2"/>
      <c r="X119" s="2">
        <f t="shared" si="18"/>
        <v>2567.4799999999977</v>
      </c>
      <c r="Y119" s="2"/>
      <c r="Z119" s="19">
        <f t="shared" si="19"/>
        <v>0.19129448702502885</v>
      </c>
    </row>
    <row r="120" spans="1:26" s="24" customFormat="1" hidden="1" outlineLevel="1" x14ac:dyDescent="0.25">
      <c r="A120" s="44"/>
      <c r="B120" s="11" t="str">
        <f>CONCATENATE("          ", "5032", " - ", "PURCHASES @ COST-JUICE")</f>
        <v xml:space="preserve">          5032 - PURCHASES @ COST-JUICE</v>
      </c>
      <c r="C120" s="11"/>
      <c r="D120" s="2">
        <v>2565.13</v>
      </c>
      <c r="E120" s="2"/>
      <c r="F120" s="19">
        <f t="shared" si="12"/>
        <v>5.357271821965306E-3</v>
      </c>
      <c r="G120" s="2"/>
      <c r="H120" s="2">
        <v>1808.19</v>
      </c>
      <c r="I120" s="2"/>
      <c r="J120" s="19">
        <f t="shared" si="13"/>
        <v>3.8717371729850006E-3</v>
      </c>
      <c r="K120" s="2"/>
      <c r="L120" s="2">
        <f t="shared" si="14"/>
        <v>756.94</v>
      </c>
      <c r="M120" s="2"/>
      <c r="N120" s="19">
        <f t="shared" si="15"/>
        <v>0.41861751254016449</v>
      </c>
      <c r="O120" s="11"/>
      <c r="P120" s="2">
        <v>3384.28</v>
      </c>
      <c r="Q120" s="2"/>
      <c r="R120" s="19">
        <f t="shared" si="16"/>
        <v>7.3239876868762732E-4</v>
      </c>
      <c r="S120" s="2"/>
      <c r="T120" s="2">
        <v>3835.77</v>
      </c>
      <c r="U120" s="2"/>
      <c r="V120" s="19">
        <f t="shared" si="17"/>
        <v>7.6432186190054561E-4</v>
      </c>
      <c r="W120" s="2"/>
      <c r="X120" s="2">
        <f t="shared" si="18"/>
        <v>-451.48999999999978</v>
      </c>
      <c r="Y120" s="2"/>
      <c r="Z120" s="19">
        <f t="shared" si="19"/>
        <v>-0.11770518044616851</v>
      </c>
    </row>
    <row r="121" spans="1:26" s="24" customFormat="1" hidden="1" outlineLevel="1" x14ac:dyDescent="0.25">
      <c r="A121" s="44"/>
      <c r="B121" s="11" t="str">
        <f>CONCATENATE("          ", "5033", " - ", "PURCHASES @ COST-CANDY")</f>
        <v xml:space="preserve">          5033 - PURCHASES @ COST-CANDY</v>
      </c>
      <c r="C121" s="11"/>
      <c r="D121" s="2">
        <v>2102.09</v>
      </c>
      <c r="E121" s="2"/>
      <c r="F121" s="19">
        <f t="shared" si="12"/>
        <v>4.3902131760320331E-3</v>
      </c>
      <c r="G121" s="2"/>
      <c r="H121" s="2">
        <v>1794.06</v>
      </c>
      <c r="I121" s="2"/>
      <c r="J121" s="19">
        <f t="shared" si="13"/>
        <v>3.8414816985855855E-3</v>
      </c>
      <c r="K121" s="2"/>
      <c r="L121" s="2">
        <f t="shared" si="14"/>
        <v>308.0300000000002</v>
      </c>
      <c r="M121" s="2"/>
      <c r="N121" s="19">
        <f t="shared" si="15"/>
        <v>0.1716943691961251</v>
      </c>
      <c r="O121" s="11"/>
      <c r="P121" s="2">
        <v>4455.2</v>
      </c>
      <c r="Q121" s="2"/>
      <c r="R121" s="19">
        <f t="shared" si="16"/>
        <v>9.6415869675591773E-4</v>
      </c>
      <c r="S121" s="2"/>
      <c r="T121" s="2">
        <v>3566.92</v>
      </c>
      <c r="U121" s="2"/>
      <c r="V121" s="19">
        <f t="shared" si="17"/>
        <v>7.1075036711020065E-4</v>
      </c>
      <c r="W121" s="2"/>
      <c r="X121" s="2">
        <f t="shared" si="18"/>
        <v>888.27999999999975</v>
      </c>
      <c r="Y121" s="2"/>
      <c r="Z121" s="19">
        <f t="shared" si="19"/>
        <v>0.2490327789801845</v>
      </c>
    </row>
    <row r="122" spans="1:26" s="24" customFormat="1" hidden="1" outlineLevel="1" x14ac:dyDescent="0.25">
      <c r="A122" s="44"/>
      <c r="B122" s="11" t="str">
        <f>CONCATENATE("          ", "5034", " - ", "PURCHASES @ COST-SODA")</f>
        <v xml:space="preserve">          5034 - PURCHASES @ COST-SODA</v>
      </c>
      <c r="C122" s="11"/>
      <c r="D122" s="2">
        <v>876</v>
      </c>
      <c r="E122" s="2"/>
      <c r="F122" s="19">
        <f t="shared" si="12"/>
        <v>1.8295252544867542E-3</v>
      </c>
      <c r="G122" s="2"/>
      <c r="H122" s="2">
        <v>570.59</v>
      </c>
      <c r="I122" s="2"/>
      <c r="J122" s="19">
        <f t="shared" si="13"/>
        <v>1.221760165432566E-3</v>
      </c>
      <c r="K122" s="2"/>
      <c r="L122" s="2">
        <f t="shared" si="14"/>
        <v>305.40999999999997</v>
      </c>
      <c r="M122" s="2"/>
      <c r="N122" s="19">
        <f t="shared" si="15"/>
        <v>0.53525298375365837</v>
      </c>
      <c r="O122" s="11"/>
      <c r="P122" s="2">
        <v>1494.54</v>
      </c>
      <c r="Q122" s="2"/>
      <c r="R122" s="19">
        <f t="shared" si="16"/>
        <v>3.2343637516825044E-4</v>
      </c>
      <c r="S122" s="2"/>
      <c r="T122" s="2">
        <v>1257.75</v>
      </c>
      <c r="U122" s="2"/>
      <c r="V122" s="19">
        <f t="shared" si="17"/>
        <v>2.5062134116628768E-4</v>
      </c>
      <c r="W122" s="2"/>
      <c r="X122" s="2">
        <f t="shared" si="18"/>
        <v>236.78999999999996</v>
      </c>
      <c r="Y122" s="2"/>
      <c r="Z122" s="19">
        <f t="shared" si="19"/>
        <v>0.18826475849731661</v>
      </c>
    </row>
    <row r="123" spans="1:26" s="24" customFormat="1" hidden="1" outlineLevel="1" x14ac:dyDescent="0.25">
      <c r="A123" s="44"/>
      <c r="B123" s="11" t="str">
        <f>CONCATENATE("          ", "5035", " - ", "PURCHASES @ COST-HEALTH &amp; BEAU")</f>
        <v xml:space="preserve">          5035 - PURCHASES @ COST-HEALTH &amp; BEAU</v>
      </c>
      <c r="C123" s="11"/>
      <c r="D123" s="2">
        <v>291.13</v>
      </c>
      <c r="E123" s="2"/>
      <c r="F123" s="19">
        <f t="shared" si="12"/>
        <v>6.0802475723599166E-4</v>
      </c>
      <c r="G123" s="2"/>
      <c r="H123" s="2">
        <v>343.81</v>
      </c>
      <c r="I123" s="2"/>
      <c r="J123" s="19">
        <f t="shared" si="13"/>
        <v>7.3617371926842478E-4</v>
      </c>
      <c r="K123" s="2"/>
      <c r="L123" s="2">
        <f t="shared" si="14"/>
        <v>-52.680000000000007</v>
      </c>
      <c r="M123" s="2"/>
      <c r="N123" s="19">
        <f t="shared" si="15"/>
        <v>-0.15322416450946746</v>
      </c>
      <c r="O123" s="11"/>
      <c r="P123" s="2">
        <v>578.69000000000005</v>
      </c>
      <c r="Q123" s="2"/>
      <c r="R123" s="19">
        <f t="shared" si="16"/>
        <v>1.2523545435124845E-4</v>
      </c>
      <c r="S123" s="2"/>
      <c r="T123" s="2">
        <v>469.33</v>
      </c>
      <c r="U123" s="2"/>
      <c r="V123" s="19">
        <f t="shared" si="17"/>
        <v>9.3519470522420028E-5</v>
      </c>
      <c r="W123" s="2"/>
      <c r="X123" s="2">
        <f t="shared" si="18"/>
        <v>109.36000000000007</v>
      </c>
      <c r="Y123" s="2"/>
      <c r="Z123" s="19">
        <f t="shared" si="19"/>
        <v>0.23301301855837059</v>
      </c>
    </row>
    <row r="124" spans="1:26" s="24" customFormat="1" hidden="1" outlineLevel="1" x14ac:dyDescent="0.25">
      <c r="A124" s="44"/>
      <c r="B124" s="11" t="str">
        <f>CONCATENATE("          ", "5037", " - ", "PURCHASES @ COST-WATER")</f>
        <v xml:space="preserve">          5037 - PURCHASES @ COST-WATER</v>
      </c>
      <c r="C124" s="11"/>
      <c r="D124" s="2">
        <v>1463.27</v>
      </c>
      <c r="E124" s="2"/>
      <c r="F124" s="19">
        <f t="shared" si="12"/>
        <v>3.0560381496950143E-3</v>
      </c>
      <c r="G124" s="2"/>
      <c r="H124" s="2">
        <v>1459.34</v>
      </c>
      <c r="I124" s="2"/>
      <c r="J124" s="19">
        <f t="shared" si="13"/>
        <v>3.1247716921473574E-3</v>
      </c>
      <c r="K124" s="2"/>
      <c r="L124" s="2">
        <f t="shared" si="14"/>
        <v>3.9300000000000637</v>
      </c>
      <c r="M124" s="2"/>
      <c r="N124" s="19">
        <f t="shared" si="15"/>
        <v>2.6929982046679075E-3</v>
      </c>
      <c r="O124" s="11"/>
      <c r="P124" s="2">
        <v>2855.85</v>
      </c>
      <c r="Q124" s="2"/>
      <c r="R124" s="19">
        <f t="shared" si="16"/>
        <v>6.180401809414589E-4</v>
      </c>
      <c r="S124" s="2"/>
      <c r="T124" s="2">
        <v>2666.08</v>
      </c>
      <c r="U124" s="2"/>
      <c r="V124" s="19">
        <f t="shared" si="17"/>
        <v>5.3124750169478532E-4</v>
      </c>
      <c r="W124" s="2"/>
      <c r="X124" s="2">
        <f t="shared" si="18"/>
        <v>189.76999999999998</v>
      </c>
      <c r="Y124" s="2"/>
      <c r="Z124" s="19">
        <f t="shared" si="19"/>
        <v>7.1179409470083416E-2</v>
      </c>
    </row>
    <row r="125" spans="1:26" s="24" customFormat="1" hidden="1" outlineLevel="1" x14ac:dyDescent="0.25">
      <c r="A125" s="44"/>
      <c r="B125" s="11" t="str">
        <f>CONCATENATE("          ", "5040", " - ", "PURCHASES @ COST-LOGO CLOTHING")</f>
        <v xml:space="preserve">          5040 - PURCHASES @ COST-LOGO CLOTHING</v>
      </c>
      <c r="C125" s="11"/>
      <c r="D125" s="2">
        <v>176749.05</v>
      </c>
      <c r="E125" s="2"/>
      <c r="F125" s="19">
        <f t="shared" si="12"/>
        <v>0.36914024050404337</v>
      </c>
      <c r="G125" s="2"/>
      <c r="H125" s="2">
        <v>148087.87</v>
      </c>
      <c r="I125" s="2"/>
      <c r="J125" s="19">
        <f t="shared" si="13"/>
        <v>0.31708908419312698</v>
      </c>
      <c r="K125" s="2"/>
      <c r="L125" s="2">
        <f t="shared" si="14"/>
        <v>28661.179999999993</v>
      </c>
      <c r="M125" s="2"/>
      <c r="N125" s="19">
        <f t="shared" si="15"/>
        <v>0.19354171276823681</v>
      </c>
      <c r="O125" s="11"/>
      <c r="P125" s="2">
        <v>512600.91000000003</v>
      </c>
      <c r="Q125" s="2"/>
      <c r="R125" s="19">
        <f t="shared" si="16"/>
        <v>0.11093298288325945</v>
      </c>
      <c r="S125" s="2"/>
      <c r="T125" s="2">
        <v>443210.29</v>
      </c>
      <c r="U125" s="2"/>
      <c r="V125" s="19">
        <f t="shared" si="17"/>
        <v>8.8314813992048727E-2</v>
      </c>
      <c r="W125" s="2"/>
      <c r="X125" s="2">
        <f t="shared" si="18"/>
        <v>69390.620000000054</v>
      </c>
      <c r="Y125" s="2"/>
      <c r="Z125" s="19">
        <f t="shared" si="19"/>
        <v>0.15656364837558273</v>
      </c>
    </row>
    <row r="126" spans="1:26" s="24" customFormat="1" hidden="1" outlineLevel="1" x14ac:dyDescent="0.25">
      <c r="A126" s="44"/>
      <c r="B126" s="11" t="str">
        <f>CONCATENATE("          ", "5041", " - ", "PURCHASES @ COST-LOGO GIFTS")</f>
        <v xml:space="preserve">          5041 - PURCHASES @ COST-LOGO GIFTS</v>
      </c>
      <c r="C126" s="11"/>
      <c r="D126" s="2">
        <v>27759.98</v>
      </c>
      <c r="E126" s="2"/>
      <c r="F126" s="19">
        <f t="shared" si="12"/>
        <v>5.7976694605076713E-2</v>
      </c>
      <c r="G126" s="2"/>
      <c r="H126" s="2">
        <v>39602.310000000005</v>
      </c>
      <c r="I126" s="2"/>
      <c r="J126" s="19">
        <f t="shared" si="13"/>
        <v>8.479735855362304E-2</v>
      </c>
      <c r="K126" s="2"/>
      <c r="L126" s="2">
        <f t="shared" si="14"/>
        <v>-11842.330000000005</v>
      </c>
      <c r="M126" s="2"/>
      <c r="N126" s="19">
        <f t="shared" si="15"/>
        <v>-0.29903129388159438</v>
      </c>
      <c r="O126" s="11"/>
      <c r="P126" s="2">
        <v>70456.460000000006</v>
      </c>
      <c r="Q126" s="2"/>
      <c r="R126" s="19">
        <f t="shared" si="16"/>
        <v>1.524762269968474E-2</v>
      </c>
      <c r="S126" s="2"/>
      <c r="T126" s="2">
        <v>83100.850000000006</v>
      </c>
      <c r="U126" s="2"/>
      <c r="V126" s="19">
        <f t="shared" si="17"/>
        <v>1.6558812545464915E-2</v>
      </c>
      <c r="W126" s="2"/>
      <c r="X126" s="2">
        <f t="shared" si="18"/>
        <v>-12644.39</v>
      </c>
      <c r="Y126" s="2"/>
      <c r="Z126" s="19">
        <f t="shared" si="19"/>
        <v>-0.15215716806747462</v>
      </c>
    </row>
    <row r="127" spans="1:26" s="24" customFormat="1" hidden="1" outlineLevel="1" x14ac:dyDescent="0.25">
      <c r="A127" s="44"/>
      <c r="B127" s="11" t="str">
        <f>CONCATENATE("          ", "5042", " - ", "PURCHASES @ COST-EVERYDAY GIFT")</f>
        <v xml:space="preserve">          5042 - PURCHASES @ COST-EVERYDAY GIFT</v>
      </c>
      <c r="C127" s="11"/>
      <c r="D127" s="2">
        <v>13956.79</v>
      </c>
      <c r="E127" s="2"/>
      <c r="F127" s="19">
        <f t="shared" si="12"/>
        <v>2.9148744037178296E-2</v>
      </c>
      <c r="G127" s="2"/>
      <c r="H127" s="2">
        <v>25064.3</v>
      </c>
      <c r="I127" s="2"/>
      <c r="J127" s="19">
        <f t="shared" si="13"/>
        <v>5.3668243948284164E-2</v>
      </c>
      <c r="K127" s="2"/>
      <c r="L127" s="2">
        <f t="shared" si="14"/>
        <v>-11107.509999999998</v>
      </c>
      <c r="M127" s="2"/>
      <c r="N127" s="19">
        <f t="shared" si="15"/>
        <v>-0.44316059096005067</v>
      </c>
      <c r="O127" s="11"/>
      <c r="P127" s="2">
        <v>49248.47</v>
      </c>
      <c r="Q127" s="2"/>
      <c r="R127" s="19">
        <f t="shared" si="16"/>
        <v>1.0657959385083253E-2</v>
      </c>
      <c r="S127" s="2"/>
      <c r="T127" s="2">
        <v>60335.35</v>
      </c>
      <c r="U127" s="2"/>
      <c r="V127" s="19">
        <f t="shared" si="17"/>
        <v>1.2022521436483701E-2</v>
      </c>
      <c r="W127" s="2"/>
      <c r="X127" s="2">
        <f t="shared" si="18"/>
        <v>-11086.879999999997</v>
      </c>
      <c r="Y127" s="2"/>
      <c r="Z127" s="19">
        <f t="shared" si="19"/>
        <v>-0.18375429992533396</v>
      </c>
    </row>
    <row r="128" spans="1:26" s="24" customFormat="1" hidden="1" outlineLevel="1" x14ac:dyDescent="0.25">
      <c r="A128" s="44"/>
      <c r="B128" s="11" t="str">
        <f>CONCATENATE("          ", "5043", " - ", "PURCHASES @ COST-CARDS")</f>
        <v xml:space="preserve">          5043 - PURCHASES @ COST-CARDS</v>
      </c>
      <c r="C128" s="11"/>
      <c r="D128" s="2">
        <v>331.09</v>
      </c>
      <c r="E128" s="2"/>
      <c r="F128" s="19">
        <f t="shared" si="12"/>
        <v>6.9148118322833265E-4</v>
      </c>
      <c r="G128" s="2"/>
      <c r="H128" s="2">
        <v>670.29</v>
      </c>
      <c r="I128" s="2"/>
      <c r="J128" s="19">
        <f t="shared" si="13"/>
        <v>1.4352400520299946E-3</v>
      </c>
      <c r="K128" s="2"/>
      <c r="L128" s="2">
        <f t="shared" si="14"/>
        <v>-339.2</v>
      </c>
      <c r="M128" s="2"/>
      <c r="N128" s="19">
        <f t="shared" si="15"/>
        <v>-0.50604962031359557</v>
      </c>
      <c r="O128" s="11"/>
      <c r="P128" s="2">
        <v>1340.08</v>
      </c>
      <c r="Q128" s="2"/>
      <c r="R128" s="19">
        <f t="shared" si="16"/>
        <v>2.9000937923071246E-4</v>
      </c>
      <c r="S128" s="2"/>
      <c r="T128" s="2">
        <v>1808.34</v>
      </c>
      <c r="U128" s="2"/>
      <c r="V128" s="19">
        <f t="shared" si="17"/>
        <v>3.603328134244839E-4</v>
      </c>
      <c r="W128" s="2"/>
      <c r="X128" s="2">
        <f t="shared" si="18"/>
        <v>-468.26</v>
      </c>
      <c r="Y128" s="2"/>
      <c r="Z128" s="19">
        <f t="shared" si="19"/>
        <v>-0.25894466748509681</v>
      </c>
    </row>
    <row r="129" spans="1:26" s="24" customFormat="1" hidden="1" outlineLevel="1" x14ac:dyDescent="0.25">
      <c r="A129" s="44"/>
      <c r="B129" s="11" t="str">
        <f>CONCATENATE("          ", "5044", " - ", "PURCHASES @ COST-ACCESSORIES")</f>
        <v xml:space="preserve">          5044 - PURCHASES @ COST-ACCESSORIES</v>
      </c>
      <c r="C129" s="11"/>
      <c r="D129" s="2">
        <v>3747.48</v>
      </c>
      <c r="E129" s="2"/>
      <c r="F129" s="19">
        <f t="shared" si="12"/>
        <v>7.8266087907351845E-3</v>
      </c>
      <c r="G129" s="2"/>
      <c r="H129" s="2">
        <v>5410.78</v>
      </c>
      <c r="I129" s="2"/>
      <c r="J129" s="19">
        <f t="shared" si="13"/>
        <v>1.1585684060217002E-2</v>
      </c>
      <c r="K129" s="2"/>
      <c r="L129" s="2">
        <f t="shared" si="14"/>
        <v>-1663.2999999999997</v>
      </c>
      <c r="M129" s="2"/>
      <c r="N129" s="19">
        <f t="shared" si="15"/>
        <v>-0.30740484736026963</v>
      </c>
      <c r="O129" s="11"/>
      <c r="P129" s="2">
        <v>24151.129999999997</v>
      </c>
      <c r="Q129" s="2"/>
      <c r="R129" s="19">
        <f t="shared" si="16"/>
        <v>5.226594098128646E-3</v>
      </c>
      <c r="S129" s="2"/>
      <c r="T129" s="2">
        <v>18947.070000000003</v>
      </c>
      <c r="U129" s="2"/>
      <c r="V129" s="19">
        <f t="shared" si="17"/>
        <v>3.7754244441037844E-3</v>
      </c>
      <c r="W129" s="2"/>
      <c r="X129" s="2">
        <f t="shared" si="18"/>
        <v>5204.059999999994</v>
      </c>
      <c r="Y129" s="2"/>
      <c r="Z129" s="19">
        <f t="shared" si="19"/>
        <v>0.27466304816523046</v>
      </c>
    </row>
    <row r="130" spans="1:26" s="24" customFormat="1" hidden="1" outlineLevel="1" x14ac:dyDescent="0.25">
      <c r="A130" s="44"/>
      <c r="B130" s="11" t="str">
        <f>CONCATENATE("          ", "5045", " - ", "PURCHASES @ COST-SPECIAL ORDER")</f>
        <v xml:space="preserve">          5045 - PURCHASES @ COST-SPECIAL ORDER</v>
      </c>
      <c r="C130" s="11"/>
      <c r="D130" s="2">
        <v>3599.17</v>
      </c>
      <c r="E130" s="2"/>
      <c r="F130" s="19">
        <f t="shared" si="12"/>
        <v>7.5168634819532997E-3</v>
      </c>
      <c r="G130" s="2"/>
      <c r="H130" s="2">
        <v>8833.39</v>
      </c>
      <c r="I130" s="2"/>
      <c r="J130" s="19">
        <f t="shared" si="13"/>
        <v>1.8914253715856172E-2</v>
      </c>
      <c r="K130" s="2"/>
      <c r="L130" s="2">
        <f t="shared" si="14"/>
        <v>-5234.2199999999993</v>
      </c>
      <c r="M130" s="2"/>
      <c r="N130" s="19">
        <f t="shared" si="15"/>
        <v>-0.59254940628682751</v>
      </c>
      <c r="O130" s="11"/>
      <c r="P130" s="2">
        <v>28063.200000000001</v>
      </c>
      <c r="Q130" s="2"/>
      <c r="R130" s="19">
        <f t="shared" si="16"/>
        <v>6.0732129508889992E-3</v>
      </c>
      <c r="S130" s="2"/>
      <c r="T130" s="2">
        <v>41970.42</v>
      </c>
      <c r="U130" s="2"/>
      <c r="V130" s="19">
        <f t="shared" si="17"/>
        <v>8.3630951697176575E-3</v>
      </c>
      <c r="W130" s="2"/>
      <c r="X130" s="2">
        <f t="shared" si="18"/>
        <v>-13907.219999999998</v>
      </c>
      <c r="Y130" s="2"/>
      <c r="Z130" s="19">
        <f t="shared" si="19"/>
        <v>-0.3313576561778509</v>
      </c>
    </row>
    <row r="131" spans="1:26" s="24" customFormat="1" hidden="1" outlineLevel="1" x14ac:dyDescent="0.25">
      <c r="A131" s="44"/>
      <c r="B131" s="11" t="str">
        <f>CONCATENATE("          ", "5081", " - ", "PURCHASES @ COST-ELECTRONICS")</f>
        <v xml:space="preserve">          5081 - PURCHASES @ COST-ELECTRONICS</v>
      </c>
      <c r="C131" s="11"/>
      <c r="D131" s="2">
        <v>490.99</v>
      </c>
      <c r="E131" s="2"/>
      <c r="F131" s="19">
        <f t="shared" si="12"/>
        <v>1.025432197146634E-3</v>
      </c>
      <c r="G131" s="2"/>
      <c r="H131" s="2">
        <v>627.16999999999996</v>
      </c>
      <c r="I131" s="2"/>
      <c r="J131" s="19">
        <f t="shared" si="13"/>
        <v>1.3429105363822399E-3</v>
      </c>
      <c r="K131" s="2"/>
      <c r="L131" s="2">
        <f t="shared" si="14"/>
        <v>-136.17999999999995</v>
      </c>
      <c r="M131" s="2"/>
      <c r="N131" s="19">
        <f t="shared" si="15"/>
        <v>-0.21713411036879945</v>
      </c>
      <c r="O131" s="11"/>
      <c r="P131" s="2">
        <v>963.07</v>
      </c>
      <c r="Q131" s="2"/>
      <c r="R131" s="19">
        <f t="shared" si="16"/>
        <v>2.0841989497322717E-4</v>
      </c>
      <c r="S131" s="2"/>
      <c r="T131" s="2">
        <v>1529.73</v>
      </c>
      <c r="U131" s="2"/>
      <c r="V131" s="19">
        <f t="shared" si="17"/>
        <v>3.0481652492331962E-4</v>
      </c>
      <c r="W131" s="2"/>
      <c r="X131" s="2">
        <f t="shared" si="18"/>
        <v>-566.66</v>
      </c>
      <c r="Y131" s="2"/>
      <c r="Z131" s="19">
        <f t="shared" si="19"/>
        <v>-0.37043138331601</v>
      </c>
    </row>
    <row r="132" spans="1:26" s="24" customFormat="1" hidden="1" outlineLevel="1" x14ac:dyDescent="0.25">
      <c r="A132" s="44"/>
      <c r="B132" s="11" t="str">
        <f>CONCATENATE("          ", "5082", " - ", "PURCHASES @ COST-COMPUTER HARD")</f>
        <v xml:space="preserve">          5082 - PURCHASES @ COST-COMPUTER HARD</v>
      </c>
      <c r="C132" s="11"/>
      <c r="D132" s="2"/>
      <c r="E132" s="2"/>
      <c r="F132" s="19">
        <f t="shared" si="12"/>
        <v>0</v>
      </c>
      <c r="G132" s="2"/>
      <c r="H132" s="2">
        <v>278</v>
      </c>
      <c r="I132" s="2"/>
      <c r="J132" s="19">
        <f t="shared" si="13"/>
        <v>5.952598643338533E-4</v>
      </c>
      <c r="K132" s="2"/>
      <c r="L132" s="2">
        <f t="shared" si="14"/>
        <v>-278</v>
      </c>
      <c r="M132" s="2"/>
      <c r="N132" s="19">
        <f t="shared" si="15"/>
        <v>-1</v>
      </c>
      <c r="O132" s="11"/>
      <c r="P132" s="2">
        <v>149.6</v>
      </c>
      <c r="Q132" s="2"/>
      <c r="R132" s="19">
        <f t="shared" si="16"/>
        <v>3.2375233667329254E-5</v>
      </c>
      <c r="S132" s="2"/>
      <c r="T132" s="2">
        <v>471</v>
      </c>
      <c r="U132" s="2"/>
      <c r="V132" s="19">
        <f t="shared" si="17"/>
        <v>9.385223747908686E-5</v>
      </c>
      <c r="W132" s="2"/>
      <c r="X132" s="2">
        <f t="shared" si="18"/>
        <v>-321.39999999999998</v>
      </c>
      <c r="Y132" s="2"/>
      <c r="Z132" s="19">
        <f t="shared" si="19"/>
        <v>-0.68237791932059444</v>
      </c>
    </row>
    <row r="133" spans="1:26" s="24" customFormat="1" hidden="1" outlineLevel="1" x14ac:dyDescent="0.25">
      <c r="A133" s="44"/>
      <c r="B133" s="11" t="str">
        <f>CONCATENATE("          ", "5083", " - ", "PURCHASES @ COST-COMPUTER EQUI")</f>
        <v xml:space="preserve">          5083 - PURCHASES @ COST-COMPUTER EQUI</v>
      </c>
      <c r="C133" s="11"/>
      <c r="D133" s="2">
        <v>76.150000000000006</v>
      </c>
      <c r="E133" s="2"/>
      <c r="F133" s="19">
        <f t="shared" si="12"/>
        <v>1.5903921019311224E-4</v>
      </c>
      <c r="G133" s="2"/>
      <c r="H133" s="2">
        <v>93.36</v>
      </c>
      <c r="I133" s="2"/>
      <c r="J133" s="19">
        <f t="shared" si="13"/>
        <v>1.9990453573456309E-4</v>
      </c>
      <c r="K133" s="2"/>
      <c r="L133" s="2">
        <f t="shared" si="14"/>
        <v>-17.209999999999994</v>
      </c>
      <c r="M133" s="2"/>
      <c r="N133" s="19">
        <f t="shared" si="15"/>
        <v>-0.18434018851756634</v>
      </c>
      <c r="O133" s="11"/>
      <c r="P133" s="2">
        <v>232.15</v>
      </c>
      <c r="Q133" s="2"/>
      <c r="R133" s="19">
        <f t="shared" si="16"/>
        <v>5.0240043421594161E-5</v>
      </c>
      <c r="S133" s="2"/>
      <c r="T133" s="2">
        <v>291.92</v>
      </c>
      <c r="U133" s="2"/>
      <c r="V133" s="19">
        <f t="shared" si="17"/>
        <v>5.8168461071963984E-5</v>
      </c>
      <c r="W133" s="2"/>
      <c r="X133" s="2">
        <f t="shared" si="18"/>
        <v>-59.77000000000001</v>
      </c>
      <c r="Y133" s="2"/>
      <c r="Z133" s="19">
        <f t="shared" si="19"/>
        <v>-0.20474787613044673</v>
      </c>
    </row>
    <row r="134" spans="1:26" s="24" customFormat="1" hidden="1" outlineLevel="1" x14ac:dyDescent="0.25">
      <c r="A134" s="44"/>
      <c r="B134" s="11" t="str">
        <f>CONCATENATE("          ", "5086", " - ", "PURCHASES @ COST-COMPUTER SUPP")</f>
        <v xml:space="preserve">          5086 - PURCHASES @ COST-COMPUTER SUPP</v>
      </c>
      <c r="C134" s="11"/>
      <c r="D134" s="2">
        <v>54</v>
      </c>
      <c r="E134" s="2"/>
      <c r="F134" s="19">
        <f t="shared" si="12"/>
        <v>1.1277895404370402E-4</v>
      </c>
      <c r="G134" s="2"/>
      <c r="H134" s="2">
        <v>214.62</v>
      </c>
      <c r="I134" s="2"/>
      <c r="J134" s="19">
        <f t="shared" si="13"/>
        <v>4.5954918015586902E-4</v>
      </c>
      <c r="K134" s="2"/>
      <c r="L134" s="2">
        <f t="shared" si="14"/>
        <v>-160.62</v>
      </c>
      <c r="M134" s="2"/>
      <c r="N134" s="19">
        <f t="shared" si="15"/>
        <v>-0.74839250768800669</v>
      </c>
      <c r="O134" s="11"/>
      <c r="P134" s="2">
        <v>141</v>
      </c>
      <c r="Q134" s="2"/>
      <c r="R134" s="19">
        <f t="shared" si="16"/>
        <v>3.0514090555437331E-5</v>
      </c>
      <c r="S134" s="2"/>
      <c r="T134" s="2">
        <v>457.53</v>
      </c>
      <c r="U134" s="2"/>
      <c r="V134" s="19">
        <f t="shared" si="17"/>
        <v>9.116818304417539E-5</v>
      </c>
      <c r="W134" s="2"/>
      <c r="X134" s="2">
        <f t="shared" si="18"/>
        <v>-316.52999999999997</v>
      </c>
      <c r="Y134" s="2"/>
      <c r="Z134" s="19">
        <f t="shared" si="19"/>
        <v>-0.69182348698446006</v>
      </c>
    </row>
    <row r="135" spans="1:26" s="24" customFormat="1" hidden="1" outlineLevel="1" x14ac:dyDescent="0.25">
      <c r="A135" s="44"/>
      <c r="B135" s="11" t="str">
        <f>CONCATENATE("          ", "5092", " - ", "PURCHASES @ COST-GRAD MERCH")</f>
        <v xml:space="preserve">          5092 - PURCHASES @ COST-GRAD MERCH</v>
      </c>
      <c r="C135" s="11"/>
      <c r="D135" s="2">
        <v>1296.1400000000001</v>
      </c>
      <c r="E135" s="2"/>
      <c r="F135" s="19">
        <f t="shared" si="12"/>
        <v>2.7069872869297509E-3</v>
      </c>
      <c r="G135" s="2"/>
      <c r="H135" s="2">
        <v>572.4</v>
      </c>
      <c r="I135" s="2"/>
      <c r="J135" s="19">
        <f t="shared" si="13"/>
        <v>1.2256357782183367E-3</v>
      </c>
      <c r="K135" s="2"/>
      <c r="L135" s="2">
        <f t="shared" si="14"/>
        <v>723.74000000000012</v>
      </c>
      <c r="M135" s="2"/>
      <c r="N135" s="19">
        <f t="shared" si="15"/>
        <v>1.2643955276030749</v>
      </c>
      <c r="O135" s="11"/>
      <c r="P135" s="2">
        <v>1296.1400000000001</v>
      </c>
      <c r="Q135" s="2"/>
      <c r="R135" s="19">
        <f t="shared" si="16"/>
        <v>2.8050023640088329E-4</v>
      </c>
      <c r="S135" s="2"/>
      <c r="T135" s="2">
        <v>-2698.04</v>
      </c>
      <c r="U135" s="2"/>
      <c r="V135" s="19">
        <f t="shared" si="17"/>
        <v>-5.3761590405111573E-4</v>
      </c>
      <c r="W135" s="2"/>
      <c r="X135" s="2">
        <f t="shared" si="18"/>
        <v>3994.1800000000003</v>
      </c>
      <c r="Y135" s="2"/>
      <c r="Z135" s="19">
        <f t="shared" si="19"/>
        <v>-1.4804005870928527</v>
      </c>
    </row>
    <row r="136" spans="1:26" s="24" customFormat="1" hidden="1" outlineLevel="1" x14ac:dyDescent="0.25">
      <c r="A136" s="44"/>
      <c r="B136" s="11" t="str">
        <f>CONCATENATE("          ", "5095", " - ", "PURCHASES @ COST-CUSTOMER SERV")</f>
        <v xml:space="preserve">          5095 - PURCHASES @ COST-CUSTOMER SERV</v>
      </c>
      <c r="C136" s="11"/>
      <c r="D136" s="2"/>
      <c r="E136" s="2"/>
      <c r="F136" s="19">
        <f t="shared" si="12"/>
        <v>0</v>
      </c>
      <c r="G136" s="2"/>
      <c r="H136" s="2">
        <v>0</v>
      </c>
      <c r="I136" s="2"/>
      <c r="J136" s="19">
        <f t="shared" si="13"/>
        <v>0</v>
      </c>
      <c r="K136" s="2"/>
      <c r="L136" s="2">
        <f t="shared" si="14"/>
        <v>0</v>
      </c>
      <c r="M136" s="2"/>
      <c r="N136" s="19">
        <f t="shared" si="15"/>
        <v>0</v>
      </c>
      <c r="O136" s="11"/>
      <c r="P136" s="2">
        <v>0</v>
      </c>
      <c r="Q136" s="2"/>
      <c r="R136" s="19">
        <f t="shared" si="16"/>
        <v>0</v>
      </c>
      <c r="S136" s="2"/>
      <c r="T136" s="2">
        <v>0</v>
      </c>
      <c r="U136" s="2"/>
      <c r="V136" s="19">
        <f t="shared" si="17"/>
        <v>0</v>
      </c>
      <c r="W136" s="2"/>
      <c r="X136" s="2">
        <f t="shared" si="18"/>
        <v>0</v>
      </c>
      <c r="Y136" s="2"/>
      <c r="Z136" s="19">
        <f t="shared" si="19"/>
        <v>0</v>
      </c>
    </row>
    <row r="137" spans="1:26" s="24" customFormat="1" hidden="1" outlineLevel="1" x14ac:dyDescent="0.25">
      <c r="A137" s="44"/>
      <c r="B137" s="11" t="str">
        <f>CONCATENATE("          ", "5200", " - ", "PURCHASES OFFSET")</f>
        <v xml:space="preserve">          5200 - PURCHASES OFFSET</v>
      </c>
      <c r="C137" s="11"/>
      <c r="D137" s="2">
        <v>-102488</v>
      </c>
      <c r="E137" s="2"/>
      <c r="F137" s="19">
        <f t="shared" si="12"/>
        <v>-0.2140461007783544</v>
      </c>
      <c r="G137" s="2"/>
      <c r="H137" s="2">
        <v>-27974</v>
      </c>
      <c r="I137" s="2"/>
      <c r="J137" s="19">
        <f t="shared" si="13"/>
        <v>-5.9898559154227378E-2</v>
      </c>
      <c r="K137" s="2"/>
      <c r="L137" s="2">
        <f t="shared" si="14"/>
        <v>-74514</v>
      </c>
      <c r="M137" s="2"/>
      <c r="N137" s="19">
        <f t="shared" si="15"/>
        <v>2.6636877100164438</v>
      </c>
      <c r="O137" s="11"/>
      <c r="P137" s="2">
        <v>-2738772</v>
      </c>
      <c r="Q137" s="2"/>
      <c r="R137" s="19">
        <f t="shared" si="16"/>
        <v>-0.5927030980049377</v>
      </c>
      <c r="S137" s="2"/>
      <c r="T137" s="2">
        <v>-2464071</v>
      </c>
      <c r="U137" s="2"/>
      <c r="V137" s="19">
        <f t="shared" si="17"/>
        <v>-0.49099485489879197</v>
      </c>
      <c r="W137" s="2"/>
      <c r="X137" s="2">
        <f t="shared" si="18"/>
        <v>-274701</v>
      </c>
      <c r="Y137" s="2"/>
      <c r="Z137" s="19">
        <f t="shared" si="19"/>
        <v>0.11148258309115282</v>
      </c>
    </row>
    <row r="138" spans="1:26" s="24" customFormat="1" hidden="1" outlineLevel="1" x14ac:dyDescent="0.25">
      <c r="A138" s="44"/>
      <c r="B138" s="11" t="str">
        <f>CONCATENATE("          ", "5300", " - ", "COG$ OFFSET")</f>
        <v xml:space="preserve">          5300 - COG$ OFFSET</v>
      </c>
      <c r="C138" s="11"/>
      <c r="D138" s="2">
        <v>204645</v>
      </c>
      <c r="E138" s="2"/>
      <c r="F138" s="19">
        <f t="shared" si="12"/>
        <v>0.42740090833840388</v>
      </c>
      <c r="G138" s="2"/>
      <c r="H138" s="2">
        <v>203228</v>
      </c>
      <c r="I138" s="2"/>
      <c r="J138" s="19">
        <f t="shared" si="13"/>
        <v>0.43515637305338251</v>
      </c>
      <c r="K138" s="2"/>
      <c r="L138" s="2">
        <f t="shared" si="14"/>
        <v>1417</v>
      </c>
      <c r="M138" s="2"/>
      <c r="N138" s="19">
        <f t="shared" si="15"/>
        <v>6.9724644241935165E-3</v>
      </c>
      <c r="O138" s="11"/>
      <c r="P138" s="2">
        <v>2132393</v>
      </c>
      <c r="Q138" s="2"/>
      <c r="R138" s="19">
        <f t="shared" si="16"/>
        <v>0.46147541206936649</v>
      </c>
      <c r="S138" s="2"/>
      <c r="T138" s="2">
        <v>2364522</v>
      </c>
      <c r="U138" s="2"/>
      <c r="V138" s="19">
        <f t="shared" si="17"/>
        <v>0.47115855683338725</v>
      </c>
      <c r="W138" s="2"/>
      <c r="X138" s="2">
        <f t="shared" si="18"/>
        <v>-232129</v>
      </c>
      <c r="Y138" s="2"/>
      <c r="Z138" s="19">
        <f t="shared" si="19"/>
        <v>-9.8171638918986587E-2</v>
      </c>
    </row>
    <row r="139" spans="1:26" s="24" customFormat="1" hidden="1" outlineLevel="1" x14ac:dyDescent="0.25">
      <c r="A139" s="44"/>
      <c r="B139" s="11" t="str">
        <f>CONCATENATE("          ", "5500", " - ", "FREIGHT-IN")</f>
        <v xml:space="preserve">          5500 - FREIGHT-IN</v>
      </c>
      <c r="C139" s="11"/>
      <c r="D139" s="2">
        <v>35.229999999999997</v>
      </c>
      <c r="E139" s="2"/>
      <c r="F139" s="19">
        <f t="shared" si="12"/>
        <v>7.357782501777208E-5</v>
      </c>
      <c r="G139" s="2"/>
      <c r="H139" s="2">
        <v>-317.36</v>
      </c>
      <c r="I139" s="2"/>
      <c r="J139" s="19">
        <f t="shared" si="13"/>
        <v>-6.7953838325536574E-4</v>
      </c>
      <c r="K139" s="2"/>
      <c r="L139" s="2">
        <f t="shared" si="14"/>
        <v>352.59000000000003</v>
      </c>
      <c r="M139" s="2"/>
      <c r="N139" s="19">
        <f t="shared" si="15"/>
        <v>-1.1110095790269725</v>
      </c>
      <c r="O139" s="11"/>
      <c r="P139" s="2">
        <v>35.229999999999997</v>
      </c>
      <c r="Q139" s="2"/>
      <c r="R139" s="19">
        <f t="shared" si="16"/>
        <v>7.6241943990642351E-6</v>
      </c>
      <c r="S139" s="2"/>
      <c r="T139" s="2">
        <v>0</v>
      </c>
      <c r="U139" s="2"/>
      <c r="V139" s="19">
        <f t="shared" si="17"/>
        <v>0</v>
      </c>
      <c r="W139" s="2"/>
      <c r="X139" s="2">
        <f t="shared" si="18"/>
        <v>35.229999999999997</v>
      </c>
      <c r="Y139" s="2"/>
      <c r="Z139" s="19">
        <f t="shared" si="19"/>
        <v>0</v>
      </c>
    </row>
    <row r="140" spans="1:26" s="24" customFormat="1" hidden="1" outlineLevel="1" x14ac:dyDescent="0.25">
      <c r="A140" s="44"/>
      <c r="B140" s="11" t="str">
        <f>CONCATENATE("          ", "5501", " - ", "FREIGHT-IN-NEW TEXT")</f>
        <v xml:space="preserve">          5501 - FREIGHT-IN-NEW TEXT</v>
      </c>
      <c r="C140" s="11"/>
      <c r="D140" s="2">
        <v>7434.02</v>
      </c>
      <c r="E140" s="2"/>
      <c r="F140" s="19">
        <f t="shared" si="12"/>
        <v>1.55259444433329E-2</v>
      </c>
      <c r="G140" s="2"/>
      <c r="H140" s="2">
        <v>9955.06</v>
      </c>
      <c r="I140" s="2"/>
      <c r="J140" s="19">
        <f t="shared" si="13"/>
        <v>2.1315998795091256E-2</v>
      </c>
      <c r="K140" s="2"/>
      <c r="L140" s="2">
        <f t="shared" si="14"/>
        <v>-2521.0399999999991</v>
      </c>
      <c r="M140" s="2"/>
      <c r="N140" s="19">
        <f t="shared" si="15"/>
        <v>-0.25324206986195957</v>
      </c>
      <c r="O140" s="11"/>
      <c r="P140" s="2">
        <v>34017.480000000003</v>
      </c>
      <c r="Q140" s="2"/>
      <c r="R140" s="19">
        <f t="shared" si="16"/>
        <v>7.3617905332466552E-3</v>
      </c>
      <c r="S140" s="2"/>
      <c r="T140" s="2">
        <v>36210.86</v>
      </c>
      <c r="U140" s="2"/>
      <c r="V140" s="19">
        <f t="shared" si="17"/>
        <v>7.2154357368194632E-3</v>
      </c>
      <c r="W140" s="2"/>
      <c r="X140" s="2">
        <f t="shared" si="18"/>
        <v>-2193.3799999999974</v>
      </c>
      <c r="Y140" s="2"/>
      <c r="Z140" s="19">
        <f t="shared" si="19"/>
        <v>-6.0572436004005352E-2</v>
      </c>
    </row>
    <row r="141" spans="1:26" s="24" customFormat="1" hidden="1" outlineLevel="1" x14ac:dyDescent="0.25">
      <c r="A141" s="44"/>
      <c r="B141" s="11" t="str">
        <f>CONCATENATE("          ", "5502", " - ", "FREIGHT-IN-USED TEXT")</f>
        <v xml:space="preserve">          5502 - FREIGHT-IN-USED TEXT</v>
      </c>
      <c r="C141" s="11"/>
      <c r="D141" s="2">
        <v>591.29999999999995</v>
      </c>
      <c r="E141" s="2"/>
      <c r="F141" s="19">
        <f t="shared" si="12"/>
        <v>1.2349295467785589E-3</v>
      </c>
      <c r="G141" s="2"/>
      <c r="H141" s="2">
        <v>1475.4</v>
      </c>
      <c r="I141" s="2"/>
      <c r="J141" s="19">
        <f t="shared" si="13"/>
        <v>3.1591597260365724E-3</v>
      </c>
      <c r="K141" s="2"/>
      <c r="L141" s="2">
        <f t="shared" si="14"/>
        <v>-884.10000000000014</v>
      </c>
      <c r="M141" s="2"/>
      <c r="N141" s="19">
        <f t="shared" si="15"/>
        <v>-0.59922732818218793</v>
      </c>
      <c r="O141" s="11"/>
      <c r="P141" s="2">
        <v>6852.47</v>
      </c>
      <c r="Q141" s="2"/>
      <c r="R141" s="19">
        <f t="shared" si="16"/>
        <v>1.4829566674355863E-3</v>
      </c>
      <c r="S141" s="2"/>
      <c r="T141" s="2">
        <v>7732.55</v>
      </c>
      <c r="U141" s="2"/>
      <c r="V141" s="19">
        <f t="shared" si="17"/>
        <v>1.5408006771102187E-3</v>
      </c>
      <c r="W141" s="2"/>
      <c r="X141" s="2">
        <f t="shared" si="18"/>
        <v>-880.07999999999993</v>
      </c>
      <c r="Y141" s="2"/>
      <c r="Z141" s="19">
        <f t="shared" si="19"/>
        <v>-0.11381497694809602</v>
      </c>
    </row>
    <row r="142" spans="1:26" s="24" customFormat="1" hidden="1" outlineLevel="1" x14ac:dyDescent="0.25">
      <c r="A142" s="44"/>
      <c r="B142" s="11" t="str">
        <f>CONCATENATE("          ", "5504", " - ", "FREIGHT-IN-DIGITAL TEXT")</f>
        <v xml:space="preserve">          5504 - FREIGHT-IN-DIGITAL TEXT</v>
      </c>
      <c r="C142" s="11"/>
      <c r="D142" s="2">
        <v>93.94</v>
      </c>
      <c r="E142" s="2"/>
      <c r="F142" s="19">
        <f t="shared" si="12"/>
        <v>1.9619361005306584E-4</v>
      </c>
      <c r="G142" s="2"/>
      <c r="H142" s="2"/>
      <c r="I142" s="2"/>
      <c r="J142" s="19">
        <f t="shared" si="13"/>
        <v>0</v>
      </c>
      <c r="K142" s="2"/>
      <c r="L142" s="2">
        <f t="shared" si="14"/>
        <v>93.94</v>
      </c>
      <c r="M142" s="2"/>
      <c r="N142" s="19">
        <f t="shared" si="15"/>
        <v>0</v>
      </c>
      <c r="O142" s="11"/>
      <c r="P142" s="2">
        <v>100.97</v>
      </c>
      <c r="Q142" s="2"/>
      <c r="R142" s="19">
        <f t="shared" si="16"/>
        <v>2.1851118605549696E-5</v>
      </c>
      <c r="S142" s="2"/>
      <c r="T142" s="2">
        <v>166.22</v>
      </c>
      <c r="U142" s="2"/>
      <c r="V142" s="19">
        <f t="shared" si="17"/>
        <v>3.3121271579137614E-5</v>
      </c>
      <c r="W142" s="2"/>
      <c r="X142" s="2">
        <f t="shared" si="18"/>
        <v>-65.25</v>
      </c>
      <c r="Y142" s="2"/>
      <c r="Z142" s="19">
        <f t="shared" si="19"/>
        <v>-0.39255203946576828</v>
      </c>
    </row>
    <row r="143" spans="1:26" s="24" customFormat="1" hidden="1" outlineLevel="1" x14ac:dyDescent="0.25">
      <c r="A143" s="44"/>
      <c r="B143" s="11" t="str">
        <f>CONCATENATE("          ", "5513", " - ", "FREIGHT-IN-TRADE BOOKS")</f>
        <v xml:space="preserve">          5513 - FREIGHT-IN-TRADE BOOKS</v>
      </c>
      <c r="C143" s="11"/>
      <c r="D143" s="2"/>
      <c r="E143" s="2"/>
      <c r="F143" s="19">
        <f t="shared" si="12"/>
        <v>0</v>
      </c>
      <c r="G143" s="2"/>
      <c r="H143" s="2"/>
      <c r="I143" s="2"/>
      <c r="J143" s="19">
        <f t="shared" si="13"/>
        <v>0</v>
      </c>
      <c r="K143" s="2"/>
      <c r="L143" s="2">
        <f t="shared" si="14"/>
        <v>0</v>
      </c>
      <c r="M143" s="2"/>
      <c r="N143" s="19">
        <f t="shared" si="15"/>
        <v>0</v>
      </c>
      <c r="O143" s="11"/>
      <c r="P143" s="2"/>
      <c r="Q143" s="2"/>
      <c r="R143" s="19">
        <f t="shared" si="16"/>
        <v>0</v>
      </c>
      <c r="S143" s="2"/>
      <c r="T143" s="2">
        <v>12.22</v>
      </c>
      <c r="U143" s="2"/>
      <c r="V143" s="19">
        <f t="shared" si="17"/>
        <v>2.4349773715380922E-6</v>
      </c>
      <c r="W143" s="2"/>
      <c r="X143" s="2">
        <f t="shared" si="18"/>
        <v>-12.22</v>
      </c>
      <c r="Y143" s="2"/>
      <c r="Z143" s="19">
        <f t="shared" si="19"/>
        <v>-1</v>
      </c>
    </row>
    <row r="144" spans="1:26" s="24" customFormat="1" hidden="1" outlineLevel="1" x14ac:dyDescent="0.25">
      <c r="A144" s="44"/>
      <c r="B144" s="11" t="str">
        <f>CONCATENATE("          ", "5525", " - ", "FREIGHT-IN-TEST FORMS")</f>
        <v xml:space="preserve">          5525 - FREIGHT-IN-TEST FORMS</v>
      </c>
      <c r="C144" s="11"/>
      <c r="D144" s="2">
        <v>39.22</v>
      </c>
      <c r="E144" s="2"/>
      <c r="F144" s="19">
        <f t="shared" si="12"/>
        <v>8.1910936622112436E-5</v>
      </c>
      <c r="G144" s="2"/>
      <c r="H144" s="2">
        <v>50.92</v>
      </c>
      <c r="I144" s="2"/>
      <c r="J144" s="19">
        <f t="shared" si="13"/>
        <v>1.090310514096396E-4</v>
      </c>
      <c r="K144" s="2"/>
      <c r="L144" s="2">
        <f t="shared" si="14"/>
        <v>-11.700000000000003</v>
      </c>
      <c r="M144" s="2"/>
      <c r="N144" s="19">
        <f t="shared" si="15"/>
        <v>-0.22977219167321294</v>
      </c>
      <c r="O144" s="11"/>
      <c r="P144" s="2">
        <v>39.22</v>
      </c>
      <c r="Q144" s="2"/>
      <c r="R144" s="19">
        <f t="shared" si="16"/>
        <v>8.4876782381861847E-6</v>
      </c>
      <c r="S144" s="2"/>
      <c r="T144" s="2">
        <v>50.92</v>
      </c>
      <c r="U144" s="2"/>
      <c r="V144" s="19">
        <f t="shared" si="17"/>
        <v>1.0146403253577714E-5</v>
      </c>
      <c r="W144" s="2"/>
      <c r="X144" s="2">
        <f t="shared" si="18"/>
        <v>-11.700000000000003</v>
      </c>
      <c r="Y144" s="2"/>
      <c r="Z144" s="19">
        <f t="shared" si="19"/>
        <v>-0.22977219167321294</v>
      </c>
    </row>
    <row r="145" spans="1:26" s="24" customFormat="1" hidden="1" outlineLevel="1" x14ac:dyDescent="0.25">
      <c r="A145" s="44"/>
      <c r="B145" s="11" t="str">
        <f>CONCATENATE("          ", "5526", " - ", "FREIGHT-IN-WRITING INSTRUMENTS")</f>
        <v xml:space="preserve">          5526 - FREIGHT-IN-WRITING INSTRUMENTS</v>
      </c>
      <c r="C145" s="11"/>
      <c r="D145" s="2"/>
      <c r="E145" s="2"/>
      <c r="F145" s="19">
        <f t="shared" si="12"/>
        <v>0</v>
      </c>
      <c r="G145" s="2"/>
      <c r="H145" s="2">
        <v>23.74</v>
      </c>
      <c r="I145" s="2"/>
      <c r="J145" s="19">
        <f t="shared" si="13"/>
        <v>5.0832622947070776E-5</v>
      </c>
      <c r="K145" s="2"/>
      <c r="L145" s="2">
        <f t="shared" si="14"/>
        <v>-23.74</v>
      </c>
      <c r="M145" s="2"/>
      <c r="N145" s="19">
        <f t="shared" si="15"/>
        <v>-1</v>
      </c>
      <c r="O145" s="11"/>
      <c r="P145" s="2">
        <v>56.57</v>
      </c>
      <c r="Q145" s="2"/>
      <c r="R145" s="19">
        <f t="shared" si="16"/>
        <v>1.2242426260433261E-5</v>
      </c>
      <c r="S145" s="2"/>
      <c r="T145" s="2">
        <v>66.48</v>
      </c>
      <c r="U145" s="2"/>
      <c r="V145" s="19">
        <f t="shared" si="17"/>
        <v>1.3246914538449458E-5</v>
      </c>
      <c r="W145" s="2"/>
      <c r="X145" s="2">
        <f t="shared" si="18"/>
        <v>-9.9100000000000037</v>
      </c>
      <c r="Y145" s="2"/>
      <c r="Z145" s="19">
        <f t="shared" si="19"/>
        <v>-0.14906738868832736</v>
      </c>
    </row>
    <row r="146" spans="1:26" s="24" customFormat="1" hidden="1" outlineLevel="1" x14ac:dyDescent="0.25">
      <c r="A146" s="44"/>
      <c r="B146" s="11" t="str">
        <f>CONCATENATE("          ", "5527", " - ", "FREIGHT-IN-SCHOOL SUPPLIES")</f>
        <v xml:space="preserve">          5527 - FREIGHT-IN-SCHOOL SUPPLIES</v>
      </c>
      <c r="C146" s="11"/>
      <c r="D146" s="2">
        <v>344.59</v>
      </c>
      <c r="E146" s="2"/>
      <c r="F146" s="19">
        <f t="shared" si="12"/>
        <v>7.1967592173925862E-4</v>
      </c>
      <c r="G146" s="2"/>
      <c r="H146" s="2">
        <v>207.6</v>
      </c>
      <c r="I146" s="2"/>
      <c r="J146" s="19">
        <f t="shared" si="13"/>
        <v>4.4451779797017243E-4</v>
      </c>
      <c r="K146" s="2"/>
      <c r="L146" s="2">
        <f t="shared" si="14"/>
        <v>136.98999999999998</v>
      </c>
      <c r="M146" s="2"/>
      <c r="N146" s="19">
        <f t="shared" si="15"/>
        <v>0.65987475915221572</v>
      </c>
      <c r="O146" s="11"/>
      <c r="P146" s="2">
        <v>738.49</v>
      </c>
      <c r="Q146" s="2"/>
      <c r="R146" s="19">
        <f t="shared" si="16"/>
        <v>1.5981809031407742E-4</v>
      </c>
      <c r="S146" s="2"/>
      <c r="T146" s="2">
        <v>932.7</v>
      </c>
      <c r="U146" s="2"/>
      <c r="V146" s="19">
        <f t="shared" si="17"/>
        <v>1.8585134160667581E-4</v>
      </c>
      <c r="W146" s="2"/>
      <c r="X146" s="2">
        <f t="shared" si="18"/>
        <v>-194.21000000000004</v>
      </c>
      <c r="Y146" s="2"/>
      <c r="Z146" s="19">
        <f t="shared" si="19"/>
        <v>-0.20822343733247564</v>
      </c>
    </row>
    <row r="147" spans="1:26" s="24" customFormat="1" hidden="1" outlineLevel="1" x14ac:dyDescent="0.25">
      <c r="A147" s="44"/>
      <c r="B147" s="11" t="str">
        <f>CONCATENATE("          ", "5528", " - ", "FREIGHT-IN-ART/TECH")</f>
        <v xml:space="preserve">          5528 - FREIGHT-IN-ART/TECH</v>
      </c>
      <c r="C147" s="11"/>
      <c r="D147" s="2">
        <v>185.67</v>
      </c>
      <c r="E147" s="2"/>
      <c r="F147" s="19">
        <f t="shared" si="12"/>
        <v>3.8777163698693561E-4</v>
      </c>
      <c r="G147" s="2"/>
      <c r="H147" s="2">
        <v>546.16999999999996</v>
      </c>
      <c r="I147" s="2"/>
      <c r="J147" s="19">
        <f t="shared" si="13"/>
        <v>1.1694715111626641E-3</v>
      </c>
      <c r="K147" s="2"/>
      <c r="L147" s="2">
        <f t="shared" si="14"/>
        <v>-360.5</v>
      </c>
      <c r="M147" s="2"/>
      <c r="N147" s="19">
        <f t="shared" si="15"/>
        <v>-0.66005089990296062</v>
      </c>
      <c r="O147" s="11"/>
      <c r="P147" s="2">
        <v>818.44</v>
      </c>
      <c r="Q147" s="2"/>
      <c r="R147" s="19">
        <f t="shared" si="16"/>
        <v>1.7712022889497964E-4</v>
      </c>
      <c r="S147" s="2"/>
      <c r="T147" s="2">
        <v>1103.95</v>
      </c>
      <c r="U147" s="2"/>
      <c r="V147" s="19">
        <f t="shared" si="17"/>
        <v>2.199748992888279E-4</v>
      </c>
      <c r="W147" s="2"/>
      <c r="X147" s="2">
        <f t="shared" si="18"/>
        <v>-285.51</v>
      </c>
      <c r="Y147" s="2"/>
      <c r="Z147" s="19">
        <f t="shared" si="19"/>
        <v>-0.2586258435617555</v>
      </c>
    </row>
    <row r="148" spans="1:26" s="24" customFormat="1" hidden="1" outlineLevel="1" x14ac:dyDescent="0.25">
      <c r="A148" s="44"/>
      <c r="B148" s="11" t="str">
        <f>CONCATENATE("          ", "5540", " - ", "FREIGHT-IN-LOGO CLOTHING")</f>
        <v xml:space="preserve">          5540 - FREIGHT-IN-LOGO CLOTHING</v>
      </c>
      <c r="C148" s="11"/>
      <c r="D148" s="2">
        <v>9102.58</v>
      </c>
      <c r="E148" s="2"/>
      <c r="F148" s="19">
        <f t="shared" si="12"/>
        <v>1.9010730583317394E-2</v>
      </c>
      <c r="G148" s="2"/>
      <c r="H148" s="2">
        <v>4650.07</v>
      </c>
      <c r="I148" s="2"/>
      <c r="J148" s="19">
        <f t="shared" si="13"/>
        <v>9.9568346667011538E-3</v>
      </c>
      <c r="K148" s="2"/>
      <c r="L148" s="2">
        <f t="shared" si="14"/>
        <v>4452.51</v>
      </c>
      <c r="M148" s="2"/>
      <c r="N148" s="19">
        <f t="shared" si="15"/>
        <v>0.95751461805951321</v>
      </c>
      <c r="O148" s="11"/>
      <c r="P148" s="2">
        <v>14107.44</v>
      </c>
      <c r="Q148" s="2"/>
      <c r="R148" s="19">
        <f t="shared" si="16"/>
        <v>3.0530191607475096E-3</v>
      </c>
      <c r="S148" s="2"/>
      <c r="T148" s="2">
        <v>10343.31</v>
      </c>
      <c r="U148" s="2"/>
      <c r="V148" s="19">
        <f t="shared" si="17"/>
        <v>2.0610250242883519E-3</v>
      </c>
      <c r="W148" s="2"/>
      <c r="X148" s="2">
        <f t="shared" si="18"/>
        <v>3764.130000000001</v>
      </c>
      <c r="Y148" s="2"/>
      <c r="Z148" s="19">
        <f t="shared" si="19"/>
        <v>0.36391928695939707</v>
      </c>
    </row>
    <row r="149" spans="1:26" s="24" customFormat="1" hidden="1" outlineLevel="1" x14ac:dyDescent="0.25">
      <c r="A149" s="44"/>
      <c r="B149" s="11" t="str">
        <f>CONCATENATE("          ", "5541", " - ", "FREIGHT-IN-LOGO GIFTS")</f>
        <v xml:space="preserve">          5541 - FREIGHT-IN-LOGO GIFTS</v>
      </c>
      <c r="C149" s="11"/>
      <c r="D149" s="2">
        <v>718.84</v>
      </c>
      <c r="E149" s="2"/>
      <c r="F149" s="19">
        <f t="shared" si="12"/>
        <v>1.5012967282365963E-3</v>
      </c>
      <c r="G149" s="2"/>
      <c r="H149" s="2">
        <v>953.44</v>
      </c>
      <c r="I149" s="2"/>
      <c r="J149" s="19">
        <f t="shared" si="13"/>
        <v>2.0415272124117592E-3</v>
      </c>
      <c r="K149" s="2"/>
      <c r="L149" s="2">
        <f t="shared" si="14"/>
        <v>-234.60000000000002</v>
      </c>
      <c r="M149" s="2"/>
      <c r="N149" s="19">
        <f t="shared" si="15"/>
        <v>-0.2460563852995469</v>
      </c>
      <c r="O149" s="11"/>
      <c r="P149" s="2">
        <v>1536.85</v>
      </c>
      <c r="Q149" s="2"/>
      <c r="R149" s="19">
        <f t="shared" si="16"/>
        <v>3.3259276645477914E-4</v>
      </c>
      <c r="S149" s="2"/>
      <c r="T149" s="2">
        <v>3124.56</v>
      </c>
      <c r="U149" s="2"/>
      <c r="V149" s="19">
        <f t="shared" si="17"/>
        <v>6.2260498330712444E-4</v>
      </c>
      <c r="W149" s="2"/>
      <c r="X149" s="2">
        <f t="shared" si="18"/>
        <v>-1587.71</v>
      </c>
      <c r="Y149" s="2"/>
      <c r="Z149" s="19">
        <f t="shared" si="19"/>
        <v>-0.50813874593542774</v>
      </c>
    </row>
    <row r="150" spans="1:26" s="24" customFormat="1" hidden="1" outlineLevel="1" x14ac:dyDescent="0.25">
      <c r="A150" s="44"/>
      <c r="B150" s="11" t="str">
        <f>CONCATENATE("          ", "5542", " - ", "FREIGHT-IN-EVERYDAY GIFTS")</f>
        <v xml:space="preserve">          5542 - FREIGHT-IN-EVERYDAY GIFTS</v>
      </c>
      <c r="C150" s="11"/>
      <c r="D150" s="2">
        <v>596.04999999999995</v>
      </c>
      <c r="E150" s="2"/>
      <c r="F150" s="19">
        <f t="shared" si="12"/>
        <v>1.2448499177361069E-3</v>
      </c>
      <c r="G150" s="2"/>
      <c r="H150" s="2">
        <v>315.79000000000002</v>
      </c>
      <c r="I150" s="2"/>
      <c r="J150" s="19">
        <f t="shared" si="13"/>
        <v>6.7617666387765306E-4</v>
      </c>
      <c r="K150" s="2"/>
      <c r="L150" s="2">
        <f t="shared" si="14"/>
        <v>280.25999999999993</v>
      </c>
      <c r="M150" s="2"/>
      <c r="N150" s="19">
        <f t="shared" si="15"/>
        <v>0.88748852085246499</v>
      </c>
      <c r="O150" s="11"/>
      <c r="P150" s="2">
        <v>767.73</v>
      </c>
      <c r="Q150" s="2"/>
      <c r="R150" s="19">
        <f t="shared" si="16"/>
        <v>1.6614597689450995E-4</v>
      </c>
      <c r="S150" s="2"/>
      <c r="T150" s="2">
        <v>793.32</v>
      </c>
      <c r="U150" s="2"/>
      <c r="V150" s="19">
        <f t="shared" si="17"/>
        <v>1.5807825273229126E-4</v>
      </c>
      <c r="W150" s="2"/>
      <c r="X150" s="2">
        <f t="shared" si="18"/>
        <v>-25.590000000000032</v>
      </c>
      <c r="Y150" s="2"/>
      <c r="Z150" s="19">
        <f t="shared" si="19"/>
        <v>-3.2256844652851349E-2</v>
      </c>
    </row>
    <row r="151" spans="1:26" s="24" customFormat="1" hidden="1" outlineLevel="1" x14ac:dyDescent="0.25">
      <c r="A151" s="44"/>
      <c r="B151" s="11" t="str">
        <f>CONCATENATE("          ", "5543", " - ", "FREIGHT-IN-CARDS")</f>
        <v xml:space="preserve">          5543 - FREIGHT-IN-CARDS</v>
      </c>
      <c r="C151" s="11"/>
      <c r="D151" s="2"/>
      <c r="E151" s="2"/>
      <c r="F151" s="19">
        <f t="shared" si="12"/>
        <v>0</v>
      </c>
      <c r="G151" s="2"/>
      <c r="H151" s="2"/>
      <c r="I151" s="2"/>
      <c r="J151" s="19">
        <f t="shared" si="13"/>
        <v>0</v>
      </c>
      <c r="K151" s="2"/>
      <c r="L151" s="2">
        <f t="shared" si="14"/>
        <v>0</v>
      </c>
      <c r="M151" s="2"/>
      <c r="N151" s="19">
        <f t="shared" si="15"/>
        <v>0</v>
      </c>
      <c r="O151" s="11"/>
      <c r="P151" s="2">
        <v>4.58</v>
      </c>
      <c r="Q151" s="2"/>
      <c r="R151" s="19">
        <f t="shared" si="16"/>
        <v>9.9116691307732614E-7</v>
      </c>
      <c r="S151" s="2"/>
      <c r="T151" s="2"/>
      <c r="U151" s="2"/>
      <c r="V151" s="19">
        <f t="shared" si="17"/>
        <v>0</v>
      </c>
      <c r="W151" s="2"/>
      <c r="X151" s="2">
        <f t="shared" si="18"/>
        <v>4.58</v>
      </c>
      <c r="Y151" s="2"/>
      <c r="Z151" s="19">
        <f t="shared" si="19"/>
        <v>0</v>
      </c>
    </row>
    <row r="152" spans="1:26" s="24" customFormat="1" hidden="1" outlineLevel="1" x14ac:dyDescent="0.25">
      <c r="A152" s="44"/>
      <c r="B152" s="11" t="str">
        <f>CONCATENATE("          ", "5544", " - ", "FREIGHT-IN-ACCESSORIES")</f>
        <v xml:space="preserve">          5544 - FREIGHT-IN-ACCESSORIES</v>
      </c>
      <c r="C152" s="11"/>
      <c r="D152" s="2">
        <v>223.25</v>
      </c>
      <c r="E152" s="2"/>
      <c r="F152" s="19">
        <f t="shared" si="12"/>
        <v>4.6625743500475783E-4</v>
      </c>
      <c r="G152" s="2"/>
      <c r="H152" s="2">
        <v>107.33</v>
      </c>
      <c r="I152" s="2"/>
      <c r="J152" s="19">
        <f t="shared" si="13"/>
        <v>2.2981741452860602E-4</v>
      </c>
      <c r="K152" s="2"/>
      <c r="L152" s="2">
        <f t="shared" si="14"/>
        <v>115.92</v>
      </c>
      <c r="M152" s="2"/>
      <c r="N152" s="19">
        <f t="shared" si="15"/>
        <v>1.0800335414143296</v>
      </c>
      <c r="O152" s="11"/>
      <c r="P152" s="2">
        <v>359.09</v>
      </c>
      <c r="Q152" s="2"/>
      <c r="R152" s="19">
        <f t="shared" si="16"/>
        <v>7.7711381401077945E-5</v>
      </c>
      <c r="S152" s="2"/>
      <c r="T152" s="2">
        <v>577.97</v>
      </c>
      <c r="U152" s="2"/>
      <c r="V152" s="19">
        <f t="shared" si="17"/>
        <v>1.151672562543266E-4</v>
      </c>
      <c r="W152" s="2"/>
      <c r="X152" s="2">
        <f t="shared" si="18"/>
        <v>-218.88000000000005</v>
      </c>
      <c r="Y152" s="2"/>
      <c r="Z152" s="19">
        <f t="shared" si="19"/>
        <v>-0.37870477706455358</v>
      </c>
    </row>
    <row r="153" spans="1:26" s="24" customFormat="1" hidden="1" outlineLevel="1" x14ac:dyDescent="0.25">
      <c r="A153" s="44"/>
      <c r="B153" s="11" t="str">
        <f>CONCATENATE("          ", "5545", " - ", "FREIGHT-IN-SPECIAL ORDERS")</f>
        <v xml:space="preserve">          5545 - FREIGHT-IN-SPECIAL ORDERS</v>
      </c>
      <c r="C153" s="11"/>
      <c r="D153" s="2">
        <v>84.47</v>
      </c>
      <c r="E153" s="2"/>
      <c r="F153" s="19">
        <f t="shared" si="12"/>
        <v>1.7641552311243848E-4</v>
      </c>
      <c r="G153" s="2"/>
      <c r="H153" s="2">
        <v>74.5</v>
      </c>
      <c r="I153" s="2"/>
      <c r="J153" s="19">
        <f t="shared" si="13"/>
        <v>1.5952107875133838E-4</v>
      </c>
      <c r="K153" s="2"/>
      <c r="L153" s="2">
        <f t="shared" si="14"/>
        <v>9.9699999999999989</v>
      </c>
      <c r="M153" s="2"/>
      <c r="N153" s="19">
        <f t="shared" si="15"/>
        <v>0.13382550335570467</v>
      </c>
      <c r="O153" s="11"/>
      <c r="P153" s="2">
        <v>346.98</v>
      </c>
      <c r="Q153" s="2"/>
      <c r="R153" s="19">
        <f t="shared" si="16"/>
        <v>7.509063220514643E-5</v>
      </c>
      <c r="S153" s="2"/>
      <c r="T153" s="2">
        <v>1261.06</v>
      </c>
      <c r="U153" s="2"/>
      <c r="V153" s="19">
        <f t="shared" si="17"/>
        <v>2.5128089723010032E-4</v>
      </c>
      <c r="W153" s="2"/>
      <c r="X153" s="2">
        <f t="shared" si="18"/>
        <v>-914.07999999999993</v>
      </c>
      <c r="Y153" s="2"/>
      <c r="Z153" s="19">
        <f t="shared" si="19"/>
        <v>-0.72485052257624538</v>
      </c>
    </row>
    <row r="154" spans="1:26" s="24" customFormat="1" hidden="1" outlineLevel="1" x14ac:dyDescent="0.25">
      <c r="A154" s="44"/>
      <c r="B154" s="11" t="str">
        <f>CONCATENATE("          ", "5592", " - ", "FREIGHT-IN-GRAD MERCH")</f>
        <v xml:space="preserve">          5592 - FREIGHT-IN-GRAD MERCH</v>
      </c>
      <c r="C154" s="11"/>
      <c r="D154" s="2"/>
      <c r="E154" s="2"/>
      <c r="F154" s="19">
        <f t="shared" si="12"/>
        <v>0</v>
      </c>
      <c r="G154" s="2"/>
      <c r="H154" s="2"/>
      <c r="I154" s="2"/>
      <c r="J154" s="19">
        <f t="shared" si="13"/>
        <v>0</v>
      </c>
      <c r="K154" s="2"/>
      <c r="L154" s="2">
        <f t="shared" si="14"/>
        <v>0</v>
      </c>
      <c r="M154" s="2"/>
      <c r="N154" s="19">
        <f t="shared" si="15"/>
        <v>0</v>
      </c>
      <c r="O154" s="11"/>
      <c r="P154" s="2">
        <v>70.78</v>
      </c>
      <c r="Q154" s="2"/>
      <c r="R154" s="19">
        <f t="shared" si="16"/>
        <v>1.5317640634850032E-5</v>
      </c>
      <c r="S154" s="2"/>
      <c r="T154" s="2">
        <v>114.3</v>
      </c>
      <c r="U154" s="2"/>
      <c r="V154" s="19">
        <f t="shared" si="17"/>
        <v>2.2775606674861204E-5</v>
      </c>
      <c r="W154" s="2"/>
      <c r="X154" s="2">
        <f t="shared" si="18"/>
        <v>-43.519999999999996</v>
      </c>
      <c r="Y154" s="2"/>
      <c r="Z154" s="19">
        <f t="shared" si="19"/>
        <v>-0.3807524059492563</v>
      </c>
    </row>
    <row r="155" spans="1:26" x14ac:dyDescent="0.25">
      <c r="A155" s="9"/>
      <c r="B155" s="10"/>
      <c r="C155" s="10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O155" s="10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x14ac:dyDescent="0.25">
      <c r="A156" s="10"/>
      <c r="B156" s="28" t="s">
        <v>6</v>
      </c>
      <c r="C156" s="28"/>
      <c r="D156" s="21">
        <f>D12-D105</f>
        <v>265722.14</v>
      </c>
      <c r="E156" s="14"/>
      <c r="F156" s="22">
        <f>IF(D$12=0,0,D156/D$12)</f>
        <v>0.55496046324916082</v>
      </c>
      <c r="G156" s="14"/>
      <c r="H156" s="21">
        <f>H12-H105</f>
        <v>252925.81999999995</v>
      </c>
      <c r="I156" s="14"/>
      <c r="J156" s="22">
        <f>IF(H$12=0,0,H156/H$12)</f>
        <v>0.54157046510693729</v>
      </c>
      <c r="K156" s="16"/>
      <c r="L156" s="21">
        <f>+D156-H156</f>
        <v>12796.320000000065</v>
      </c>
      <c r="M156" s="16"/>
      <c r="N156" s="22">
        <f>IF(H156=0,0,L156/H156)</f>
        <v>5.0593173919531297E-2</v>
      </c>
      <c r="O156" s="29"/>
      <c r="P156" s="21">
        <f>P12-P105</f>
        <v>1805622.8499999982</v>
      </c>
      <c r="Q156" s="14"/>
      <c r="R156" s="22">
        <f>IF(P$12=0,0,P156/P$12)</f>
        <v>0.39075843371536728</v>
      </c>
      <c r="S156" s="14"/>
      <c r="T156" s="21">
        <f>T12-T105</f>
        <v>1856320.1999999988</v>
      </c>
      <c r="U156" s="14"/>
      <c r="V156" s="22">
        <f>IF(T$12=0,0,T156/T$12)</f>
        <v>0.36989342727733737</v>
      </c>
      <c r="W156" s="16"/>
      <c r="X156" s="21">
        <f>+P156-T156</f>
        <v>-50697.350000000559</v>
      </c>
      <c r="Y156" s="16"/>
      <c r="Z156" s="22">
        <f>IF(T156=0,0,X156/T156)</f>
        <v>-2.7310670863787721E-2</v>
      </c>
    </row>
    <row r="157" spans="1:26" x14ac:dyDescent="0.25">
      <c r="A157" s="9"/>
      <c r="B157" s="10"/>
      <c r="C157" s="9"/>
      <c r="D157" s="1"/>
      <c r="E157" s="1"/>
      <c r="F157" s="5"/>
      <c r="G157" s="1"/>
      <c r="H157" s="1"/>
      <c r="I157" s="1"/>
      <c r="J157" s="5"/>
      <c r="K157" s="1"/>
      <c r="L157" s="1"/>
      <c r="M157" s="1"/>
      <c r="N157" s="5"/>
      <c r="O157" s="37"/>
      <c r="P157" s="1"/>
      <c r="Q157" s="1"/>
      <c r="R157" s="5"/>
      <c r="S157" s="1"/>
      <c r="T157" s="1"/>
      <c r="U157" s="1"/>
      <c r="V157" s="5"/>
      <c r="W157" s="1"/>
      <c r="X157" s="1"/>
      <c r="Y157" s="1"/>
      <c r="Z157" s="5"/>
    </row>
    <row r="158" spans="1:26" s="23" customFormat="1" x14ac:dyDescent="0.25">
      <c r="A158" s="10"/>
      <c r="B158" s="29" t="s">
        <v>9</v>
      </c>
      <c r="C158" s="10"/>
      <c r="D158" s="20">
        <f>SUM(OSRRefD22x_0)</f>
        <v>402930.09000000008</v>
      </c>
      <c r="E158" s="20"/>
      <c r="F158" s="35">
        <f t="shared" ref="F158:F168" si="20">IF(D$12=0,0,D158/D$12)</f>
        <v>0.84151915005436173</v>
      </c>
      <c r="G158" s="20"/>
      <c r="H158" s="20">
        <f>SUM(OSRRefH22x_0)</f>
        <v>413773.58000000007</v>
      </c>
      <c r="I158" s="20"/>
      <c r="J158" s="35">
        <f t="shared" ref="J158:J168" si="21">IF(H$12=0,0,H158/H$12)</f>
        <v>0.88598131329400298</v>
      </c>
      <c r="K158" s="4"/>
      <c r="L158" s="20">
        <f t="shared" ref="L158:L168" si="22">+D158-H158</f>
        <v>-10843.489999999991</v>
      </c>
      <c r="M158" s="4"/>
      <c r="N158" s="35">
        <f t="shared" ref="N158:N168" si="23">IF(H158=0,0,L158/H158)</f>
        <v>-2.6206337292003973E-2</v>
      </c>
      <c r="O158" s="10"/>
      <c r="P158" s="20">
        <f>SUM(OSRRefP22x_0)</f>
        <v>1523023.7099999993</v>
      </c>
      <c r="Q158" s="20"/>
      <c r="R158" s="35">
        <f t="shared" ref="R158:R168" si="24">IF(P$12=0,0,P158/P$12)</f>
        <v>0.32960059152495108</v>
      </c>
      <c r="S158" s="20"/>
      <c r="T158" s="20">
        <f>SUM(OSRRefT22x_0)</f>
        <v>1618878.75</v>
      </c>
      <c r="U158" s="20"/>
      <c r="V158" s="35">
        <f t="shared" ref="V158:V168" si="25">IF(T$12=0,0,T158/T$12)</f>
        <v>0.32258045200604518</v>
      </c>
      <c r="W158" s="4"/>
      <c r="X158" s="20">
        <f t="shared" ref="X158:X168" si="26">+P158-T158</f>
        <v>-95855.040000000736</v>
      </c>
      <c r="Y158" s="4"/>
      <c r="Z158" s="35">
        <f t="shared" ref="Z158:Z168" si="27">IF(T158=0,0,X158/T158)</f>
        <v>-5.921075929868172E-2</v>
      </c>
    </row>
    <row r="159" spans="1:26" s="27" customFormat="1" outlineLevel="1" collapsed="1" x14ac:dyDescent="0.25">
      <c r="A159" s="25"/>
      <c r="B159" s="13" t="str">
        <f>CONCATENATE("     ","*Benefits                                         ")</f>
        <v xml:space="preserve">     *Benefits                                         </v>
      </c>
      <c r="C159" s="13"/>
      <c r="D159" s="1">
        <f>SUM(OSRRefD22_0x_0)</f>
        <v>60988.17</v>
      </c>
      <c r="E159" s="1"/>
      <c r="F159" s="5">
        <f t="shared" si="20"/>
        <v>0.12737374114147423</v>
      </c>
      <c r="G159" s="1"/>
      <c r="H159" s="1">
        <f>SUM(OSRRefH22_0x_0)</f>
        <v>69359.800000000017</v>
      </c>
      <c r="I159" s="1"/>
      <c r="J159" s="5">
        <f t="shared" si="21"/>
        <v>0.14851476668425614</v>
      </c>
      <c r="K159" s="1"/>
      <c r="L159" s="1">
        <f t="shared" si="22"/>
        <v>-8371.6300000000192</v>
      </c>
      <c r="M159" s="1"/>
      <c r="N159" s="5">
        <f t="shared" si="23"/>
        <v>-0.12069858909627791</v>
      </c>
      <c r="O159" s="13"/>
      <c r="P159" s="1">
        <f>SUM(OSRRefP22_0x_0)</f>
        <v>217425.46000000002</v>
      </c>
      <c r="Q159" s="1"/>
      <c r="R159" s="5">
        <f t="shared" si="24"/>
        <v>4.7053476421968922E-2</v>
      </c>
      <c r="S159" s="1"/>
      <c r="T159" s="1">
        <f>SUM(OSRRefT22_0x_0)</f>
        <v>217524.75</v>
      </c>
      <c r="U159" s="1"/>
      <c r="V159" s="5">
        <f t="shared" si="25"/>
        <v>4.3344340752821654E-2</v>
      </c>
      <c r="W159" s="1"/>
      <c r="X159" s="1">
        <f t="shared" si="26"/>
        <v>-99.289999999979045</v>
      </c>
      <c r="Y159" s="1"/>
      <c r="Z159" s="5">
        <f t="shared" si="27"/>
        <v>-4.5645380583119415E-4</v>
      </c>
    </row>
    <row r="160" spans="1:26" s="24" customFormat="1" hidden="1" outlineLevel="2" x14ac:dyDescent="0.25">
      <c r="A160" s="26"/>
      <c r="B160" s="11" t="str">
        <f>CONCATENATE("          ", "6111", " - ", "F.I.C.A.")</f>
        <v xml:space="preserve">          6111 - F.I.C.A.</v>
      </c>
      <c r="C160" s="11"/>
      <c r="D160" s="6">
        <v>15804.64</v>
      </c>
      <c r="E160" s="2"/>
      <c r="F160" s="7">
        <f t="shared" si="20"/>
        <v>3.3007977189579374E-2</v>
      </c>
      <c r="G160" s="2"/>
      <c r="H160" s="6">
        <v>16489.52</v>
      </c>
      <c r="I160" s="2"/>
      <c r="J160" s="7">
        <f t="shared" si="21"/>
        <v>3.5307731791835828E-2</v>
      </c>
      <c r="K160" s="2"/>
      <c r="L160" s="6">
        <f t="shared" si="22"/>
        <v>-684.88000000000102</v>
      </c>
      <c r="M160" s="2"/>
      <c r="N160" s="7">
        <f t="shared" si="23"/>
        <v>-4.1534259335626565E-2</v>
      </c>
      <c r="O160" s="11"/>
      <c r="P160" s="6">
        <v>48200.75</v>
      </c>
      <c r="Q160" s="2"/>
      <c r="R160" s="7">
        <f t="shared" si="24"/>
        <v>1.0431220215177277E-2</v>
      </c>
      <c r="S160" s="2"/>
      <c r="T160" s="6">
        <v>48536.79</v>
      </c>
      <c r="U160" s="2"/>
      <c r="V160" s="7">
        <f t="shared" si="25"/>
        <v>9.6715208950160676E-3</v>
      </c>
      <c r="W160" s="2"/>
      <c r="X160" s="6">
        <f t="shared" si="26"/>
        <v>-336.04000000000087</v>
      </c>
      <c r="Y160" s="2"/>
      <c r="Z160" s="7">
        <f t="shared" si="27"/>
        <v>-6.9234079962848978E-3</v>
      </c>
    </row>
    <row r="161" spans="1:26" s="24" customFormat="1" hidden="1" outlineLevel="2" x14ac:dyDescent="0.25">
      <c r="A161" s="26"/>
      <c r="B161" s="11" t="str">
        <f>CONCATENATE("          ", "6112", " - ", "COMPENSATION INSURANCE")</f>
        <v xml:space="preserve">          6112 - COMPENSATION INSURANCE</v>
      </c>
      <c r="C161" s="11"/>
      <c r="D161" s="6">
        <v>88.86</v>
      </c>
      <c r="E161" s="2"/>
      <c r="F161" s="7">
        <f t="shared" si="20"/>
        <v>1.8558403437636184E-4</v>
      </c>
      <c r="G161" s="2"/>
      <c r="H161" s="6">
        <v>3943.96</v>
      </c>
      <c r="I161" s="2"/>
      <c r="J161" s="7">
        <f t="shared" si="21"/>
        <v>8.4448960235185035E-3</v>
      </c>
      <c r="K161" s="2"/>
      <c r="L161" s="6">
        <f t="shared" si="22"/>
        <v>-3855.1</v>
      </c>
      <c r="M161" s="2"/>
      <c r="N161" s="7">
        <f t="shared" si="23"/>
        <v>-0.97746934553088771</v>
      </c>
      <c r="O161" s="11"/>
      <c r="P161" s="6">
        <v>8248.8799999999992</v>
      </c>
      <c r="Q161" s="2"/>
      <c r="R161" s="7">
        <f t="shared" si="24"/>
        <v>1.7851565340491905E-3</v>
      </c>
      <c r="S161" s="2"/>
      <c r="T161" s="6">
        <v>7465.2</v>
      </c>
      <c r="U161" s="2"/>
      <c r="V161" s="7">
        <f t="shared" si="25"/>
        <v>1.4875280747959217E-3</v>
      </c>
      <c r="W161" s="2"/>
      <c r="X161" s="6">
        <f t="shared" si="26"/>
        <v>783.67999999999938</v>
      </c>
      <c r="Y161" s="2"/>
      <c r="Z161" s="7">
        <f t="shared" si="27"/>
        <v>0.10497776348925673</v>
      </c>
    </row>
    <row r="162" spans="1:26" s="24" customFormat="1" hidden="1" outlineLevel="2" x14ac:dyDescent="0.25">
      <c r="A162" s="26"/>
      <c r="B162" s="11" t="str">
        <f>CONCATENATE("          ", "6113", " - ", "GROUP INSURANCE")</f>
        <v xml:space="preserve">          6113 - GROUP INSURANCE</v>
      </c>
      <c r="C162" s="11"/>
      <c r="D162" s="6">
        <v>19005.5</v>
      </c>
      <c r="E162" s="2"/>
      <c r="F162" s="7">
        <f t="shared" si="20"/>
        <v>3.9692970575511424E-2</v>
      </c>
      <c r="G162" s="2"/>
      <c r="H162" s="6">
        <v>20730.79</v>
      </c>
      <c r="I162" s="2"/>
      <c r="J162" s="7">
        <f t="shared" si="21"/>
        <v>4.4389234686811517E-2</v>
      </c>
      <c r="K162" s="2"/>
      <c r="L162" s="6">
        <f t="shared" si="22"/>
        <v>-1725.2900000000009</v>
      </c>
      <c r="M162" s="2"/>
      <c r="N162" s="7">
        <f t="shared" si="23"/>
        <v>-8.3223552985679794E-2</v>
      </c>
      <c r="O162" s="11"/>
      <c r="P162" s="6">
        <v>75569.600000000006</v>
      </c>
      <c r="Q162" s="2"/>
      <c r="R162" s="7">
        <f t="shared" si="24"/>
        <v>1.6354167500979979E-2</v>
      </c>
      <c r="S162" s="2"/>
      <c r="T162" s="6">
        <v>69747.719999999987</v>
      </c>
      <c r="U162" s="2"/>
      <c r="V162" s="7">
        <f t="shared" si="25"/>
        <v>1.3898045819670603E-2</v>
      </c>
      <c r="W162" s="2"/>
      <c r="X162" s="6">
        <f t="shared" si="26"/>
        <v>5821.8800000000192</v>
      </c>
      <c r="Y162" s="2"/>
      <c r="Z162" s="7">
        <f t="shared" si="27"/>
        <v>8.3470542119513297E-2</v>
      </c>
    </row>
    <row r="163" spans="1:26" s="24" customFormat="1" hidden="1" outlineLevel="2" x14ac:dyDescent="0.25">
      <c r="A163" s="26"/>
      <c r="B163" s="11" t="str">
        <f>CONCATENATE("          ", "6114", " - ", "STATE UNEMPLOYMENT INSURANCE")</f>
        <v xml:space="preserve">          6114 - STATE UNEMPLOYMENT INSURANCE</v>
      </c>
      <c r="C163" s="11"/>
      <c r="D163" s="6">
        <v>601.82000000000005</v>
      </c>
      <c r="E163" s="2"/>
      <c r="F163" s="7">
        <f t="shared" si="20"/>
        <v>1.2569005578255917E-3</v>
      </c>
      <c r="G163" s="2"/>
      <c r="H163" s="6">
        <v>573.23</v>
      </c>
      <c r="I163" s="2"/>
      <c r="J163" s="7">
        <f t="shared" si="21"/>
        <v>1.227412992921204E-3</v>
      </c>
      <c r="K163" s="2"/>
      <c r="L163" s="6">
        <f t="shared" si="22"/>
        <v>28.590000000000032</v>
      </c>
      <c r="M163" s="2"/>
      <c r="N163" s="7">
        <f t="shared" si="23"/>
        <v>4.9875268216946128E-2</v>
      </c>
      <c r="O163" s="11"/>
      <c r="P163" s="6">
        <v>2006.24</v>
      </c>
      <c r="Q163" s="2"/>
      <c r="R163" s="7">
        <f t="shared" si="24"/>
        <v>4.341743903258198E-4</v>
      </c>
      <c r="S163" s="2"/>
      <c r="T163" s="6">
        <v>2116.6999999999998</v>
      </c>
      <c r="U163" s="2"/>
      <c r="V163" s="7">
        <f t="shared" si="25"/>
        <v>4.2177713603393447E-4</v>
      </c>
      <c r="W163" s="2"/>
      <c r="X163" s="6">
        <f t="shared" si="26"/>
        <v>-110.45999999999981</v>
      </c>
      <c r="Y163" s="2"/>
      <c r="Z163" s="7">
        <f t="shared" si="27"/>
        <v>-5.2185004960551715E-2</v>
      </c>
    </row>
    <row r="164" spans="1:26" s="24" customFormat="1" hidden="1" outlineLevel="2" x14ac:dyDescent="0.25">
      <c r="A164" s="26"/>
      <c r="B164" s="11" t="str">
        <f>CONCATENATE("          ", "6115", " - ", "P.E.R.S.")</f>
        <v xml:space="preserve">          6115 - P.E.R.S.</v>
      </c>
      <c r="C164" s="11"/>
      <c r="D164" s="6">
        <v>10951.07</v>
      </c>
      <c r="E164" s="2"/>
      <c r="F164" s="7">
        <f t="shared" si="20"/>
        <v>2.2871300375173809E-2</v>
      </c>
      <c r="G164" s="2"/>
      <c r="H164" s="6">
        <v>10120.51</v>
      </c>
      <c r="I164" s="2"/>
      <c r="J164" s="7">
        <f t="shared" si="21"/>
        <v>2.1670264063271244E-2</v>
      </c>
      <c r="K164" s="2"/>
      <c r="L164" s="6">
        <f t="shared" si="22"/>
        <v>830.55999999999949</v>
      </c>
      <c r="M164" s="2"/>
      <c r="N164" s="7">
        <f t="shared" si="23"/>
        <v>8.206701045698285E-2</v>
      </c>
      <c r="O164" s="11"/>
      <c r="P164" s="6">
        <v>29641.030000000002</v>
      </c>
      <c r="Q164" s="2"/>
      <c r="R164" s="7">
        <f t="shared" si="24"/>
        <v>6.414674280683934E-3</v>
      </c>
      <c r="S164" s="2"/>
      <c r="T164" s="6">
        <v>29624.52</v>
      </c>
      <c r="U164" s="2"/>
      <c r="V164" s="7">
        <f t="shared" si="25"/>
        <v>5.903030756356599E-3</v>
      </c>
      <c r="W164" s="2"/>
      <c r="X164" s="6">
        <f t="shared" si="26"/>
        <v>16.510000000002037</v>
      </c>
      <c r="Y164" s="2"/>
      <c r="Z164" s="7">
        <f t="shared" si="27"/>
        <v>5.573086078694958E-4</v>
      </c>
    </row>
    <row r="165" spans="1:26" s="24" customFormat="1" hidden="1" outlineLevel="2" x14ac:dyDescent="0.25">
      <c r="A165" s="26"/>
      <c r="B165" s="11" t="str">
        <f>CONCATENATE("          ", "6117", " - ", "RETIREMENT STAFF HOURLY")</f>
        <v xml:space="preserve">          6117 - RETIREMENT STAFF HOURLY</v>
      </c>
      <c r="C165" s="11"/>
      <c r="D165" s="6">
        <v>91.29</v>
      </c>
      <c r="E165" s="2"/>
      <c r="F165" s="7">
        <f t="shared" si="20"/>
        <v>1.9065908730832854E-4</v>
      </c>
      <c r="G165" s="2"/>
      <c r="H165" s="6">
        <v>293.82</v>
      </c>
      <c r="I165" s="2"/>
      <c r="J165" s="7">
        <f t="shared" si="21"/>
        <v>6.2913400481500999E-4</v>
      </c>
      <c r="K165" s="2"/>
      <c r="L165" s="6">
        <f t="shared" si="22"/>
        <v>-202.52999999999997</v>
      </c>
      <c r="M165" s="2"/>
      <c r="N165" s="7">
        <f t="shared" si="23"/>
        <v>-0.68929957116601992</v>
      </c>
      <c r="O165" s="11"/>
      <c r="P165" s="6">
        <v>552.63</v>
      </c>
      <c r="Q165" s="2"/>
      <c r="R165" s="7">
        <f t="shared" si="24"/>
        <v>1.1959575789823639E-4</v>
      </c>
      <c r="S165" s="2"/>
      <c r="T165" s="6">
        <v>1400.79</v>
      </c>
      <c r="U165" s="2"/>
      <c r="V165" s="7">
        <f t="shared" si="25"/>
        <v>2.7912372768222946E-4</v>
      </c>
      <c r="W165" s="2"/>
      <c r="X165" s="6">
        <f t="shared" si="26"/>
        <v>-848.16</v>
      </c>
      <c r="Y165" s="2"/>
      <c r="Z165" s="7">
        <f t="shared" si="27"/>
        <v>-0.60548690381855952</v>
      </c>
    </row>
    <row r="166" spans="1:26" s="24" customFormat="1" hidden="1" outlineLevel="2" x14ac:dyDescent="0.25">
      <c r="A166" s="26"/>
      <c r="B166" s="11" t="str">
        <f>CONCATENATE("          ", "6118", " - ", "VACATION")</f>
        <v xml:space="preserve">          6118 - VACATION</v>
      </c>
      <c r="C166" s="11"/>
      <c r="D166" s="6">
        <v>7232.76</v>
      </c>
      <c r="E166" s="2"/>
      <c r="F166" s="7">
        <f t="shared" si="20"/>
        <v>1.5105613104613717E-2</v>
      </c>
      <c r="G166" s="2"/>
      <c r="H166" s="6">
        <v>8753.7199999999993</v>
      </c>
      <c r="I166" s="2"/>
      <c r="J166" s="7">
        <f t="shared" si="21"/>
        <v>1.8743662516606252E-2</v>
      </c>
      <c r="K166" s="2"/>
      <c r="L166" s="6">
        <f t="shared" si="22"/>
        <v>-1520.9599999999991</v>
      </c>
      <c r="M166" s="2"/>
      <c r="N166" s="7">
        <f t="shared" si="23"/>
        <v>-0.17375013137271916</v>
      </c>
      <c r="O166" s="11"/>
      <c r="P166" s="6">
        <v>24697.98</v>
      </c>
      <c r="Q166" s="2"/>
      <c r="R166" s="7">
        <f t="shared" si="24"/>
        <v>5.3449389947260997E-3</v>
      </c>
      <c r="S166" s="2"/>
      <c r="T166" s="6">
        <v>27558.09</v>
      </c>
      <c r="U166" s="2"/>
      <c r="V166" s="7">
        <f t="shared" si="25"/>
        <v>5.491270503503288E-3</v>
      </c>
      <c r="W166" s="2"/>
      <c r="X166" s="6">
        <f t="shared" si="26"/>
        <v>-2860.1100000000006</v>
      </c>
      <c r="Y166" s="2"/>
      <c r="Z166" s="7">
        <f t="shared" si="27"/>
        <v>-0.10378476882831868</v>
      </c>
    </row>
    <row r="167" spans="1:26" s="24" customFormat="1" hidden="1" outlineLevel="2" x14ac:dyDescent="0.25">
      <c r="A167" s="26"/>
      <c r="B167" s="11" t="str">
        <f>CONCATENATE("          ", "6119", " - ", "SICK LEAVE")</f>
        <v xml:space="preserve">          6119 - SICK LEAVE</v>
      </c>
      <c r="C167" s="11"/>
      <c r="D167" s="6">
        <v>5069.59</v>
      </c>
      <c r="E167" s="2"/>
      <c r="F167" s="7">
        <f t="shared" si="20"/>
        <v>1.0587834400563361E-2</v>
      </c>
      <c r="G167" s="2"/>
      <c r="H167" s="6">
        <v>6333.68</v>
      </c>
      <c r="I167" s="2"/>
      <c r="J167" s="7">
        <f t="shared" si="21"/>
        <v>1.3561818336453381E-2</v>
      </c>
      <c r="K167" s="2"/>
      <c r="L167" s="6">
        <f t="shared" si="22"/>
        <v>-1264.0900000000001</v>
      </c>
      <c r="M167" s="2"/>
      <c r="N167" s="7">
        <f t="shared" si="23"/>
        <v>-0.19958223339354059</v>
      </c>
      <c r="O167" s="11"/>
      <c r="P167" s="6">
        <v>20571.350000000002</v>
      </c>
      <c r="Q167" s="2"/>
      <c r="R167" s="7">
        <f t="shared" si="24"/>
        <v>4.451886785443942E-3</v>
      </c>
      <c r="S167" s="2"/>
      <c r="T167" s="6">
        <v>22703.5</v>
      </c>
      <c r="U167" s="2"/>
      <c r="V167" s="7">
        <f t="shared" si="25"/>
        <v>4.5239368866378943E-3</v>
      </c>
      <c r="W167" s="2"/>
      <c r="X167" s="6">
        <f t="shared" si="26"/>
        <v>-2132.1499999999978</v>
      </c>
      <c r="Y167" s="2"/>
      <c r="Z167" s="7">
        <f t="shared" si="27"/>
        <v>-9.3912832823132897E-2</v>
      </c>
    </row>
    <row r="168" spans="1:26" s="24" customFormat="1" hidden="1" outlineLevel="2" x14ac:dyDescent="0.25">
      <c r="A168" s="26"/>
      <c r="B168" s="11" t="str">
        <f>CONCATENATE("          ", "6156", " - ", "EMPLOYEE MEALS")</f>
        <v xml:space="preserve">          6156 - EMPLOYEE MEALS</v>
      </c>
      <c r="C168" s="11"/>
      <c r="D168" s="6">
        <v>2142.64</v>
      </c>
      <c r="E168" s="2"/>
      <c r="F168" s="7">
        <f t="shared" si="20"/>
        <v>4.4749018165222585E-3</v>
      </c>
      <c r="G168" s="2"/>
      <c r="H168" s="6">
        <v>2120.5700000000002</v>
      </c>
      <c r="I168" s="2"/>
      <c r="J168" s="7">
        <f t="shared" si="21"/>
        <v>4.540612268023163E-3</v>
      </c>
      <c r="K168" s="2"/>
      <c r="L168" s="6">
        <f t="shared" si="22"/>
        <v>22.069999999999709</v>
      </c>
      <c r="M168" s="2"/>
      <c r="N168" s="7">
        <f t="shared" si="23"/>
        <v>1.0407579094299979E-2</v>
      </c>
      <c r="O168" s="11"/>
      <c r="P168" s="6">
        <v>7937</v>
      </c>
      <c r="Q168" s="2"/>
      <c r="R168" s="7">
        <f t="shared" si="24"/>
        <v>1.7176619626844405E-3</v>
      </c>
      <c r="S168" s="2"/>
      <c r="T168" s="6">
        <v>8371.44</v>
      </c>
      <c r="U168" s="2"/>
      <c r="V168" s="7">
        <f t="shared" si="25"/>
        <v>1.6681069531251102E-3</v>
      </c>
      <c r="W168" s="2"/>
      <c r="X168" s="6">
        <f t="shared" si="26"/>
        <v>-434.44000000000051</v>
      </c>
      <c r="Y168" s="2"/>
      <c r="Z168" s="7">
        <f t="shared" si="27"/>
        <v>-5.1895492292843341E-2</v>
      </c>
    </row>
    <row r="169" spans="1:26" s="27" customFormat="1" outlineLevel="1" collapsed="1" x14ac:dyDescent="0.25">
      <c r="A169" s="25"/>
      <c r="B169" s="13" t="str">
        <f>CONCATENATE("     ","*Payroll                                          ")</f>
        <v xml:space="preserve">     *Payroll                                          </v>
      </c>
      <c r="C169" s="13"/>
      <c r="D169" s="1">
        <f>SUM(OSRRefD22_1x_0)</f>
        <v>184807.12</v>
      </c>
      <c r="E169" s="1"/>
      <c r="F169" s="5">
        <f t="shared" ref="F169:F176" si="28">IF(D$12=0,0,D169/D$12)</f>
        <v>0.38596951284128322</v>
      </c>
      <c r="G169" s="1"/>
      <c r="H169" s="1">
        <f>SUM(OSRRefH22_1x_0)</f>
        <v>169808.87</v>
      </c>
      <c r="I169" s="1"/>
      <c r="J169" s="5">
        <f t="shared" ref="J169:J176" si="29">IF(H$12=0,0,H169/H$12)</f>
        <v>0.36359857884490981</v>
      </c>
      <c r="K169" s="1"/>
      <c r="L169" s="1">
        <f t="shared" ref="L169:L176" si="30">+D169-H169</f>
        <v>14998.25</v>
      </c>
      <c r="M169" s="1"/>
      <c r="N169" s="5">
        <f t="shared" ref="N169:N176" si="31">IF(H169=0,0,L169/H169)</f>
        <v>8.8324302493738988E-2</v>
      </c>
      <c r="O169" s="13"/>
      <c r="P169" s="1">
        <f>SUM(OSRRefP22_1x_0)</f>
        <v>751398.41999999993</v>
      </c>
      <c r="Q169" s="1"/>
      <c r="R169" s="5">
        <f t="shared" ref="R169:R176" si="32">IF(P$12=0,0,P169/P$12)</f>
        <v>0.16261162717086902</v>
      </c>
      <c r="S169" s="1"/>
      <c r="T169" s="1">
        <f>SUM(OSRRefT22_1x_0)</f>
        <v>718679.37999999989</v>
      </c>
      <c r="U169" s="1"/>
      <c r="V169" s="5">
        <f t="shared" ref="V169:V176" si="33">IF(T$12=0,0,T169/T$12)</f>
        <v>0.14320523958191697</v>
      </c>
      <c r="W169" s="1"/>
      <c r="X169" s="1">
        <f t="shared" ref="X169:X176" si="34">+P169-T169</f>
        <v>32719.040000000037</v>
      </c>
      <c r="Y169" s="1"/>
      <c r="Z169" s="5">
        <f t="shared" ref="Z169:Z176" si="35">IF(T169=0,0,X169/T169)</f>
        <v>4.5526615776843415E-2</v>
      </c>
    </row>
    <row r="170" spans="1:26" s="24" customFormat="1" hidden="1" outlineLevel="2" x14ac:dyDescent="0.25">
      <c r="A170" s="26"/>
      <c r="B170" s="11" t="str">
        <f>CONCATENATE("          ", "6001", " - ", "ADMINISTRATIVE SALARIES")</f>
        <v xml:space="preserve">          6001 - ADMINISTRATIVE SALARIES</v>
      </c>
      <c r="C170" s="11"/>
      <c r="D170" s="6">
        <v>12324.99</v>
      </c>
      <c r="E170" s="2"/>
      <c r="F170" s="7">
        <f t="shared" si="28"/>
        <v>2.5740731125909473E-2</v>
      </c>
      <c r="G170" s="2"/>
      <c r="H170" s="6">
        <v>13006.5</v>
      </c>
      <c r="I170" s="2"/>
      <c r="J170" s="7">
        <f t="shared" si="29"/>
        <v>2.7849810882943391E-2</v>
      </c>
      <c r="K170" s="2"/>
      <c r="L170" s="6">
        <f t="shared" si="30"/>
        <v>-681.51000000000022</v>
      </c>
      <c r="M170" s="2"/>
      <c r="N170" s="7">
        <f t="shared" si="31"/>
        <v>-5.2397647330181082E-2</v>
      </c>
      <c r="O170" s="11"/>
      <c r="P170" s="6">
        <v>46083.689999999995</v>
      </c>
      <c r="Q170" s="2"/>
      <c r="R170" s="7">
        <f t="shared" si="32"/>
        <v>9.9730630481468206E-3</v>
      </c>
      <c r="S170" s="2"/>
      <c r="T170" s="6">
        <v>46302.25</v>
      </c>
      <c r="U170" s="2"/>
      <c r="V170" s="7">
        <f t="shared" si="33"/>
        <v>9.2262627660637982E-3</v>
      </c>
      <c r="W170" s="2"/>
      <c r="X170" s="6">
        <f t="shared" si="34"/>
        <v>-218.56000000000495</v>
      </c>
      <c r="Y170" s="2"/>
      <c r="Z170" s="7">
        <f t="shared" si="35"/>
        <v>-4.7202889708384569E-3</v>
      </c>
    </row>
    <row r="171" spans="1:26" s="24" customFormat="1" hidden="1" outlineLevel="2" x14ac:dyDescent="0.25">
      <c r="A171" s="26"/>
      <c r="B171" s="11" t="str">
        <f>CONCATENATE("          ", "6002", " - ", "STAFF SALARIES")</f>
        <v xml:space="preserve">          6002 - STAFF SALARIES</v>
      </c>
      <c r="C171" s="11"/>
      <c r="D171" s="6">
        <v>65123.100000000006</v>
      </c>
      <c r="E171" s="2"/>
      <c r="F171" s="7">
        <f t="shared" si="28"/>
        <v>0.136009538927473</v>
      </c>
      <c r="G171" s="2"/>
      <c r="H171" s="6">
        <v>58432.51</v>
      </c>
      <c r="I171" s="2"/>
      <c r="J171" s="7">
        <f t="shared" si="29"/>
        <v>0.12511700710534721</v>
      </c>
      <c r="K171" s="2"/>
      <c r="L171" s="6">
        <f t="shared" si="30"/>
        <v>6690.5900000000038</v>
      </c>
      <c r="M171" s="2"/>
      <c r="N171" s="7">
        <f t="shared" si="31"/>
        <v>0.1145011569758</v>
      </c>
      <c r="O171" s="11"/>
      <c r="P171" s="6">
        <v>245044.26</v>
      </c>
      <c r="Q171" s="2"/>
      <c r="R171" s="7">
        <f t="shared" si="32"/>
        <v>5.303051588461085E-2</v>
      </c>
      <c r="S171" s="2"/>
      <c r="T171" s="6">
        <v>225850.65</v>
      </c>
      <c r="U171" s="2"/>
      <c r="V171" s="7">
        <f t="shared" si="33"/>
        <v>4.5003373330373943E-2</v>
      </c>
      <c r="W171" s="2"/>
      <c r="X171" s="6">
        <f t="shared" si="34"/>
        <v>19193.610000000015</v>
      </c>
      <c r="Y171" s="2"/>
      <c r="Z171" s="7">
        <f t="shared" si="35"/>
        <v>8.4983638523953839E-2</v>
      </c>
    </row>
    <row r="172" spans="1:26" s="24" customFormat="1" hidden="1" outlineLevel="2" x14ac:dyDescent="0.25">
      <c r="A172" s="26"/>
      <c r="B172" s="11" t="str">
        <f>CONCATENATE("          ", "6004", " - ", "STAFF HOURLY")</f>
        <v xml:space="preserve">          6004 - STAFF HOURLY</v>
      </c>
      <c r="C172" s="11"/>
      <c r="D172" s="6">
        <v>4439.95</v>
      </c>
      <c r="E172" s="2"/>
      <c r="F172" s="7">
        <f t="shared" si="28"/>
        <v>9.2728317964137705E-3</v>
      </c>
      <c r="G172" s="2"/>
      <c r="H172" s="6">
        <v>7272.79</v>
      </c>
      <c r="I172" s="2"/>
      <c r="J172" s="7">
        <f t="shared" si="29"/>
        <v>1.5572661829959009E-2</v>
      </c>
      <c r="K172" s="2"/>
      <c r="L172" s="6">
        <f t="shared" si="30"/>
        <v>-2832.84</v>
      </c>
      <c r="M172" s="2"/>
      <c r="N172" s="7">
        <f t="shared" si="31"/>
        <v>-0.38951214045778859</v>
      </c>
      <c r="O172" s="11"/>
      <c r="P172" s="6">
        <v>10542.16</v>
      </c>
      <c r="Q172" s="2"/>
      <c r="R172" s="7">
        <f t="shared" si="32"/>
        <v>2.2814498219142498E-3</v>
      </c>
      <c r="S172" s="2"/>
      <c r="T172" s="6">
        <v>24870.5</v>
      </c>
      <c r="U172" s="2"/>
      <c r="V172" s="7">
        <f t="shared" si="33"/>
        <v>4.9557368837019741E-3</v>
      </c>
      <c r="W172" s="2"/>
      <c r="X172" s="6">
        <f t="shared" si="34"/>
        <v>-14328.34</v>
      </c>
      <c r="Y172" s="2"/>
      <c r="Z172" s="7">
        <f t="shared" si="35"/>
        <v>-0.57611789067368968</v>
      </c>
    </row>
    <row r="173" spans="1:26" s="24" customFormat="1" hidden="1" outlineLevel="2" x14ac:dyDescent="0.25">
      <c r="A173" s="26"/>
      <c r="B173" s="11" t="str">
        <f>CONCATENATE("          ", "6005", " - ", "TEMPORARY WAGES-HOURLY")</f>
        <v xml:space="preserve">          6005 - TEMPORARY WAGES-HOURLY</v>
      </c>
      <c r="C173" s="11"/>
      <c r="D173" s="6">
        <v>23952.5</v>
      </c>
      <c r="E173" s="2"/>
      <c r="F173" s="7">
        <f t="shared" si="28"/>
        <v>5.0024775865404082E-2</v>
      </c>
      <c r="G173" s="2"/>
      <c r="H173" s="6">
        <v>26743.79</v>
      </c>
      <c r="I173" s="2"/>
      <c r="J173" s="7">
        <f t="shared" si="29"/>
        <v>5.7264405781198069E-2</v>
      </c>
      <c r="K173" s="2"/>
      <c r="L173" s="6">
        <f t="shared" si="30"/>
        <v>-2791.2900000000009</v>
      </c>
      <c r="M173" s="2"/>
      <c r="N173" s="7">
        <f t="shared" si="31"/>
        <v>-0.10437151951911082</v>
      </c>
      <c r="O173" s="11"/>
      <c r="P173" s="6">
        <v>74768.26999999999</v>
      </c>
      <c r="Q173" s="2"/>
      <c r="R173" s="7">
        <f t="shared" si="32"/>
        <v>1.6180750081229704E-2</v>
      </c>
      <c r="S173" s="2"/>
      <c r="T173" s="6">
        <v>78307.350000000006</v>
      </c>
      <c r="U173" s="2"/>
      <c r="V173" s="7">
        <f t="shared" si="33"/>
        <v>1.5603651822840707E-2</v>
      </c>
      <c r="W173" s="2"/>
      <c r="X173" s="6">
        <f t="shared" si="34"/>
        <v>-3539.0800000000163</v>
      </c>
      <c r="Y173" s="2"/>
      <c r="Z173" s="7">
        <f t="shared" si="35"/>
        <v>-4.5194735870898659E-2</v>
      </c>
    </row>
    <row r="174" spans="1:26" s="24" customFormat="1" hidden="1" outlineLevel="2" x14ac:dyDescent="0.25">
      <c r="A174" s="26"/>
      <c r="B174" s="11" t="str">
        <f>CONCATENATE("          ", "6006", " - ", "TEMPORARY PART TIME")</f>
        <v xml:space="preserve">          6006 - TEMPORARY PART TIME</v>
      </c>
      <c r="C174" s="11"/>
      <c r="D174" s="6">
        <v>4321.62</v>
      </c>
      <c r="E174" s="2"/>
      <c r="F174" s="7">
        <f t="shared" si="28"/>
        <v>9.0256996921176322E-3</v>
      </c>
      <c r="G174" s="2"/>
      <c r="H174" s="6">
        <v>6827.74</v>
      </c>
      <c r="I174" s="2"/>
      <c r="J174" s="7">
        <f t="shared" si="29"/>
        <v>1.4619710741391451E-2</v>
      </c>
      <c r="K174" s="2"/>
      <c r="L174" s="6">
        <f t="shared" si="30"/>
        <v>-2506.12</v>
      </c>
      <c r="M174" s="2"/>
      <c r="N174" s="7">
        <f t="shared" si="31"/>
        <v>-0.36704971191052971</v>
      </c>
      <c r="O174" s="11"/>
      <c r="P174" s="6">
        <v>18538</v>
      </c>
      <c r="Q174" s="2"/>
      <c r="R174" s="7">
        <f t="shared" si="32"/>
        <v>4.0118454660758671E-3</v>
      </c>
      <c r="S174" s="2"/>
      <c r="T174" s="6">
        <v>37453.79</v>
      </c>
      <c r="U174" s="2"/>
      <c r="V174" s="7">
        <f t="shared" si="33"/>
        <v>7.4631040203223956E-3</v>
      </c>
      <c r="W174" s="2"/>
      <c r="X174" s="6">
        <f t="shared" si="34"/>
        <v>-18915.79</v>
      </c>
      <c r="Y174" s="2"/>
      <c r="Z174" s="7">
        <f t="shared" si="35"/>
        <v>-0.50504341483198367</v>
      </c>
    </row>
    <row r="175" spans="1:26" s="24" customFormat="1" hidden="1" outlineLevel="2" x14ac:dyDescent="0.25">
      <c r="A175" s="26"/>
      <c r="B175" s="11" t="str">
        <f>CONCATENATE("          ", "6007", " - ", "STUDENT HOURLY")</f>
        <v xml:space="preserve">          6007 - STUDENT HOURLY</v>
      </c>
      <c r="C175" s="11"/>
      <c r="D175" s="6">
        <v>73537.959999999992</v>
      </c>
      <c r="E175" s="2"/>
      <c r="F175" s="7">
        <f t="shared" si="28"/>
        <v>0.15358396687606932</v>
      </c>
      <c r="G175" s="2"/>
      <c r="H175" s="6">
        <v>55127.539999999994</v>
      </c>
      <c r="I175" s="2"/>
      <c r="J175" s="7">
        <f t="shared" si="29"/>
        <v>0.11804033086855779</v>
      </c>
      <c r="K175" s="2"/>
      <c r="L175" s="6">
        <f t="shared" si="30"/>
        <v>18410.419999999998</v>
      </c>
      <c r="M175" s="2"/>
      <c r="N175" s="7">
        <f t="shared" si="31"/>
        <v>0.33396048508603865</v>
      </c>
      <c r="O175" s="11"/>
      <c r="P175" s="6">
        <v>351691.04</v>
      </c>
      <c r="Q175" s="2"/>
      <c r="R175" s="7">
        <f t="shared" si="32"/>
        <v>7.6110157745361215E-2</v>
      </c>
      <c r="S175" s="2"/>
      <c r="T175" s="6">
        <v>296047.08999999997</v>
      </c>
      <c r="U175" s="2"/>
      <c r="V175" s="7">
        <f t="shared" si="33"/>
        <v>5.899083183794606E-2</v>
      </c>
      <c r="W175" s="2"/>
      <c r="X175" s="6">
        <f t="shared" si="34"/>
        <v>55643.950000000012</v>
      </c>
      <c r="Y175" s="2"/>
      <c r="Z175" s="7">
        <f t="shared" si="35"/>
        <v>0.18795641598774038</v>
      </c>
    </row>
    <row r="176" spans="1:26" s="24" customFormat="1" hidden="1" outlineLevel="2" x14ac:dyDescent="0.25">
      <c r="A176" s="26"/>
      <c r="B176" s="11" t="str">
        <f>CONCATENATE("          ", "6008", " - ", "STUDENT HOURLY-FICA EXEMPT")</f>
        <v xml:space="preserve">          6008 - STUDENT HOURLY-FICA EXEMPT</v>
      </c>
      <c r="C176" s="11"/>
      <c r="D176" s="6">
        <v>1107</v>
      </c>
      <c r="E176" s="2"/>
      <c r="F176" s="7">
        <f t="shared" si="28"/>
        <v>2.3119685578959323E-3</v>
      </c>
      <c r="G176" s="2"/>
      <c r="H176" s="6">
        <v>2398</v>
      </c>
      <c r="I176" s="2"/>
      <c r="J176" s="7">
        <f t="shared" si="29"/>
        <v>5.1346516355128781E-3</v>
      </c>
      <c r="K176" s="2"/>
      <c r="L176" s="6">
        <f t="shared" si="30"/>
        <v>-1291</v>
      </c>
      <c r="M176" s="2"/>
      <c r="N176" s="7">
        <f t="shared" si="31"/>
        <v>-0.53836530442035024</v>
      </c>
      <c r="O176" s="11"/>
      <c r="P176" s="6">
        <v>4731</v>
      </c>
      <c r="Q176" s="2"/>
      <c r="R176" s="7">
        <f t="shared" si="32"/>
        <v>1.0238451235303121E-3</v>
      </c>
      <c r="S176" s="2"/>
      <c r="T176" s="6">
        <v>9847.75</v>
      </c>
      <c r="U176" s="2"/>
      <c r="V176" s="7">
        <f t="shared" si="33"/>
        <v>1.9622789206681051E-3</v>
      </c>
      <c r="W176" s="2"/>
      <c r="X176" s="6">
        <f t="shared" si="34"/>
        <v>-5116.75</v>
      </c>
      <c r="Y176" s="2"/>
      <c r="Z176" s="7">
        <f t="shared" si="35"/>
        <v>-0.51958569216318451</v>
      </c>
    </row>
    <row r="177" spans="1:26" s="27" customFormat="1" outlineLevel="1" collapsed="1" x14ac:dyDescent="0.25">
      <c r="A177" s="25"/>
      <c r="B177" s="13" t="str">
        <f>CONCATENATE("     ","Advertising/Promo                                 ")</f>
        <v xml:space="preserve">     Advertising/Promo                                 </v>
      </c>
      <c r="C177" s="13"/>
      <c r="D177" s="1">
        <f>SUM(OSRRefD22_2x_0)</f>
        <v>10759.12</v>
      </c>
      <c r="E177" s="1"/>
      <c r="F177" s="5">
        <f t="shared" ref="F177:F181" si="36">IF(D$12=0,0,D177/D$12)</f>
        <v>2.2470412963531423E-2</v>
      </c>
      <c r="G177" s="1"/>
      <c r="H177" s="1">
        <f>SUM(OSRRefH22_2x_0)</f>
        <v>6159.88</v>
      </c>
      <c r="I177" s="1"/>
      <c r="J177" s="5">
        <f t="shared" ref="J177:J181" si="37">IF(H$12=0,0,H177/H$12)</f>
        <v>1.3189673860118043E-2</v>
      </c>
      <c r="K177" s="1"/>
      <c r="L177" s="1">
        <f t="shared" ref="L177:L181" si="38">+D177-H177</f>
        <v>4599.2400000000007</v>
      </c>
      <c r="M177" s="1"/>
      <c r="N177" s="5">
        <f t="shared" ref="N177:N181" si="39">IF(H177=0,0,L177/H177)</f>
        <v>0.7466444151509446</v>
      </c>
      <c r="O177" s="13"/>
      <c r="P177" s="1">
        <f>SUM(OSRRefP22_2x_0)</f>
        <v>17766.8</v>
      </c>
      <c r="Q177" s="1"/>
      <c r="R177" s="5">
        <f t="shared" ref="R177:R181" si="40">IF(P$12=0,0,P177/P$12)</f>
        <v>3.8449485395769074E-3</v>
      </c>
      <c r="S177" s="1"/>
      <c r="T177" s="1">
        <f>SUM(OSRRefT22_2x_0)</f>
        <v>18149.46</v>
      </c>
      <c r="U177" s="1"/>
      <c r="V177" s="5">
        <f t="shared" ref="V177:V181" si="41">IF(T$12=0,0,T177/T$12)</f>
        <v>3.6164913588899949E-3</v>
      </c>
      <c r="W177" s="1"/>
      <c r="X177" s="1">
        <f t="shared" ref="X177:X181" si="42">+P177-T177</f>
        <v>-382.65999999999985</v>
      </c>
      <c r="Y177" s="1"/>
      <c r="Z177" s="5">
        <f t="shared" ref="Z177:Z181" si="43">IF(T177=0,0,X177/T177)</f>
        <v>-2.108382287957878E-2</v>
      </c>
    </row>
    <row r="178" spans="1:26" s="24" customFormat="1" hidden="1" outlineLevel="2" x14ac:dyDescent="0.25">
      <c r="A178" s="26"/>
      <c r="B178" s="11" t="str">
        <f>CONCATENATE("          ", "6362", " - ", "ADVERTISING EXPENSE")</f>
        <v xml:space="preserve">          6362 - ADVERTISING EXPENSE</v>
      </c>
      <c r="C178" s="11"/>
      <c r="D178" s="6">
        <v>10759.12</v>
      </c>
      <c r="E178" s="2"/>
      <c r="F178" s="7">
        <f t="shared" si="36"/>
        <v>2.2470412963531423E-2</v>
      </c>
      <c r="G178" s="2"/>
      <c r="H178" s="6">
        <v>6159.88</v>
      </c>
      <c r="I178" s="2"/>
      <c r="J178" s="7">
        <f t="shared" si="37"/>
        <v>1.3189673860118043E-2</v>
      </c>
      <c r="K178" s="2"/>
      <c r="L178" s="6">
        <f t="shared" si="38"/>
        <v>4599.2400000000007</v>
      </c>
      <c r="M178" s="2"/>
      <c r="N178" s="7">
        <f t="shared" si="39"/>
        <v>0.7466444151509446</v>
      </c>
      <c r="O178" s="11"/>
      <c r="P178" s="6">
        <v>17766.8</v>
      </c>
      <c r="Q178" s="2"/>
      <c r="R178" s="7">
        <f t="shared" si="40"/>
        <v>3.8449485395769074E-3</v>
      </c>
      <c r="S178" s="2"/>
      <c r="T178" s="6">
        <v>18149.46</v>
      </c>
      <c r="U178" s="2"/>
      <c r="V178" s="7">
        <f t="shared" si="41"/>
        <v>3.6164913588899949E-3</v>
      </c>
      <c r="W178" s="2"/>
      <c r="X178" s="6">
        <f t="shared" si="42"/>
        <v>-382.65999999999985</v>
      </c>
      <c r="Y178" s="2"/>
      <c r="Z178" s="7">
        <f t="shared" si="43"/>
        <v>-2.108382287957878E-2</v>
      </c>
    </row>
    <row r="179" spans="1:26" s="27" customFormat="1" outlineLevel="1" collapsed="1" x14ac:dyDescent="0.25">
      <c r="A179" s="25"/>
      <c r="B179" s="13" t="str">
        <f>CONCATENATE("     ","Bad Debts/Over/Short                              ")</f>
        <v xml:space="preserve">     Bad Debts/Over/Short                              </v>
      </c>
      <c r="C179" s="13"/>
      <c r="D179" s="1">
        <f>SUM(OSRRefD22_3x_0)</f>
        <v>87.5</v>
      </c>
      <c r="E179" s="1"/>
      <c r="F179" s="5">
        <f t="shared" si="36"/>
        <v>1.8274367553377965E-4</v>
      </c>
      <c r="G179" s="1"/>
      <c r="H179" s="1">
        <f>SUM(OSRRefH22_3x_0)</f>
        <v>969.68</v>
      </c>
      <c r="I179" s="1"/>
      <c r="J179" s="5">
        <f t="shared" si="37"/>
        <v>2.0763006663570174E-3</v>
      </c>
      <c r="K179" s="1"/>
      <c r="L179" s="1">
        <f t="shared" si="38"/>
        <v>-882.18</v>
      </c>
      <c r="M179" s="1"/>
      <c r="N179" s="5">
        <f t="shared" si="39"/>
        <v>-0.90976404587080273</v>
      </c>
      <c r="O179" s="13"/>
      <c r="P179" s="1">
        <f>SUM(OSRRefP22_3x_0)</f>
        <v>-77.650000000000006</v>
      </c>
      <c r="Q179" s="1"/>
      <c r="R179" s="5">
        <f t="shared" si="40"/>
        <v>-1.6804391004466022E-5</v>
      </c>
      <c r="S179" s="1"/>
      <c r="T179" s="1">
        <f>SUM(OSRRefT22_3x_0)</f>
        <v>1062.4000000000001</v>
      </c>
      <c r="U179" s="1"/>
      <c r="V179" s="5">
        <f t="shared" si="41"/>
        <v>2.11695577702297E-4</v>
      </c>
      <c r="W179" s="1"/>
      <c r="X179" s="1">
        <f t="shared" si="42"/>
        <v>-1140.0500000000002</v>
      </c>
      <c r="Y179" s="1"/>
      <c r="Z179" s="5">
        <f t="shared" si="43"/>
        <v>-1.073089231927711</v>
      </c>
    </row>
    <row r="180" spans="1:26" s="24" customFormat="1" hidden="1" outlineLevel="2" x14ac:dyDescent="0.25">
      <c r="A180" s="26"/>
      <c r="B180" s="11" t="str">
        <f>CONCATENATE("          ", "6272", " - ", "CASH (OVER/SHORT)")</f>
        <v xml:space="preserve">          6272 - CASH (OVER/SHORT)</v>
      </c>
      <c r="C180" s="11"/>
      <c r="D180" s="6">
        <v>42.7</v>
      </c>
      <c r="E180" s="2"/>
      <c r="F180" s="7">
        <f t="shared" si="36"/>
        <v>8.9178913660484474E-5</v>
      </c>
      <c r="G180" s="2"/>
      <c r="H180" s="6">
        <v>969.68</v>
      </c>
      <c r="I180" s="2"/>
      <c r="J180" s="7">
        <f t="shared" si="37"/>
        <v>2.0763006663570174E-3</v>
      </c>
      <c r="K180" s="2"/>
      <c r="L180" s="6">
        <f t="shared" si="38"/>
        <v>-926.9799999999999</v>
      </c>
      <c r="M180" s="2"/>
      <c r="N180" s="7">
        <f t="shared" si="39"/>
        <v>-0.95596485438495171</v>
      </c>
      <c r="O180" s="11"/>
      <c r="P180" s="6">
        <v>-122.45</v>
      </c>
      <c r="Q180" s="2"/>
      <c r="R180" s="7">
        <f t="shared" si="40"/>
        <v>-2.6499648145484408E-5</v>
      </c>
      <c r="S180" s="2"/>
      <c r="T180" s="6">
        <v>1062.4000000000001</v>
      </c>
      <c r="U180" s="2"/>
      <c r="V180" s="7">
        <f t="shared" si="41"/>
        <v>2.11695577702297E-4</v>
      </c>
      <c r="W180" s="2"/>
      <c r="X180" s="6">
        <f t="shared" si="42"/>
        <v>-1184.8500000000001</v>
      </c>
      <c r="Y180" s="2"/>
      <c r="Z180" s="7">
        <f t="shared" si="43"/>
        <v>-1.115257906626506</v>
      </c>
    </row>
    <row r="181" spans="1:26" s="24" customFormat="1" hidden="1" outlineLevel="2" x14ac:dyDescent="0.25">
      <c r="A181" s="26"/>
      <c r="B181" s="11" t="str">
        <f>CONCATENATE("          ", "6342", " - ", "BAD DEBT")</f>
        <v xml:space="preserve">          6342 - BAD DEBT</v>
      </c>
      <c r="C181" s="11"/>
      <c r="D181" s="6">
        <v>44.8</v>
      </c>
      <c r="E181" s="2"/>
      <c r="F181" s="7">
        <f t="shared" si="36"/>
        <v>9.3564761873295179E-5</v>
      </c>
      <c r="G181" s="2"/>
      <c r="H181" s="6"/>
      <c r="I181" s="2"/>
      <c r="J181" s="7">
        <f t="shared" si="37"/>
        <v>0</v>
      </c>
      <c r="K181" s="2"/>
      <c r="L181" s="6">
        <f t="shared" si="38"/>
        <v>44.8</v>
      </c>
      <c r="M181" s="2"/>
      <c r="N181" s="7">
        <f t="shared" si="39"/>
        <v>0</v>
      </c>
      <c r="O181" s="11"/>
      <c r="P181" s="6">
        <v>44.8</v>
      </c>
      <c r="Q181" s="2"/>
      <c r="R181" s="7">
        <f t="shared" si="40"/>
        <v>9.6952571410183861E-6</v>
      </c>
      <c r="S181" s="2"/>
      <c r="T181" s="6"/>
      <c r="U181" s="2"/>
      <c r="V181" s="7">
        <f t="shared" si="41"/>
        <v>0</v>
      </c>
      <c r="W181" s="2"/>
      <c r="X181" s="6">
        <f t="shared" si="42"/>
        <v>44.8</v>
      </c>
      <c r="Y181" s="2"/>
      <c r="Z181" s="7">
        <f t="shared" si="43"/>
        <v>0</v>
      </c>
    </row>
    <row r="182" spans="1:26" s="27" customFormat="1" outlineLevel="1" collapsed="1" x14ac:dyDescent="0.25">
      <c r="A182" s="25"/>
      <c r="B182" s="13" t="str">
        <f>CONCATENATE("     ","Bank/card Fees                                    ")</f>
        <v xml:space="preserve">     Bank/card Fees                                    </v>
      </c>
      <c r="C182" s="13"/>
      <c r="D182" s="1">
        <f>SUM(OSRRefD22_4x_0)</f>
        <v>11091.96</v>
      </c>
      <c r="E182" s="1"/>
      <c r="F182" s="5">
        <f t="shared" ref="F182:F186" si="44">IF(D$12=0,0,D182/D$12)</f>
        <v>2.3165549020270428E-2</v>
      </c>
      <c r="G182" s="1"/>
      <c r="H182" s="1">
        <f>SUM(OSRRefH22_4x_0)</f>
        <v>10043.31</v>
      </c>
      <c r="I182" s="1"/>
      <c r="J182" s="5">
        <f t="shared" ref="J182:J186" si="45">IF(H$12=0,0,H182/H$12)</f>
        <v>2.1504961683679252E-2</v>
      </c>
      <c r="K182" s="1"/>
      <c r="L182" s="1">
        <f t="shared" ref="L182:L186" si="46">+D182-H182</f>
        <v>1048.6499999999996</v>
      </c>
      <c r="M182" s="1"/>
      <c r="N182" s="5">
        <f t="shared" ref="N182:N186" si="47">IF(H182=0,0,L182/H182)</f>
        <v>0.10441278821424407</v>
      </c>
      <c r="O182" s="13"/>
      <c r="P182" s="1">
        <f>SUM(OSRRefP22_4x_0)</f>
        <v>71349.02</v>
      </c>
      <c r="Q182" s="1"/>
      <c r="R182" s="5">
        <f t="shared" ref="R182:R186" si="48">IF(P$12=0,0,P182/P$12)</f>
        <v>1.5440783385260351E-2</v>
      </c>
      <c r="S182" s="1"/>
      <c r="T182" s="1">
        <f>SUM(OSRRefT22_4x_0)</f>
        <v>71002.64</v>
      </c>
      <c r="U182" s="1"/>
      <c r="V182" s="5">
        <f t="shared" ref="V182:V186" si="49">IF(T$12=0,0,T182/T$12)</f>
        <v>1.4148103250365416E-2</v>
      </c>
      <c r="W182" s="1"/>
      <c r="X182" s="1">
        <f t="shared" ref="X182:X186" si="50">+P182-T182</f>
        <v>346.38000000000466</v>
      </c>
      <c r="Y182" s="1"/>
      <c r="Z182" s="5">
        <f t="shared" ref="Z182:Z186" si="51">IF(T182=0,0,X182/T182)</f>
        <v>4.8784101548900814E-3</v>
      </c>
    </row>
    <row r="183" spans="1:26" s="24" customFormat="1" hidden="1" outlineLevel="2" x14ac:dyDescent="0.25">
      <c r="A183" s="26"/>
      <c r="B183" s="11" t="str">
        <f>CONCATENATE("          ", "6381", " - ", "BANK/CREDIT CARD FEES")</f>
        <v xml:space="preserve">          6381 - BANK/CREDIT CARD FEES</v>
      </c>
      <c r="C183" s="11"/>
      <c r="D183" s="6">
        <v>11091.96</v>
      </c>
      <c r="E183" s="2"/>
      <c r="F183" s="7">
        <f t="shared" si="44"/>
        <v>2.3165549020270428E-2</v>
      </c>
      <c r="G183" s="2"/>
      <c r="H183" s="6">
        <v>10043.31</v>
      </c>
      <c r="I183" s="2"/>
      <c r="J183" s="7">
        <f t="shared" si="45"/>
        <v>2.1504961683679252E-2</v>
      </c>
      <c r="K183" s="2"/>
      <c r="L183" s="6">
        <f t="shared" si="46"/>
        <v>1048.6499999999996</v>
      </c>
      <c r="M183" s="2"/>
      <c r="N183" s="7">
        <f t="shared" si="47"/>
        <v>0.10441278821424407</v>
      </c>
      <c r="O183" s="11"/>
      <c r="P183" s="6">
        <v>71349.02</v>
      </c>
      <c r="Q183" s="2"/>
      <c r="R183" s="7">
        <f t="shared" si="48"/>
        <v>1.5440783385260351E-2</v>
      </c>
      <c r="S183" s="2"/>
      <c r="T183" s="6">
        <v>71002.64</v>
      </c>
      <c r="U183" s="2"/>
      <c r="V183" s="7">
        <f t="shared" si="49"/>
        <v>1.4148103250365416E-2</v>
      </c>
      <c r="W183" s="2"/>
      <c r="X183" s="6">
        <f t="shared" si="50"/>
        <v>346.38000000000466</v>
      </c>
      <c r="Y183" s="2"/>
      <c r="Z183" s="7">
        <f t="shared" si="51"/>
        <v>4.8784101548900814E-3</v>
      </c>
    </row>
    <row r="184" spans="1:26" s="27" customFormat="1" outlineLevel="1" collapsed="1" x14ac:dyDescent="0.25">
      <c r="A184" s="25"/>
      <c r="B184" s="13" t="str">
        <f>CONCATENATE("     ","Depreciation                                      ")</f>
        <v xml:space="preserve">     Depreciation                                      </v>
      </c>
      <c r="C184" s="13"/>
      <c r="D184" s="1">
        <f>SUM(OSRRefD22_5x_0)</f>
        <v>29607.43</v>
      </c>
      <c r="E184" s="1"/>
      <c r="F184" s="5">
        <f t="shared" si="44"/>
        <v>6.1835092357818214E-2</v>
      </c>
      <c r="G184" s="1"/>
      <c r="H184" s="1">
        <f>SUM(OSRRefH22_5x_0)</f>
        <v>29330.07</v>
      </c>
      <c r="I184" s="1"/>
      <c r="J184" s="5">
        <f t="shared" si="45"/>
        <v>6.2802206795332438E-2</v>
      </c>
      <c r="K184" s="1"/>
      <c r="L184" s="1">
        <f t="shared" si="46"/>
        <v>277.36000000000058</v>
      </c>
      <c r="M184" s="1"/>
      <c r="N184" s="5">
        <f t="shared" si="47"/>
        <v>9.4565065818117914E-3</v>
      </c>
      <c r="O184" s="13"/>
      <c r="P184" s="1">
        <f>SUM(OSRRefP22_5x_0)</f>
        <v>118429.72</v>
      </c>
      <c r="Q184" s="1"/>
      <c r="R184" s="5">
        <f t="shared" si="48"/>
        <v>2.562961135131268E-2</v>
      </c>
      <c r="S184" s="1"/>
      <c r="T184" s="1">
        <f>SUM(OSRRefT22_5x_0)</f>
        <v>117320.28</v>
      </c>
      <c r="U184" s="1"/>
      <c r="V184" s="5">
        <f t="shared" si="49"/>
        <v>2.3377432653233467E-2</v>
      </c>
      <c r="W184" s="1"/>
      <c r="X184" s="1">
        <f t="shared" si="50"/>
        <v>1109.4400000000023</v>
      </c>
      <c r="Y184" s="1"/>
      <c r="Z184" s="5">
        <f t="shared" si="51"/>
        <v>9.4565065818117914E-3</v>
      </c>
    </row>
    <row r="185" spans="1:26" s="24" customFormat="1" hidden="1" outlineLevel="2" x14ac:dyDescent="0.25">
      <c r="A185" s="26"/>
      <c r="B185" s="11" t="str">
        <f>CONCATENATE("          ", "6321", " - ", "BUILDING DEPRECIATION")</f>
        <v xml:space="preserve">          6321 - BUILDING DEPRECIATION</v>
      </c>
      <c r="C185" s="11"/>
      <c r="D185" s="6">
        <v>16396.52</v>
      </c>
      <c r="E185" s="2"/>
      <c r="F185" s="7">
        <f t="shared" si="44"/>
        <v>3.4244118065864332E-2</v>
      </c>
      <c r="G185" s="2"/>
      <c r="H185" s="6">
        <v>16453.38</v>
      </c>
      <c r="I185" s="2"/>
      <c r="J185" s="7">
        <f t="shared" si="45"/>
        <v>3.5230348009472431E-2</v>
      </c>
      <c r="K185" s="2"/>
      <c r="L185" s="6">
        <f t="shared" si="46"/>
        <v>-56.860000000000582</v>
      </c>
      <c r="M185" s="2"/>
      <c r="N185" s="7">
        <f t="shared" si="47"/>
        <v>-3.4558248821822978E-3</v>
      </c>
      <c r="O185" s="11"/>
      <c r="P185" s="6">
        <v>65586.080000000002</v>
      </c>
      <c r="Q185" s="2"/>
      <c r="R185" s="7">
        <f t="shared" si="48"/>
        <v>1.4193614073022392E-2</v>
      </c>
      <c r="S185" s="2"/>
      <c r="T185" s="6">
        <v>65813.52</v>
      </c>
      <c r="U185" s="2"/>
      <c r="V185" s="7">
        <f t="shared" si="49"/>
        <v>1.3114110633491789E-2</v>
      </c>
      <c r="W185" s="2"/>
      <c r="X185" s="6">
        <f t="shared" si="50"/>
        <v>-227.44000000000233</v>
      </c>
      <c r="Y185" s="2"/>
      <c r="Z185" s="7">
        <f t="shared" si="51"/>
        <v>-3.4558248821822978E-3</v>
      </c>
    </row>
    <row r="186" spans="1:26" s="24" customFormat="1" hidden="1" outlineLevel="2" x14ac:dyDescent="0.25">
      <c r="A186" s="26"/>
      <c r="B186" s="11" t="str">
        <f>CONCATENATE("          ", "6322", " - ", "EQUIPMENT DEPRECIATION EXPENSE")</f>
        <v xml:space="preserve">          6322 - EQUIPMENT DEPRECIATION EXPENSE</v>
      </c>
      <c r="C186" s="11"/>
      <c r="D186" s="6">
        <v>13210.91</v>
      </c>
      <c r="E186" s="2"/>
      <c r="F186" s="7">
        <f t="shared" si="44"/>
        <v>2.7590974291953885E-2</v>
      </c>
      <c r="G186" s="2"/>
      <c r="H186" s="6">
        <v>12876.69</v>
      </c>
      <c r="I186" s="2"/>
      <c r="J186" s="7">
        <f t="shared" si="45"/>
        <v>2.7571858785860021E-2</v>
      </c>
      <c r="K186" s="2"/>
      <c r="L186" s="6">
        <f t="shared" si="46"/>
        <v>334.21999999999935</v>
      </c>
      <c r="M186" s="2"/>
      <c r="N186" s="7">
        <f t="shared" si="47"/>
        <v>2.5955427986539967E-2</v>
      </c>
      <c r="O186" s="11"/>
      <c r="P186" s="6">
        <v>52843.64</v>
      </c>
      <c r="Q186" s="2"/>
      <c r="R186" s="7">
        <f t="shared" si="48"/>
        <v>1.1435997278290286E-2</v>
      </c>
      <c r="S186" s="2"/>
      <c r="T186" s="6">
        <v>51506.76</v>
      </c>
      <c r="U186" s="2"/>
      <c r="V186" s="7">
        <f t="shared" si="49"/>
        <v>1.0263322019741681E-2</v>
      </c>
      <c r="W186" s="2"/>
      <c r="X186" s="6">
        <f t="shared" si="50"/>
        <v>1336.8799999999974</v>
      </c>
      <c r="Y186" s="2"/>
      <c r="Z186" s="7">
        <f t="shared" si="51"/>
        <v>2.5955427986539967E-2</v>
      </c>
    </row>
    <row r="187" spans="1:26" s="27" customFormat="1" outlineLevel="1" collapsed="1" x14ac:dyDescent="0.25">
      <c r="A187" s="25"/>
      <c r="B187" s="13" t="str">
        <f>CONCATENATE("     ","Discounts and Markdowns                           ")</f>
        <v xml:space="preserve">     Discounts and Markdowns                           </v>
      </c>
      <c r="C187" s="13"/>
      <c r="D187" s="1">
        <f>SUM(OSRRefD22_6x_0)</f>
        <v>33772.049999999996</v>
      </c>
      <c r="E187" s="1"/>
      <c r="F187" s="5">
        <f t="shared" ref="F187:F189" si="52">IF(D$12=0,0,D187/D$12)</f>
        <v>7.053289768354952E-2</v>
      </c>
      <c r="G187" s="1"/>
      <c r="H187" s="1">
        <f>SUM(OSRRefH22_6x_0)</f>
        <v>19874.48</v>
      </c>
      <c r="I187" s="1"/>
      <c r="J187" s="5">
        <f t="shared" ref="J187:J189" si="53">IF(H$12=0,0,H187/H$12)</f>
        <v>4.2555684419085901E-2</v>
      </c>
      <c r="K187" s="1"/>
      <c r="L187" s="1">
        <f t="shared" ref="L187:L189" si="54">+D187-H187</f>
        <v>13897.569999999996</v>
      </c>
      <c r="M187" s="1"/>
      <c r="N187" s="5">
        <f t="shared" ref="N187:N189" si="55">IF(H187=0,0,L187/H187)</f>
        <v>0.69926710032161832</v>
      </c>
      <c r="O187" s="13"/>
      <c r="P187" s="1">
        <f>SUM(OSRRefP22_6x_0)</f>
        <v>97800.790000000008</v>
      </c>
      <c r="Q187" s="1"/>
      <c r="R187" s="5">
        <f t="shared" ref="R187:R189" si="56">IF(P$12=0,0,P187/P$12)</f>
        <v>2.1165263563498654E-2</v>
      </c>
      <c r="S187" s="1"/>
      <c r="T187" s="1">
        <f>SUM(OSRRefT22_6x_0)</f>
        <v>91812.33</v>
      </c>
      <c r="U187" s="1"/>
      <c r="V187" s="5">
        <f t="shared" ref="V187:V189" si="57">IF(T$12=0,0,T187/T$12)</f>
        <v>1.8294676430293609E-2</v>
      </c>
      <c r="W187" s="1"/>
      <c r="X187" s="1">
        <f t="shared" ref="X187:X189" si="58">+P187-T187</f>
        <v>5988.4600000000064</v>
      </c>
      <c r="Y187" s="1"/>
      <c r="Z187" s="5">
        <f t="shared" ref="Z187:Z189" si="59">IF(T187=0,0,X187/T187)</f>
        <v>6.5225008449300945E-2</v>
      </c>
    </row>
    <row r="188" spans="1:26" s="24" customFormat="1" hidden="1" outlineLevel="2" x14ac:dyDescent="0.25">
      <c r="A188" s="26"/>
      <c r="B188" s="11" t="str">
        <f>CONCATENATE("          ", "6382", " - ", "DISCOUNTS/MARK DOWNS")</f>
        <v xml:space="preserve">          6382 - DISCOUNTS/MARK DOWNS</v>
      </c>
      <c r="C188" s="11"/>
      <c r="D188" s="6">
        <v>34241.939999999995</v>
      </c>
      <c r="E188" s="2"/>
      <c r="F188" s="7">
        <f t="shared" si="52"/>
        <v>7.1514262548653146E-2</v>
      </c>
      <c r="G188" s="2"/>
      <c r="H188" s="6">
        <v>19922.63</v>
      </c>
      <c r="I188" s="2"/>
      <c r="J188" s="7">
        <f t="shared" si="53"/>
        <v>4.2658784284077537E-2</v>
      </c>
      <c r="K188" s="2"/>
      <c r="L188" s="6">
        <f t="shared" si="54"/>
        <v>14319.309999999994</v>
      </c>
      <c r="M188" s="2"/>
      <c r="N188" s="7">
        <f t="shared" si="55"/>
        <v>0.71874596878022601</v>
      </c>
      <c r="O188" s="11"/>
      <c r="P188" s="6">
        <v>99918.540000000008</v>
      </c>
      <c r="Q188" s="2"/>
      <c r="R188" s="7">
        <f t="shared" si="56"/>
        <v>2.162357005480204E-2</v>
      </c>
      <c r="S188" s="2"/>
      <c r="T188" s="6">
        <v>94339.35</v>
      </c>
      <c r="U188" s="2"/>
      <c r="V188" s="7">
        <f t="shared" si="57"/>
        <v>1.8798214606842237E-2</v>
      </c>
      <c r="W188" s="2"/>
      <c r="X188" s="6">
        <f t="shared" si="58"/>
        <v>5579.1900000000023</v>
      </c>
      <c r="Y188" s="2"/>
      <c r="Z188" s="7">
        <f t="shared" si="59"/>
        <v>5.913958491340042E-2</v>
      </c>
    </row>
    <row r="189" spans="1:26" s="24" customFormat="1" hidden="1" outlineLevel="2" x14ac:dyDescent="0.25">
      <c r="A189" s="26"/>
      <c r="B189" s="11" t="str">
        <f>CONCATENATE("          ", "9175", " - ", "EARNED DISCOUNTS")</f>
        <v xml:space="preserve">          9175 - EARNED DISCOUNTS</v>
      </c>
      <c r="C189" s="11"/>
      <c r="D189" s="6">
        <v>-469.89</v>
      </c>
      <c r="E189" s="2"/>
      <c r="F189" s="7">
        <f t="shared" si="52"/>
        <v>-9.8136486510363107E-4</v>
      </c>
      <c r="G189" s="2"/>
      <c r="H189" s="6">
        <v>-48.15</v>
      </c>
      <c r="I189" s="2"/>
      <c r="J189" s="7">
        <f t="shared" si="53"/>
        <v>-1.0309986499163681E-4</v>
      </c>
      <c r="K189" s="2"/>
      <c r="L189" s="6">
        <f t="shared" si="54"/>
        <v>-421.74</v>
      </c>
      <c r="M189" s="2"/>
      <c r="N189" s="7">
        <f t="shared" si="55"/>
        <v>8.7588785046728983</v>
      </c>
      <c r="O189" s="11"/>
      <c r="P189" s="6">
        <v>-2117.75</v>
      </c>
      <c r="Q189" s="2"/>
      <c r="R189" s="7">
        <f t="shared" si="56"/>
        <v>-4.583064913033859E-4</v>
      </c>
      <c r="S189" s="2"/>
      <c r="T189" s="6">
        <v>-2527.02</v>
      </c>
      <c r="U189" s="2"/>
      <c r="V189" s="7">
        <f t="shared" si="57"/>
        <v>-5.0353817654862434E-4</v>
      </c>
      <c r="W189" s="2"/>
      <c r="X189" s="6">
        <f t="shared" si="58"/>
        <v>409.27</v>
      </c>
      <c r="Y189" s="2"/>
      <c r="Z189" s="7">
        <f t="shared" si="59"/>
        <v>-0.16195756266274108</v>
      </c>
    </row>
    <row r="190" spans="1:26" s="27" customFormat="1" outlineLevel="1" collapsed="1" x14ac:dyDescent="0.25">
      <c r="A190" s="25"/>
      <c r="B190" s="13" t="str">
        <f>CONCATENATE("     ","Donations                                         ")</f>
        <v xml:space="preserve">     Donations                                         </v>
      </c>
      <c r="C190" s="13"/>
      <c r="D190" s="1">
        <f>SUM(OSRRefD22_7x_0)</f>
        <v>1006.14</v>
      </c>
      <c r="E190" s="1"/>
      <c r="F190" s="5">
        <f t="shared" ref="F190:F198" si="60">IF(D$12=0,0,D190/D$12)</f>
        <v>2.1013225337320808E-3</v>
      </c>
      <c r="G190" s="1"/>
      <c r="H190" s="1">
        <f>SUM(OSRRefH22_7x_0)</f>
        <v>1330.95</v>
      </c>
      <c r="I190" s="1"/>
      <c r="J190" s="5">
        <f t="shared" ref="J190:J198" si="61">IF(H$12=0,0,H190/H$12)</f>
        <v>2.849860131061662E-3</v>
      </c>
      <c r="K190" s="1"/>
      <c r="L190" s="1">
        <f t="shared" ref="L190:L198" si="62">+D190-H190</f>
        <v>-324.81000000000006</v>
      </c>
      <c r="M190" s="1"/>
      <c r="N190" s="5">
        <f t="shared" ref="N190:N198" si="63">IF(H190=0,0,L190/H190)</f>
        <v>-0.24404372816409337</v>
      </c>
      <c r="O190" s="13"/>
      <c r="P190" s="1">
        <f>SUM(OSRRefP22_7x_0)</f>
        <v>6231.48</v>
      </c>
      <c r="Q190" s="1"/>
      <c r="R190" s="5">
        <f t="shared" ref="R190:R198" si="64">IF(P$12=0,0,P190/P$12)</f>
        <v>1.3485669859177065E-3</v>
      </c>
      <c r="S190" s="1"/>
      <c r="T190" s="1">
        <f>SUM(OSRRefT22_7x_0)</f>
        <v>4666.68</v>
      </c>
      <c r="U190" s="1"/>
      <c r="V190" s="5">
        <f t="shared" ref="V190:V198" si="65">IF(T$12=0,0,T190/T$12)</f>
        <v>9.2989036008260095E-4</v>
      </c>
      <c r="W190" s="1"/>
      <c r="X190" s="1">
        <f t="shared" ref="X190:X198" si="66">+P190-T190</f>
        <v>1564.7999999999993</v>
      </c>
      <c r="Y190" s="1"/>
      <c r="Z190" s="5">
        <f t="shared" ref="Z190:Z198" si="67">IF(T190=0,0,X190/T190)</f>
        <v>0.33531332767620647</v>
      </c>
    </row>
    <row r="191" spans="1:26" s="24" customFormat="1" hidden="1" outlineLevel="2" x14ac:dyDescent="0.25">
      <c r="A191" s="26"/>
      <c r="B191" s="11" t="str">
        <f>CONCATENATE("          ", "6399", " - ", "DONATION-ON CAMPUS")</f>
        <v xml:space="preserve">          6399 - DONATION-ON CAMPUS</v>
      </c>
      <c r="C191" s="11"/>
      <c r="D191" s="6">
        <v>1006.14</v>
      </c>
      <c r="E191" s="2"/>
      <c r="F191" s="7">
        <f t="shared" si="60"/>
        <v>2.1013225337320808E-3</v>
      </c>
      <c r="G191" s="2"/>
      <c r="H191" s="6">
        <v>1330.95</v>
      </c>
      <c r="I191" s="2"/>
      <c r="J191" s="7">
        <f t="shared" si="61"/>
        <v>2.849860131061662E-3</v>
      </c>
      <c r="K191" s="2"/>
      <c r="L191" s="6">
        <f t="shared" si="62"/>
        <v>-324.81000000000006</v>
      </c>
      <c r="M191" s="2"/>
      <c r="N191" s="7">
        <f t="shared" si="63"/>
        <v>-0.24404372816409337</v>
      </c>
      <c r="O191" s="11"/>
      <c r="P191" s="6">
        <v>6231.48</v>
      </c>
      <c r="Q191" s="2"/>
      <c r="R191" s="7">
        <f t="shared" si="64"/>
        <v>1.3485669859177065E-3</v>
      </c>
      <c r="S191" s="2"/>
      <c r="T191" s="6">
        <v>4666.68</v>
      </c>
      <c r="U191" s="2"/>
      <c r="V191" s="7">
        <f t="shared" si="65"/>
        <v>9.2989036008260095E-4</v>
      </c>
      <c r="W191" s="2"/>
      <c r="X191" s="6">
        <f t="shared" si="66"/>
        <v>1564.7999999999993</v>
      </c>
      <c r="Y191" s="2"/>
      <c r="Z191" s="7">
        <f t="shared" si="67"/>
        <v>0.33531332767620647</v>
      </c>
    </row>
    <row r="192" spans="1:26" s="27" customFormat="1" outlineLevel="1" collapsed="1" x14ac:dyDescent="0.25">
      <c r="A192" s="25"/>
      <c r="B192" s="13" t="str">
        <f>CONCATENATE("     ","Employees' Appreciation                           ")</f>
        <v xml:space="preserve">     Employees' Appreciation                           </v>
      </c>
      <c r="C192" s="13"/>
      <c r="D192" s="1">
        <f>SUM(OSRRefD22_8x_0)</f>
        <v>60</v>
      </c>
      <c r="E192" s="1"/>
      <c r="F192" s="5">
        <f t="shared" si="60"/>
        <v>1.253099489374489E-4</v>
      </c>
      <c r="G192" s="1"/>
      <c r="H192" s="1">
        <f>SUM(OSRRefH22_8x_0)</f>
        <v>996.54</v>
      </c>
      <c r="I192" s="1"/>
      <c r="J192" s="5">
        <f t="shared" si="61"/>
        <v>2.1338139036088423E-3</v>
      </c>
      <c r="K192" s="1"/>
      <c r="L192" s="1">
        <f t="shared" si="62"/>
        <v>-936.54</v>
      </c>
      <c r="M192" s="1"/>
      <c r="N192" s="5">
        <f t="shared" si="63"/>
        <v>-0.93979167921006679</v>
      </c>
      <c r="O192" s="13"/>
      <c r="P192" s="1">
        <f>SUM(OSRRefP22_8x_0)</f>
        <v>645.13</v>
      </c>
      <c r="Q192" s="1"/>
      <c r="R192" s="5">
        <f t="shared" si="64"/>
        <v>1.396138669505623E-4</v>
      </c>
      <c r="S192" s="1"/>
      <c r="T192" s="1">
        <f>SUM(OSRRefT22_8x_0)</f>
        <v>2392.48</v>
      </c>
      <c r="U192" s="1"/>
      <c r="V192" s="5">
        <f t="shared" si="65"/>
        <v>4.7672951406362149E-4</v>
      </c>
      <c r="W192" s="1"/>
      <c r="X192" s="1">
        <f t="shared" si="66"/>
        <v>-1747.35</v>
      </c>
      <c r="Y192" s="1"/>
      <c r="Z192" s="5">
        <f t="shared" si="67"/>
        <v>-0.73035093292315922</v>
      </c>
    </row>
    <row r="193" spans="1:26" s="24" customFormat="1" hidden="1" outlineLevel="2" x14ac:dyDescent="0.25">
      <c r="A193" s="26"/>
      <c r="B193" s="11" t="str">
        <f>CONCATENATE("          ", "6277", " - ", "EMPLOYEE APPRECIATION")</f>
        <v xml:space="preserve">          6277 - EMPLOYEE APPRECIATION</v>
      </c>
      <c r="C193" s="11"/>
      <c r="D193" s="6">
        <v>60</v>
      </c>
      <c r="E193" s="2"/>
      <c r="F193" s="7">
        <f t="shared" si="60"/>
        <v>1.253099489374489E-4</v>
      </c>
      <c r="G193" s="2"/>
      <c r="H193" s="6">
        <v>996.54</v>
      </c>
      <c r="I193" s="2"/>
      <c r="J193" s="7">
        <f t="shared" si="61"/>
        <v>2.1338139036088423E-3</v>
      </c>
      <c r="K193" s="2"/>
      <c r="L193" s="6">
        <f t="shared" si="62"/>
        <v>-936.54</v>
      </c>
      <c r="M193" s="2"/>
      <c r="N193" s="7">
        <f t="shared" si="63"/>
        <v>-0.93979167921006679</v>
      </c>
      <c r="O193" s="11"/>
      <c r="P193" s="6">
        <v>645.13</v>
      </c>
      <c r="Q193" s="2"/>
      <c r="R193" s="7">
        <f t="shared" si="64"/>
        <v>1.396138669505623E-4</v>
      </c>
      <c r="S193" s="2"/>
      <c r="T193" s="6">
        <v>2392.48</v>
      </c>
      <c r="U193" s="2"/>
      <c r="V193" s="7">
        <f t="shared" si="65"/>
        <v>4.7672951406362149E-4</v>
      </c>
      <c r="W193" s="2"/>
      <c r="X193" s="6">
        <f t="shared" si="66"/>
        <v>-1747.35</v>
      </c>
      <c r="Y193" s="2"/>
      <c r="Z193" s="7">
        <f t="shared" si="67"/>
        <v>-0.73035093292315922</v>
      </c>
    </row>
    <row r="194" spans="1:26" s="27" customFormat="1" outlineLevel="1" collapsed="1" x14ac:dyDescent="0.25">
      <c r="A194" s="25"/>
      <c r="B194" s="13" t="str">
        <f>CONCATENATE("     ","Equipment Rental                                  ")</f>
        <v xml:space="preserve">     Equipment Rental                                  </v>
      </c>
      <c r="C194" s="13"/>
      <c r="D194" s="1">
        <f>SUM(OSRRefD22_9x_0)</f>
        <v>2776.32</v>
      </c>
      <c r="E194" s="1"/>
      <c r="F194" s="5">
        <f t="shared" si="60"/>
        <v>5.7983419572336364E-3</v>
      </c>
      <c r="G194" s="1"/>
      <c r="H194" s="1">
        <f>SUM(OSRRefH22_9x_0)</f>
        <v>3400.41</v>
      </c>
      <c r="I194" s="1"/>
      <c r="J194" s="5">
        <f t="shared" si="61"/>
        <v>7.2810345153938054E-3</v>
      </c>
      <c r="K194" s="1"/>
      <c r="L194" s="1">
        <f t="shared" si="62"/>
        <v>-624.08999999999969</v>
      </c>
      <c r="M194" s="1"/>
      <c r="N194" s="5">
        <f t="shared" si="63"/>
        <v>-0.18353375034187044</v>
      </c>
      <c r="O194" s="13"/>
      <c r="P194" s="1">
        <f>SUM(OSRRefP22_9x_0)</f>
        <v>6667.02</v>
      </c>
      <c r="Q194" s="1"/>
      <c r="R194" s="5">
        <f t="shared" si="64"/>
        <v>1.4428230639355448E-3</v>
      </c>
      <c r="S194" s="1"/>
      <c r="T194" s="1">
        <f>SUM(OSRRefT22_9x_0)</f>
        <v>13602.92</v>
      </c>
      <c r="U194" s="1"/>
      <c r="V194" s="5">
        <f t="shared" si="65"/>
        <v>2.7105402935223358E-3</v>
      </c>
      <c r="W194" s="1"/>
      <c r="X194" s="1">
        <f t="shared" si="66"/>
        <v>-6935.9</v>
      </c>
      <c r="Y194" s="1"/>
      <c r="Z194" s="5">
        <f t="shared" si="67"/>
        <v>-0.50988317214245171</v>
      </c>
    </row>
    <row r="195" spans="1:26" s="24" customFormat="1" hidden="1" outlineLevel="2" x14ac:dyDescent="0.25">
      <c r="A195" s="26"/>
      <c r="B195" s="11" t="str">
        <f>CONCATENATE("          ", "6351", " - ", "EQUIPMENT RENTAL")</f>
        <v xml:space="preserve">          6351 - EQUIPMENT RENTAL</v>
      </c>
      <c r="C195" s="11"/>
      <c r="D195" s="6">
        <v>2776.32</v>
      </c>
      <c r="E195" s="2"/>
      <c r="F195" s="7">
        <f t="shared" si="60"/>
        <v>5.7983419572336364E-3</v>
      </c>
      <c r="G195" s="2"/>
      <c r="H195" s="6">
        <v>3400.41</v>
      </c>
      <c r="I195" s="2"/>
      <c r="J195" s="7">
        <f t="shared" si="61"/>
        <v>7.2810345153938054E-3</v>
      </c>
      <c r="K195" s="2"/>
      <c r="L195" s="6">
        <f t="shared" si="62"/>
        <v>-624.08999999999969</v>
      </c>
      <c r="M195" s="2"/>
      <c r="N195" s="7">
        <f t="shared" si="63"/>
        <v>-0.18353375034187044</v>
      </c>
      <c r="O195" s="11"/>
      <c r="P195" s="6">
        <v>6667.02</v>
      </c>
      <c r="Q195" s="2"/>
      <c r="R195" s="7">
        <f t="shared" si="64"/>
        <v>1.4428230639355448E-3</v>
      </c>
      <c r="S195" s="2"/>
      <c r="T195" s="6">
        <v>13602.92</v>
      </c>
      <c r="U195" s="2"/>
      <c r="V195" s="7">
        <f t="shared" si="65"/>
        <v>2.7105402935223358E-3</v>
      </c>
      <c r="W195" s="2"/>
      <c r="X195" s="6">
        <f t="shared" si="66"/>
        <v>-6935.9</v>
      </c>
      <c r="Y195" s="2"/>
      <c r="Z195" s="7">
        <f t="shared" si="67"/>
        <v>-0.50988317214245171</v>
      </c>
    </row>
    <row r="196" spans="1:26" s="27" customFormat="1" outlineLevel="1" collapsed="1" x14ac:dyDescent="0.25">
      <c r="A196" s="25"/>
      <c r="B196" s="13" t="str">
        <f>CONCATENATE("     ","Freight out/Postage                               ")</f>
        <v xml:space="preserve">     Freight out/Postage                               </v>
      </c>
      <c r="C196" s="13"/>
      <c r="D196" s="1">
        <f>SUM(OSRRefD22_10x_0)</f>
        <v>1632.4</v>
      </c>
      <c r="E196" s="1"/>
      <c r="F196" s="5">
        <f t="shared" si="60"/>
        <v>3.4092660107581936E-3</v>
      </c>
      <c r="G196" s="1"/>
      <c r="H196" s="1">
        <f>SUM(OSRRefH22_10x_0)</f>
        <v>6763.23</v>
      </c>
      <c r="I196" s="1"/>
      <c r="J196" s="5">
        <f t="shared" si="61"/>
        <v>1.4481580475750527E-2</v>
      </c>
      <c r="K196" s="1"/>
      <c r="L196" s="1">
        <f t="shared" si="62"/>
        <v>-5130.83</v>
      </c>
      <c r="M196" s="1"/>
      <c r="N196" s="5">
        <f t="shared" si="63"/>
        <v>-0.75863603633175281</v>
      </c>
      <c r="O196" s="13"/>
      <c r="P196" s="1">
        <f>SUM(OSRRefP22_10x_0)</f>
        <v>-4078.4100000000035</v>
      </c>
      <c r="Q196" s="1"/>
      <c r="R196" s="5">
        <f t="shared" si="64"/>
        <v>-8.8261682313617925E-4</v>
      </c>
      <c r="S196" s="1"/>
      <c r="T196" s="1">
        <f>SUM(OSRRefT22_10x_0)</f>
        <v>7589.9500000000007</v>
      </c>
      <c r="U196" s="1"/>
      <c r="V196" s="5">
        <f t="shared" si="65"/>
        <v>1.5123859657205847E-3</v>
      </c>
      <c r="W196" s="1"/>
      <c r="X196" s="1">
        <f t="shared" si="66"/>
        <v>-11668.360000000004</v>
      </c>
      <c r="Y196" s="1"/>
      <c r="Z196" s="5">
        <f t="shared" si="67"/>
        <v>-1.5373434607606116</v>
      </c>
    </row>
    <row r="197" spans="1:26" s="24" customFormat="1" hidden="1" outlineLevel="2" x14ac:dyDescent="0.25">
      <c r="A197" s="26"/>
      <c r="B197" s="11" t="str">
        <f>CONCATENATE("          ", "6305", " - ", "FREIGHT OUT")</f>
        <v xml:space="preserve">          6305 - FREIGHT OUT</v>
      </c>
      <c r="C197" s="11"/>
      <c r="D197" s="6">
        <v>4578.59</v>
      </c>
      <c r="E197" s="2"/>
      <c r="F197" s="7">
        <f t="shared" si="60"/>
        <v>9.5623813184252376E-3</v>
      </c>
      <c r="G197" s="2"/>
      <c r="H197" s="6">
        <v>8470.66</v>
      </c>
      <c r="I197" s="2"/>
      <c r="J197" s="7">
        <f t="shared" si="61"/>
        <v>1.813756806625251E-2</v>
      </c>
      <c r="K197" s="2"/>
      <c r="L197" s="6">
        <f t="shared" si="62"/>
        <v>-3892.0699999999997</v>
      </c>
      <c r="M197" s="2"/>
      <c r="N197" s="7">
        <f t="shared" si="63"/>
        <v>-0.45947659332330654</v>
      </c>
      <c r="O197" s="11"/>
      <c r="P197" s="6">
        <v>19509.82</v>
      </c>
      <c r="Q197" s="2"/>
      <c r="R197" s="7">
        <f t="shared" si="64"/>
        <v>4.2221589659594489E-3</v>
      </c>
      <c r="S197" s="2"/>
      <c r="T197" s="6">
        <v>27725.360000000001</v>
      </c>
      <c r="U197" s="2"/>
      <c r="V197" s="7">
        <f t="shared" si="65"/>
        <v>5.5246009998156593E-3</v>
      </c>
      <c r="W197" s="2"/>
      <c r="X197" s="6">
        <f t="shared" si="66"/>
        <v>-8215.5400000000009</v>
      </c>
      <c r="Y197" s="2"/>
      <c r="Z197" s="7">
        <f t="shared" si="67"/>
        <v>-0.2963186050604934</v>
      </c>
    </row>
    <row r="198" spans="1:26" s="24" customFormat="1" hidden="1" outlineLevel="2" x14ac:dyDescent="0.25">
      <c r="A198" s="26"/>
      <c r="B198" s="11" t="str">
        <f>CONCATENATE("          ", "6307", " - ", "POSTAGE")</f>
        <v xml:space="preserve">          6307 - POSTAGE</v>
      </c>
      <c r="C198" s="11"/>
      <c r="D198" s="6">
        <v>-2946.19</v>
      </c>
      <c r="E198" s="2"/>
      <c r="F198" s="7">
        <f t="shared" si="60"/>
        <v>-6.1531153076670436E-3</v>
      </c>
      <c r="G198" s="2"/>
      <c r="H198" s="6">
        <v>-1707.43</v>
      </c>
      <c r="I198" s="2"/>
      <c r="J198" s="7">
        <f t="shared" si="61"/>
        <v>-3.6559875905019827E-3</v>
      </c>
      <c r="K198" s="2"/>
      <c r="L198" s="6">
        <f t="shared" si="62"/>
        <v>-1238.76</v>
      </c>
      <c r="M198" s="2"/>
      <c r="N198" s="7">
        <f t="shared" si="63"/>
        <v>0.72551144117181965</v>
      </c>
      <c r="O198" s="11"/>
      <c r="P198" s="6">
        <v>-23588.230000000003</v>
      </c>
      <c r="Q198" s="2"/>
      <c r="R198" s="7">
        <f t="shared" si="64"/>
        <v>-5.1047757890956289E-3</v>
      </c>
      <c r="S198" s="2"/>
      <c r="T198" s="6">
        <v>-20135.41</v>
      </c>
      <c r="U198" s="2"/>
      <c r="V198" s="7">
        <f t="shared" si="65"/>
        <v>-4.0122150340950744E-3</v>
      </c>
      <c r="W198" s="2"/>
      <c r="X198" s="6">
        <f t="shared" si="66"/>
        <v>-3452.8200000000033</v>
      </c>
      <c r="Y198" s="2"/>
      <c r="Z198" s="7">
        <f t="shared" si="67"/>
        <v>0.17147999469591149</v>
      </c>
    </row>
    <row r="199" spans="1:26" s="27" customFormat="1" outlineLevel="1" collapsed="1" x14ac:dyDescent="0.25">
      <c r="A199" s="25"/>
      <c r="B199" s="13" t="str">
        <f>CONCATENATE("     ","General                                           ")</f>
        <v xml:space="preserve">     General                                           </v>
      </c>
      <c r="C199" s="13"/>
      <c r="D199" s="1">
        <f>SUM(OSRRefD22_11x_0)</f>
        <v>188.95</v>
      </c>
      <c r="E199" s="1"/>
      <c r="F199" s="5">
        <f t="shared" ref="F199:F212" si="68">IF(D$12=0,0,D199/D$12)</f>
        <v>3.9462191419551617E-4</v>
      </c>
      <c r="G199" s="1"/>
      <c r="H199" s="1">
        <f>SUM(OSRRefH22_11x_0)</f>
        <v>210.99</v>
      </c>
      <c r="I199" s="1"/>
      <c r="J199" s="5">
        <f t="shared" ref="J199:J212" si="69">IF(H$12=0,0,H199/H$12)</f>
        <v>4.5177654235899173E-4</v>
      </c>
      <c r="K199" s="1"/>
      <c r="L199" s="1">
        <f t="shared" ref="L199:L212" si="70">+D199-H199</f>
        <v>-22.04000000000002</v>
      </c>
      <c r="M199" s="1"/>
      <c r="N199" s="5">
        <f t="shared" ref="N199:N212" si="71">IF(H199=0,0,L199/H199)</f>
        <v>-0.1044599270107589</v>
      </c>
      <c r="O199" s="13"/>
      <c r="P199" s="1">
        <f>SUM(OSRRefP22_11x_0)</f>
        <v>-15512.79</v>
      </c>
      <c r="Q199" s="1"/>
      <c r="R199" s="5">
        <f t="shared" ref="R199:R212" si="72">IF(P$12=0,0,P199/P$12)</f>
        <v>-3.3571537505495226E-3</v>
      </c>
      <c r="S199" s="1"/>
      <c r="T199" s="1">
        <f>SUM(OSRRefT22_11x_0)</f>
        <v>-33</v>
      </c>
      <c r="U199" s="1"/>
      <c r="V199" s="5">
        <f t="shared" ref="V199:V212" si="73">IF(T$12=0,0,T199/T$12)</f>
        <v>-6.5756344730570411E-6</v>
      </c>
      <c r="W199" s="1"/>
      <c r="X199" s="1">
        <f t="shared" ref="X199:X212" si="74">+P199-T199</f>
        <v>-15479.79</v>
      </c>
      <c r="Y199" s="1"/>
      <c r="Z199" s="5">
        <f t="shared" ref="Z199:Z212" si="75">IF(T199=0,0,X199/T199)</f>
        <v>469.08454545454549</v>
      </c>
    </row>
    <row r="200" spans="1:26" s="24" customFormat="1" hidden="1" outlineLevel="2" x14ac:dyDescent="0.25">
      <c r="A200" s="26"/>
      <c r="B200" s="11" t="str">
        <f>CONCATENATE("          ", "6279", " - ", "GENERAL EXPENSE")</f>
        <v xml:space="preserve">          6279 - GENERAL EXPENSE</v>
      </c>
      <c r="C200" s="11"/>
      <c r="D200" s="6">
        <v>188.95</v>
      </c>
      <c r="E200" s="2"/>
      <c r="F200" s="7">
        <f t="shared" si="68"/>
        <v>3.9462191419551617E-4</v>
      </c>
      <c r="G200" s="2"/>
      <c r="H200" s="6">
        <v>210.99</v>
      </c>
      <c r="I200" s="2"/>
      <c r="J200" s="7">
        <f t="shared" si="69"/>
        <v>4.5177654235899173E-4</v>
      </c>
      <c r="K200" s="2"/>
      <c r="L200" s="6">
        <f t="shared" si="70"/>
        <v>-22.04000000000002</v>
      </c>
      <c r="M200" s="2"/>
      <c r="N200" s="7">
        <f t="shared" si="71"/>
        <v>-0.1044599270107589</v>
      </c>
      <c r="O200" s="11"/>
      <c r="P200" s="6">
        <v>-15512.79</v>
      </c>
      <c r="Q200" s="2"/>
      <c r="R200" s="7">
        <f t="shared" si="72"/>
        <v>-3.3571537505495226E-3</v>
      </c>
      <c r="S200" s="2"/>
      <c r="T200" s="6">
        <v>-33</v>
      </c>
      <c r="U200" s="2"/>
      <c r="V200" s="7">
        <f t="shared" si="73"/>
        <v>-6.5756344730570411E-6</v>
      </c>
      <c r="W200" s="2"/>
      <c r="X200" s="6">
        <f t="shared" si="74"/>
        <v>-15479.79</v>
      </c>
      <c r="Y200" s="2"/>
      <c r="Z200" s="7">
        <f t="shared" si="75"/>
        <v>469.08454545454549</v>
      </c>
    </row>
    <row r="201" spans="1:26" s="27" customFormat="1" outlineLevel="1" collapsed="1" x14ac:dyDescent="0.25">
      <c r="A201" s="25"/>
      <c r="B201" s="13" t="str">
        <f>CONCATENATE("     ","Insurance                                         ")</f>
        <v xml:space="preserve">     Insurance                                         </v>
      </c>
      <c r="C201" s="13"/>
      <c r="D201" s="1">
        <f>SUM(OSRRefD22_12x_0)</f>
        <v>4044.74</v>
      </c>
      <c r="E201" s="1"/>
      <c r="F201" s="5">
        <f t="shared" si="68"/>
        <v>8.447436047754284E-3</v>
      </c>
      <c r="G201" s="1"/>
      <c r="H201" s="1">
        <f>SUM(OSRRefH22_12x_0)</f>
        <v>3809.97</v>
      </c>
      <c r="I201" s="1"/>
      <c r="J201" s="5">
        <f t="shared" si="69"/>
        <v>8.1579936162447866E-3</v>
      </c>
      <c r="K201" s="1"/>
      <c r="L201" s="1">
        <f t="shared" si="70"/>
        <v>234.76999999999998</v>
      </c>
      <c r="M201" s="1"/>
      <c r="N201" s="5">
        <f t="shared" si="71"/>
        <v>6.1619907768302638E-2</v>
      </c>
      <c r="O201" s="13"/>
      <c r="P201" s="1">
        <f>SUM(OSRRefP22_12x_0)</f>
        <v>16178.96</v>
      </c>
      <c r="Q201" s="1"/>
      <c r="R201" s="5">
        <f t="shared" si="72"/>
        <v>3.5013209257645271E-3</v>
      </c>
      <c r="S201" s="1"/>
      <c r="T201" s="1">
        <f>SUM(OSRRefT22_12x_0)</f>
        <v>15239.88</v>
      </c>
      <c r="U201" s="1"/>
      <c r="V201" s="5">
        <f t="shared" si="73"/>
        <v>3.0367236452500767E-3</v>
      </c>
      <c r="W201" s="1"/>
      <c r="X201" s="1">
        <f t="shared" si="74"/>
        <v>939.07999999999993</v>
      </c>
      <c r="Y201" s="1"/>
      <c r="Z201" s="5">
        <f t="shared" si="75"/>
        <v>6.1619907768302638E-2</v>
      </c>
    </row>
    <row r="202" spans="1:26" s="24" customFormat="1" hidden="1" outlineLevel="2" x14ac:dyDescent="0.25">
      <c r="A202" s="26"/>
      <c r="B202" s="11" t="str">
        <f>CONCATENATE("          ", "6314", " - ", "LIABILITY INSURANCE")</f>
        <v xml:space="preserve">          6314 - LIABILITY INSURANCE</v>
      </c>
      <c r="C202" s="11"/>
      <c r="D202" s="6">
        <v>4044.74</v>
      </c>
      <c r="E202" s="2"/>
      <c r="F202" s="7">
        <f t="shared" si="68"/>
        <v>8.447436047754284E-3</v>
      </c>
      <c r="G202" s="2"/>
      <c r="H202" s="6">
        <v>3809.97</v>
      </c>
      <c r="I202" s="2"/>
      <c r="J202" s="7">
        <f t="shared" si="69"/>
        <v>8.1579936162447866E-3</v>
      </c>
      <c r="K202" s="2"/>
      <c r="L202" s="6">
        <f t="shared" si="70"/>
        <v>234.76999999999998</v>
      </c>
      <c r="M202" s="2"/>
      <c r="N202" s="7">
        <f t="shared" si="71"/>
        <v>6.1619907768302638E-2</v>
      </c>
      <c r="O202" s="11"/>
      <c r="P202" s="6">
        <v>16178.96</v>
      </c>
      <c r="Q202" s="2"/>
      <c r="R202" s="7">
        <f t="shared" si="72"/>
        <v>3.5013209257645271E-3</v>
      </c>
      <c r="S202" s="2"/>
      <c r="T202" s="6">
        <v>15239.88</v>
      </c>
      <c r="U202" s="2"/>
      <c r="V202" s="7">
        <f t="shared" si="73"/>
        <v>3.0367236452500767E-3</v>
      </c>
      <c r="W202" s="2"/>
      <c r="X202" s="6">
        <f t="shared" si="74"/>
        <v>939.07999999999993</v>
      </c>
      <c r="Y202" s="2"/>
      <c r="Z202" s="7">
        <f t="shared" si="75"/>
        <v>6.1619907768302638E-2</v>
      </c>
    </row>
    <row r="203" spans="1:26" s="27" customFormat="1" outlineLevel="1" collapsed="1" x14ac:dyDescent="0.25">
      <c r="A203" s="25"/>
      <c r="B203" s="13" t="str">
        <f>CONCATENATE("     ","Inventory Adjustment                              ")</f>
        <v xml:space="preserve">     Inventory Adjustment                              </v>
      </c>
      <c r="C203" s="13"/>
      <c r="D203" s="1">
        <f>SUM(OSRRefD22_13x_0)</f>
        <v>4250</v>
      </c>
      <c r="E203" s="1"/>
      <c r="F203" s="5">
        <f t="shared" si="68"/>
        <v>8.8761213830692975E-3</v>
      </c>
      <c r="G203" s="1"/>
      <c r="H203" s="1">
        <f>SUM(OSRRefH22_13x_0)</f>
        <v>8750</v>
      </c>
      <c r="I203" s="1"/>
      <c r="J203" s="5">
        <f t="shared" si="69"/>
        <v>1.8735697168781353E-2</v>
      </c>
      <c r="K203" s="1"/>
      <c r="L203" s="1">
        <f t="shared" si="70"/>
        <v>-4500</v>
      </c>
      <c r="M203" s="1"/>
      <c r="N203" s="5">
        <f t="shared" si="71"/>
        <v>-0.51428571428571423</v>
      </c>
      <c r="O203" s="13"/>
      <c r="P203" s="1">
        <f>SUM(OSRRefP22_13x_0)</f>
        <v>16900</v>
      </c>
      <c r="Q203" s="1"/>
      <c r="R203" s="5">
        <f t="shared" si="72"/>
        <v>3.6573626268573823E-3</v>
      </c>
      <c r="S203" s="1"/>
      <c r="T203" s="1">
        <f>SUM(OSRRefT22_13x_0)</f>
        <v>35000</v>
      </c>
      <c r="U203" s="1"/>
      <c r="V203" s="5">
        <f t="shared" si="73"/>
        <v>6.9741577744544371E-3</v>
      </c>
      <c r="W203" s="1"/>
      <c r="X203" s="1">
        <f t="shared" si="74"/>
        <v>-18100</v>
      </c>
      <c r="Y203" s="1"/>
      <c r="Z203" s="5">
        <f t="shared" si="75"/>
        <v>-0.51714285714285713</v>
      </c>
    </row>
    <row r="204" spans="1:26" s="24" customFormat="1" hidden="1" outlineLevel="2" x14ac:dyDescent="0.25">
      <c r="A204" s="26"/>
      <c r="B204" s="11" t="str">
        <f>CONCATENATE("          ", "6408", " - ", "INVENTORY ADJUSTMENT")</f>
        <v xml:space="preserve">          6408 - INVENTORY ADJUSTMENT</v>
      </c>
      <c r="C204" s="11"/>
      <c r="D204" s="6">
        <v>4250</v>
      </c>
      <c r="E204" s="2"/>
      <c r="F204" s="7">
        <f t="shared" si="68"/>
        <v>8.8761213830692975E-3</v>
      </c>
      <c r="G204" s="2"/>
      <c r="H204" s="6">
        <v>8750</v>
      </c>
      <c r="I204" s="2"/>
      <c r="J204" s="7">
        <f t="shared" si="69"/>
        <v>1.8735697168781353E-2</v>
      </c>
      <c r="K204" s="2"/>
      <c r="L204" s="6">
        <f t="shared" si="70"/>
        <v>-4500</v>
      </c>
      <c r="M204" s="2"/>
      <c r="N204" s="7">
        <f t="shared" si="71"/>
        <v>-0.51428571428571423</v>
      </c>
      <c r="O204" s="11"/>
      <c r="P204" s="6">
        <v>16900</v>
      </c>
      <c r="Q204" s="2"/>
      <c r="R204" s="7">
        <f t="shared" si="72"/>
        <v>3.6573626268573823E-3</v>
      </c>
      <c r="S204" s="2"/>
      <c r="T204" s="6">
        <v>35000</v>
      </c>
      <c r="U204" s="2"/>
      <c r="V204" s="7">
        <f t="shared" si="73"/>
        <v>6.9741577744544371E-3</v>
      </c>
      <c r="W204" s="2"/>
      <c r="X204" s="6">
        <f t="shared" si="74"/>
        <v>-18100</v>
      </c>
      <c r="Y204" s="2"/>
      <c r="Z204" s="7">
        <f t="shared" si="75"/>
        <v>-0.51714285714285713</v>
      </c>
    </row>
    <row r="205" spans="1:26" s="27" customFormat="1" outlineLevel="1" collapsed="1" x14ac:dyDescent="0.25">
      <c r="A205" s="25"/>
      <c r="B205" s="13" t="str">
        <f>CONCATENATE("     ","Professional Services                             ")</f>
        <v xml:space="preserve">     Professional Services                             </v>
      </c>
      <c r="C205" s="13"/>
      <c r="D205" s="1">
        <f>SUM(OSRRefD22_14x_0)</f>
        <v>0</v>
      </c>
      <c r="E205" s="1"/>
      <c r="F205" s="5">
        <f t="shared" si="68"/>
        <v>0</v>
      </c>
      <c r="G205" s="1"/>
      <c r="H205" s="1">
        <f>SUM(OSRRefH22_14x_0)</f>
        <v>0</v>
      </c>
      <c r="I205" s="1"/>
      <c r="J205" s="5">
        <f t="shared" si="69"/>
        <v>0</v>
      </c>
      <c r="K205" s="1"/>
      <c r="L205" s="1">
        <f t="shared" si="70"/>
        <v>0</v>
      </c>
      <c r="M205" s="1"/>
      <c r="N205" s="5">
        <f t="shared" si="71"/>
        <v>0</v>
      </c>
      <c r="O205" s="13"/>
      <c r="P205" s="1">
        <f>SUM(OSRRefP22_14x_0)</f>
        <v>6158.41</v>
      </c>
      <c r="Q205" s="1"/>
      <c r="R205" s="5">
        <f t="shared" si="72"/>
        <v>1.3327537618263178E-3</v>
      </c>
      <c r="S205" s="1"/>
      <c r="T205" s="1">
        <f>SUM(OSRRefT22_14x_0)</f>
        <v>8276.43</v>
      </c>
      <c r="U205" s="1"/>
      <c r="V205" s="5">
        <f t="shared" si="73"/>
        <v>1.6491751036922268E-3</v>
      </c>
      <c r="W205" s="1"/>
      <c r="X205" s="1">
        <f t="shared" si="74"/>
        <v>-2118.0200000000004</v>
      </c>
      <c r="Y205" s="1"/>
      <c r="Z205" s="5">
        <f t="shared" si="75"/>
        <v>-0.25590985485287743</v>
      </c>
    </row>
    <row r="206" spans="1:26" s="24" customFormat="1" hidden="1" outlineLevel="2" x14ac:dyDescent="0.25">
      <c r="A206" s="26"/>
      <c r="B206" s="11" t="str">
        <f>CONCATENATE("          ", "6336", " - ", "PROFESSIONAL SERVICES")</f>
        <v xml:space="preserve">          6336 - PROFESSIONAL SERVICES</v>
      </c>
      <c r="C206" s="11"/>
      <c r="D206" s="6"/>
      <c r="E206" s="2"/>
      <c r="F206" s="7">
        <f t="shared" si="68"/>
        <v>0</v>
      </c>
      <c r="G206" s="2"/>
      <c r="H206" s="6"/>
      <c r="I206" s="2"/>
      <c r="J206" s="7">
        <f t="shared" si="69"/>
        <v>0</v>
      </c>
      <c r="K206" s="2"/>
      <c r="L206" s="6">
        <f t="shared" si="70"/>
        <v>0</v>
      </c>
      <c r="M206" s="2"/>
      <c r="N206" s="7">
        <f t="shared" si="71"/>
        <v>0</v>
      </c>
      <c r="O206" s="11"/>
      <c r="P206" s="6">
        <v>6158.41</v>
      </c>
      <c r="Q206" s="2"/>
      <c r="R206" s="7">
        <f t="shared" si="72"/>
        <v>1.3327537618263178E-3</v>
      </c>
      <c r="S206" s="2"/>
      <c r="T206" s="6">
        <v>8276.43</v>
      </c>
      <c r="U206" s="2"/>
      <c r="V206" s="7">
        <f t="shared" si="73"/>
        <v>1.6491751036922268E-3</v>
      </c>
      <c r="W206" s="2"/>
      <c r="X206" s="6">
        <f t="shared" si="74"/>
        <v>-2118.0200000000004</v>
      </c>
      <c r="Y206" s="2"/>
      <c r="Z206" s="7">
        <f t="shared" si="75"/>
        <v>-0.25590985485287743</v>
      </c>
    </row>
    <row r="207" spans="1:26" s="27" customFormat="1" outlineLevel="1" collapsed="1" x14ac:dyDescent="0.25">
      <c r="A207" s="25"/>
      <c r="B207" s="13" t="str">
        <f>CONCATENATE("     ","Rent                                              ")</f>
        <v xml:space="preserve">     Rent                                              </v>
      </c>
      <c r="C207" s="13"/>
      <c r="D207" s="1">
        <f>SUM(OSRRefD22_15x_0)</f>
        <v>6100</v>
      </c>
      <c r="E207" s="1"/>
      <c r="F207" s="5">
        <f t="shared" si="68"/>
        <v>1.2739844808640639E-2</v>
      </c>
      <c r="G207" s="1"/>
      <c r="H207" s="1">
        <f>SUM(OSRRefH22_15x_0)</f>
        <v>6100</v>
      </c>
      <c r="I207" s="1"/>
      <c r="J207" s="5">
        <f t="shared" si="69"/>
        <v>1.3061457454807572E-2</v>
      </c>
      <c r="K207" s="1"/>
      <c r="L207" s="1">
        <f t="shared" si="70"/>
        <v>0</v>
      </c>
      <c r="M207" s="1"/>
      <c r="N207" s="5">
        <f t="shared" si="71"/>
        <v>0</v>
      </c>
      <c r="O207" s="13"/>
      <c r="P207" s="1">
        <f>SUM(OSRRefP22_15x_0)</f>
        <v>24400</v>
      </c>
      <c r="Q207" s="1"/>
      <c r="R207" s="5">
        <f t="shared" si="72"/>
        <v>5.2804525500189424E-3</v>
      </c>
      <c r="S207" s="1"/>
      <c r="T207" s="1">
        <f>SUM(OSRRefT22_15x_0)</f>
        <v>25301.08</v>
      </c>
      <c r="U207" s="1"/>
      <c r="V207" s="5">
        <f t="shared" si="73"/>
        <v>5.0415349652598194E-3</v>
      </c>
      <c r="W207" s="1"/>
      <c r="X207" s="1">
        <f t="shared" si="74"/>
        <v>-901.08000000000175</v>
      </c>
      <c r="Y207" s="1"/>
      <c r="Z207" s="5">
        <f t="shared" si="75"/>
        <v>-3.5614289982878265E-2</v>
      </c>
    </row>
    <row r="208" spans="1:26" s="24" customFormat="1" hidden="1" outlineLevel="2" x14ac:dyDescent="0.25">
      <c r="A208" s="26"/>
      <c r="B208" s="11" t="str">
        <f>CONCATENATE("          ", "6273", " - ", "RENT")</f>
        <v xml:space="preserve">          6273 - RENT</v>
      </c>
      <c r="C208" s="11"/>
      <c r="D208" s="6">
        <v>6100</v>
      </c>
      <c r="E208" s="2"/>
      <c r="F208" s="7">
        <f t="shared" si="68"/>
        <v>1.2739844808640639E-2</v>
      </c>
      <c r="G208" s="2"/>
      <c r="H208" s="6">
        <v>6100</v>
      </c>
      <c r="I208" s="2"/>
      <c r="J208" s="7">
        <f t="shared" si="69"/>
        <v>1.3061457454807572E-2</v>
      </c>
      <c r="K208" s="2"/>
      <c r="L208" s="6">
        <f t="shared" si="70"/>
        <v>0</v>
      </c>
      <c r="M208" s="2"/>
      <c r="N208" s="7">
        <f t="shared" si="71"/>
        <v>0</v>
      </c>
      <c r="O208" s="11"/>
      <c r="P208" s="6">
        <v>24400</v>
      </c>
      <c r="Q208" s="2"/>
      <c r="R208" s="7">
        <f t="shared" si="72"/>
        <v>5.2804525500189424E-3</v>
      </c>
      <c r="S208" s="2"/>
      <c r="T208" s="6">
        <v>25301.08</v>
      </c>
      <c r="U208" s="2"/>
      <c r="V208" s="7">
        <f t="shared" si="73"/>
        <v>5.0415349652598194E-3</v>
      </c>
      <c r="W208" s="2"/>
      <c r="X208" s="6">
        <f t="shared" si="74"/>
        <v>-901.08000000000175</v>
      </c>
      <c r="Y208" s="2"/>
      <c r="Z208" s="7">
        <f t="shared" si="75"/>
        <v>-3.5614289982878265E-2</v>
      </c>
    </row>
    <row r="209" spans="1:26" s="27" customFormat="1" outlineLevel="1" collapsed="1" x14ac:dyDescent="0.25">
      <c r="A209" s="25"/>
      <c r="B209" s="13" t="str">
        <f>CONCATENATE("     ","Repair and Maintenance                            ")</f>
        <v xml:space="preserve">     Repair and Maintenance                            </v>
      </c>
      <c r="C209" s="13"/>
      <c r="D209" s="1">
        <f>SUM(OSRRefD22_16x_0)</f>
        <v>16586.900000000001</v>
      </c>
      <c r="E209" s="1"/>
      <c r="F209" s="5">
        <f t="shared" si="68"/>
        <v>3.4641726533842856E-2</v>
      </c>
      <c r="G209" s="1"/>
      <c r="H209" s="1">
        <f>SUM(OSRRefH22_16x_0)</f>
        <v>13186.79</v>
      </c>
      <c r="I209" s="1"/>
      <c r="J209" s="5">
        <f t="shared" si="69"/>
        <v>2.8235851893521631E-2</v>
      </c>
      <c r="K209" s="1"/>
      <c r="L209" s="1">
        <f t="shared" si="70"/>
        <v>3400.1100000000006</v>
      </c>
      <c r="M209" s="1"/>
      <c r="N209" s="5">
        <f t="shared" si="71"/>
        <v>0.25784212837240911</v>
      </c>
      <c r="O209" s="13"/>
      <c r="P209" s="1">
        <f>SUM(OSRRefP22_16x_0)</f>
        <v>64941.310000000005</v>
      </c>
      <c r="Q209" s="1"/>
      <c r="R209" s="5">
        <f t="shared" si="72"/>
        <v>1.4054078114388142E-2</v>
      </c>
      <c r="S209" s="1"/>
      <c r="T209" s="1">
        <f>SUM(OSRRefT22_16x_0)</f>
        <v>95234.48000000001</v>
      </c>
      <c r="U209" s="1"/>
      <c r="V209" s="5">
        <f t="shared" si="73"/>
        <v>1.8976579688232163E-2</v>
      </c>
      <c r="W209" s="1"/>
      <c r="X209" s="1">
        <f t="shared" si="74"/>
        <v>-30293.170000000006</v>
      </c>
      <c r="Y209" s="1"/>
      <c r="Z209" s="5">
        <f t="shared" si="75"/>
        <v>-0.31809035971005462</v>
      </c>
    </row>
    <row r="210" spans="1:26" s="24" customFormat="1" hidden="1" outlineLevel="2" x14ac:dyDescent="0.25">
      <c r="A210" s="26"/>
      <c r="B210" s="11" t="str">
        <f>CONCATENATE("          ", "6371", " - ", "COMPUTER SOFTWARE MAINTENANCE")</f>
        <v xml:space="preserve">          6371 - COMPUTER SOFTWARE MAINTENANCE</v>
      </c>
      <c r="C210" s="11"/>
      <c r="D210" s="6">
        <v>601</v>
      </c>
      <c r="E210" s="2"/>
      <c r="F210" s="7">
        <f t="shared" si="68"/>
        <v>1.2551879885234465E-3</v>
      </c>
      <c r="G210" s="2"/>
      <c r="H210" s="6">
        <v>4049.7</v>
      </c>
      <c r="I210" s="2"/>
      <c r="J210" s="7">
        <f t="shared" si="69"/>
        <v>8.6713088942187242E-3</v>
      </c>
      <c r="K210" s="2"/>
      <c r="L210" s="6">
        <f t="shared" si="70"/>
        <v>-3448.7</v>
      </c>
      <c r="M210" s="2"/>
      <c r="N210" s="7">
        <f t="shared" si="71"/>
        <v>-0.85159394523051091</v>
      </c>
      <c r="O210" s="11"/>
      <c r="P210" s="6">
        <v>12751.4</v>
      </c>
      <c r="Q210" s="2"/>
      <c r="R210" s="7">
        <f t="shared" si="72"/>
        <v>2.7595558461603093E-3</v>
      </c>
      <c r="S210" s="2"/>
      <c r="T210" s="6">
        <v>48835.83</v>
      </c>
      <c r="U210" s="2"/>
      <c r="V210" s="7">
        <f t="shared" si="73"/>
        <v>9.7311080990410068E-3</v>
      </c>
      <c r="W210" s="2"/>
      <c r="X210" s="6">
        <f t="shared" si="74"/>
        <v>-36084.43</v>
      </c>
      <c r="Y210" s="2"/>
      <c r="Z210" s="7">
        <f t="shared" si="75"/>
        <v>-0.73889253034094027</v>
      </c>
    </row>
    <row r="211" spans="1:26" s="24" customFormat="1" hidden="1" outlineLevel="2" x14ac:dyDescent="0.25">
      <c r="A211" s="26"/>
      <c r="B211" s="11" t="str">
        <f>CONCATENATE("          ", "6373", " - ", "MAINTENANCE CONTRACTS")</f>
        <v xml:space="preserve">          6373 - MAINTENANCE CONTRACTS</v>
      </c>
      <c r="C211" s="11"/>
      <c r="D211" s="6">
        <v>11328</v>
      </c>
      <c r="E211" s="2"/>
      <c r="F211" s="7">
        <f t="shared" si="68"/>
        <v>2.3658518359390354E-2</v>
      </c>
      <c r="G211" s="2"/>
      <c r="H211" s="6">
        <v>7262.14</v>
      </c>
      <c r="I211" s="2"/>
      <c r="J211" s="7">
        <f t="shared" si="69"/>
        <v>1.5549857809976437E-2</v>
      </c>
      <c r="K211" s="2"/>
      <c r="L211" s="6">
        <f t="shared" si="70"/>
        <v>4065.8599999999997</v>
      </c>
      <c r="M211" s="2"/>
      <c r="N211" s="7">
        <f t="shared" si="71"/>
        <v>0.55987078189073736</v>
      </c>
      <c r="O211" s="11"/>
      <c r="P211" s="6">
        <v>30376.190000000002</v>
      </c>
      <c r="Q211" s="2"/>
      <c r="R211" s="7">
        <f t="shared" si="72"/>
        <v>6.5737717190721273E-3</v>
      </c>
      <c r="S211" s="2"/>
      <c r="T211" s="6">
        <v>32872.15</v>
      </c>
      <c r="U211" s="2"/>
      <c r="V211" s="7">
        <f t="shared" si="73"/>
        <v>6.5501588710152126E-3</v>
      </c>
      <c r="W211" s="2"/>
      <c r="X211" s="6">
        <f t="shared" si="74"/>
        <v>-2495.9599999999991</v>
      </c>
      <c r="Y211" s="2"/>
      <c r="Z211" s="7">
        <f t="shared" si="75"/>
        <v>-7.5929320108359177E-2</v>
      </c>
    </row>
    <row r="212" spans="1:26" s="24" customFormat="1" hidden="1" outlineLevel="2" x14ac:dyDescent="0.25">
      <c r="A212" s="26"/>
      <c r="B212" s="11" t="str">
        <f>CONCATENATE("          ", "6375", " - ", "OUTSIDE REPAIRS &amp; MAINTENANCE")</f>
        <v xml:space="preserve">          6375 - OUTSIDE REPAIRS &amp; MAINTENANCE</v>
      </c>
      <c r="C212" s="11"/>
      <c r="D212" s="6">
        <v>4657.8999999999996</v>
      </c>
      <c r="E212" s="2"/>
      <c r="F212" s="7">
        <f t="shared" si="68"/>
        <v>9.7280201859290538E-3</v>
      </c>
      <c r="G212" s="2"/>
      <c r="H212" s="6">
        <v>1874.95</v>
      </c>
      <c r="I212" s="2"/>
      <c r="J212" s="7">
        <f t="shared" si="69"/>
        <v>4.0146851893264682E-3</v>
      </c>
      <c r="K212" s="2"/>
      <c r="L212" s="6">
        <f t="shared" si="70"/>
        <v>2782.95</v>
      </c>
      <c r="M212" s="2"/>
      <c r="N212" s="7">
        <f t="shared" si="71"/>
        <v>1.4842795807888209</v>
      </c>
      <c r="O212" s="11"/>
      <c r="P212" s="6">
        <v>21813.72</v>
      </c>
      <c r="Q212" s="2"/>
      <c r="R212" s="7">
        <f t="shared" si="72"/>
        <v>4.7207505491557054E-3</v>
      </c>
      <c r="S212" s="2"/>
      <c r="T212" s="6">
        <v>13526.5</v>
      </c>
      <c r="U212" s="2"/>
      <c r="V212" s="7">
        <f t="shared" si="73"/>
        <v>2.6953127181759411E-3</v>
      </c>
      <c r="W212" s="2"/>
      <c r="X212" s="6">
        <f t="shared" si="74"/>
        <v>8287.2200000000012</v>
      </c>
      <c r="Y212" s="2"/>
      <c r="Z212" s="7">
        <f t="shared" si="75"/>
        <v>0.61266550844638312</v>
      </c>
    </row>
    <row r="213" spans="1:26" s="27" customFormat="1" outlineLevel="1" collapsed="1" x14ac:dyDescent="0.25">
      <c r="A213" s="25"/>
      <c r="B213" s="13" t="str">
        <f>CONCATENATE("     ","Royalty &amp; Commissions                             ")</f>
        <v xml:space="preserve">     Royalty &amp; Commissions                             </v>
      </c>
      <c r="C213" s="13"/>
      <c r="D213" s="1">
        <f>SUM(OSRRefD22_17x_0)</f>
        <v>12626.66</v>
      </c>
      <c r="E213" s="1"/>
      <c r="F213" s="5">
        <f t="shared" ref="F213:F216" si="76">IF(D$12=0,0,D213/D$12)</f>
        <v>2.6370768664175478E-2</v>
      </c>
      <c r="G213" s="1"/>
      <c r="H213" s="1">
        <f>SUM(OSRRefH22_17x_0)</f>
        <v>28927.950000000004</v>
      </c>
      <c r="I213" s="1"/>
      <c r="J213" s="5">
        <f t="shared" ref="J213:J216" si="77">IF(H$12=0,0,H213/H$12)</f>
        <v>6.1941178390131274E-2</v>
      </c>
      <c r="K213" s="1"/>
      <c r="L213" s="1">
        <f t="shared" ref="L213:L216" si="78">+D213-H213</f>
        <v>-16301.290000000005</v>
      </c>
      <c r="M213" s="1"/>
      <c r="N213" s="5">
        <f t="shared" ref="N213:N216" si="79">IF(H213=0,0,L213/H213)</f>
        <v>-0.56351348782060262</v>
      </c>
      <c r="O213" s="13"/>
      <c r="P213" s="1">
        <f>SUM(OSRRefP22_17x_0)</f>
        <v>32079.1</v>
      </c>
      <c r="Q213" s="1"/>
      <c r="R213" s="5">
        <f t="shared" ref="R213:R216" si="80">IF(P$12=0,0,P213/P$12)</f>
        <v>6.9423018605456006E-3</v>
      </c>
      <c r="S213" s="1"/>
      <c r="T213" s="1">
        <f>SUM(OSRRefT22_17x_0)</f>
        <v>50505.770000000004</v>
      </c>
      <c r="U213" s="1"/>
      <c r="V213" s="5">
        <f t="shared" ref="V213:V216" si="81">IF(T$12=0,0,T213/T$12)</f>
        <v>1.0063863100008792E-2</v>
      </c>
      <c r="W213" s="1"/>
      <c r="X213" s="1">
        <f t="shared" ref="X213:X216" si="82">+P213-T213</f>
        <v>-18426.670000000006</v>
      </c>
      <c r="Y213" s="1"/>
      <c r="Z213" s="5">
        <f t="shared" ref="Z213:Z216" si="83">IF(T213=0,0,X213/T213)</f>
        <v>-0.36484286844849617</v>
      </c>
    </row>
    <row r="214" spans="1:26" s="24" customFormat="1" hidden="1" outlineLevel="2" x14ac:dyDescent="0.25">
      <c r="A214" s="26"/>
      <c r="B214" s="11" t="str">
        <f>CONCATENATE("          ", "6253", " - ", "ROYALTY DUE ATHLETICS-LRG")</f>
        <v xml:space="preserve">          6253 - ROYALTY DUE ATHLETICS-LRG</v>
      </c>
      <c r="C214" s="11"/>
      <c r="D214" s="6"/>
      <c r="E214" s="2"/>
      <c r="F214" s="7">
        <f t="shared" si="76"/>
        <v>0</v>
      </c>
      <c r="G214" s="2"/>
      <c r="H214" s="6">
        <v>16349.030000000002</v>
      </c>
      <c r="I214" s="2"/>
      <c r="J214" s="7">
        <f t="shared" si="77"/>
        <v>3.5006911438093882E-2</v>
      </c>
      <c r="K214" s="2"/>
      <c r="L214" s="6">
        <f t="shared" si="78"/>
        <v>-16349.030000000002</v>
      </c>
      <c r="M214" s="2"/>
      <c r="N214" s="7">
        <f t="shared" si="79"/>
        <v>-1</v>
      </c>
      <c r="O214" s="11"/>
      <c r="P214" s="6">
        <v>4366.95</v>
      </c>
      <c r="Q214" s="2"/>
      <c r="R214" s="7">
        <f t="shared" si="80"/>
        <v>9.4506033866005004E-4</v>
      </c>
      <c r="S214" s="2"/>
      <c r="T214" s="6">
        <v>22994.42</v>
      </c>
      <c r="U214" s="2"/>
      <c r="V214" s="7">
        <f t="shared" si="81"/>
        <v>4.58190608605916E-3</v>
      </c>
      <c r="W214" s="2"/>
      <c r="X214" s="6">
        <f t="shared" si="82"/>
        <v>-18627.469999999998</v>
      </c>
      <c r="Y214" s="2"/>
      <c r="Z214" s="7">
        <f t="shared" si="83"/>
        <v>-0.81008653403738817</v>
      </c>
    </row>
    <row r="215" spans="1:26" s="24" customFormat="1" hidden="1" outlineLevel="2" x14ac:dyDescent="0.25">
      <c r="A215" s="26"/>
      <c r="B215" s="11" t="str">
        <f>CONCATENATE("          ", "6254", " - ", "ROYALTY &amp; COMMISSIONS")</f>
        <v xml:space="preserve">          6254 - ROYALTY &amp; COMMISSIONS</v>
      </c>
      <c r="C215" s="11"/>
      <c r="D215" s="6">
        <v>882.02</v>
      </c>
      <c r="E215" s="2"/>
      <c r="F215" s="7">
        <f t="shared" si="76"/>
        <v>1.8420980193634782E-3</v>
      </c>
      <c r="G215" s="2"/>
      <c r="H215" s="6">
        <v>587.89</v>
      </c>
      <c r="I215" s="2"/>
      <c r="J215" s="7">
        <f t="shared" si="77"/>
        <v>1.2588033152634136E-3</v>
      </c>
      <c r="K215" s="2"/>
      <c r="L215" s="6">
        <f t="shared" si="78"/>
        <v>294.13</v>
      </c>
      <c r="M215" s="2"/>
      <c r="N215" s="7">
        <f t="shared" si="79"/>
        <v>0.50031468471993057</v>
      </c>
      <c r="O215" s="11"/>
      <c r="P215" s="6">
        <v>1497.89</v>
      </c>
      <c r="Q215" s="2"/>
      <c r="R215" s="7">
        <f t="shared" si="80"/>
        <v>3.2416135533392927E-4</v>
      </c>
      <c r="S215" s="2"/>
      <c r="T215" s="6">
        <v>1148.97</v>
      </c>
      <c r="U215" s="2"/>
      <c r="V215" s="7">
        <f t="shared" si="81"/>
        <v>2.2894565880328329E-4</v>
      </c>
      <c r="W215" s="2"/>
      <c r="X215" s="6">
        <f t="shared" si="82"/>
        <v>348.92000000000007</v>
      </c>
      <c r="Y215" s="2"/>
      <c r="Z215" s="7">
        <f t="shared" si="83"/>
        <v>0.30368068792048536</v>
      </c>
    </row>
    <row r="216" spans="1:26" s="24" customFormat="1" hidden="1" outlineLevel="2" x14ac:dyDescent="0.25">
      <c r="A216" s="26"/>
      <c r="B216" s="11" t="str">
        <f>CONCATENATE("          ", "6259", " - ", "ROYALTY &amp; COMMISSIONS")</f>
        <v xml:space="preserve">          6259 - ROYALTY &amp; COMMISSIONS</v>
      </c>
      <c r="C216" s="11"/>
      <c r="D216" s="6">
        <v>11744.64</v>
      </c>
      <c r="E216" s="2"/>
      <c r="F216" s="7">
        <f t="shared" si="76"/>
        <v>2.4528670644811998E-2</v>
      </c>
      <c r="G216" s="2"/>
      <c r="H216" s="6">
        <v>11991.03</v>
      </c>
      <c r="I216" s="2"/>
      <c r="J216" s="7">
        <f t="shared" si="77"/>
        <v>2.5675463636773976E-2</v>
      </c>
      <c r="K216" s="2"/>
      <c r="L216" s="6">
        <f t="shared" si="78"/>
        <v>-246.39000000000124</v>
      </c>
      <c r="M216" s="2"/>
      <c r="N216" s="7">
        <f t="shared" si="79"/>
        <v>-2.0547859524995035E-2</v>
      </c>
      <c r="O216" s="11"/>
      <c r="P216" s="6">
        <v>26214.26</v>
      </c>
      <c r="Q216" s="2"/>
      <c r="R216" s="7">
        <f t="shared" si="80"/>
        <v>5.6730801665516211E-3</v>
      </c>
      <c r="S216" s="2"/>
      <c r="T216" s="6">
        <v>26362.38</v>
      </c>
      <c r="U216" s="2"/>
      <c r="V216" s="7">
        <f t="shared" si="81"/>
        <v>5.2530113551463474E-3</v>
      </c>
      <c r="W216" s="2"/>
      <c r="X216" s="6">
        <f t="shared" si="82"/>
        <v>-148.12000000000262</v>
      </c>
      <c r="Y216" s="2"/>
      <c r="Z216" s="7">
        <f t="shared" si="83"/>
        <v>-5.6186125835377011E-3</v>
      </c>
    </row>
    <row r="217" spans="1:26" s="27" customFormat="1" outlineLevel="1" collapsed="1" x14ac:dyDescent="0.25">
      <c r="A217" s="25"/>
      <c r="B217" s="13" t="str">
        <f>CONCATENATE("     ","Services                                          ")</f>
        <v xml:space="preserve">     Services                                          </v>
      </c>
      <c r="C217" s="13"/>
      <c r="D217" s="1">
        <f>SUM(OSRRefD22_18x_0)</f>
        <v>5247.7199999999993</v>
      </c>
      <c r="E217" s="1"/>
      <c r="F217" s="5">
        <f t="shared" ref="F217:F221" si="84">IF(D$12=0,0,D217/D$12)</f>
        <v>1.0959858753967155E-2</v>
      </c>
      <c r="G217" s="1"/>
      <c r="H217" s="1">
        <f>SUM(OSRRefH22_18x_0)</f>
        <v>4407.67</v>
      </c>
      <c r="I217" s="1"/>
      <c r="J217" s="5">
        <f t="shared" ref="J217:J221" si="85">IF(H$12=0,0,H217/H$12)</f>
        <v>9.4378023245625716E-3</v>
      </c>
      <c r="K217" s="1"/>
      <c r="L217" s="1">
        <f t="shared" ref="L217:L221" si="86">+D217-H217</f>
        <v>840.04999999999927</v>
      </c>
      <c r="M217" s="1"/>
      <c r="N217" s="5">
        <f t="shared" ref="N217:N221" si="87">IF(H217=0,0,L217/H217)</f>
        <v>0.19058822461754152</v>
      </c>
      <c r="O217" s="13"/>
      <c r="P217" s="1">
        <f>SUM(OSRRefP22_18x_0)</f>
        <v>18474.909999999996</v>
      </c>
      <c r="Q217" s="1"/>
      <c r="R217" s="5">
        <f t="shared" ref="R217:R221" si="88">IF(P$12=0,0,P217/P$12)</f>
        <v>3.9981920336422316E-3</v>
      </c>
      <c r="S217" s="1"/>
      <c r="T217" s="1">
        <f>SUM(OSRRefT22_18x_0)</f>
        <v>17463.71</v>
      </c>
      <c r="U217" s="1"/>
      <c r="V217" s="5">
        <f t="shared" ref="V217:V221" si="89">IF(T$12=0,0,T217/T$12)</f>
        <v>3.4798476819233627E-3</v>
      </c>
      <c r="W217" s="1"/>
      <c r="X217" s="1">
        <f t="shared" ref="X217:X221" si="90">+P217-T217</f>
        <v>1011.1999999999971</v>
      </c>
      <c r="Y217" s="1"/>
      <c r="Z217" s="5">
        <f t="shared" ref="Z217:Z221" si="91">IF(T217=0,0,X217/T217)</f>
        <v>5.7902931278634218E-2</v>
      </c>
    </row>
    <row r="218" spans="1:26" s="24" customFormat="1" hidden="1" outlineLevel="2" x14ac:dyDescent="0.25">
      <c r="A218" s="26"/>
      <c r="B218" s="11" t="str">
        <f>CONCATENATE("          ", "6282", " - ", "JANITORIAL/EXTERMINATOR EXPENS")</f>
        <v xml:space="preserve">          6282 - JANITORIAL/EXTERMINATOR EXPENS</v>
      </c>
      <c r="C218" s="11"/>
      <c r="D218" s="6">
        <v>266.5</v>
      </c>
      <c r="E218" s="2"/>
      <c r="F218" s="7">
        <f t="shared" si="84"/>
        <v>5.5658502319716886E-4</v>
      </c>
      <c r="G218" s="2"/>
      <c r="H218" s="6">
        <v>193.5</v>
      </c>
      <c r="I218" s="2"/>
      <c r="J218" s="7">
        <f t="shared" si="85"/>
        <v>4.143265602467648E-4</v>
      </c>
      <c r="K218" s="2"/>
      <c r="L218" s="6">
        <f t="shared" si="86"/>
        <v>73</v>
      </c>
      <c r="M218" s="2"/>
      <c r="N218" s="7">
        <f t="shared" si="87"/>
        <v>0.37726098191214469</v>
      </c>
      <c r="O218" s="11"/>
      <c r="P218" s="6">
        <v>1066</v>
      </c>
      <c r="Q218" s="2"/>
      <c r="R218" s="7">
        <f t="shared" si="88"/>
        <v>2.3069518107869642E-4</v>
      </c>
      <c r="S218" s="2"/>
      <c r="T218" s="6">
        <v>860</v>
      </c>
      <c r="U218" s="2"/>
      <c r="V218" s="7">
        <f t="shared" si="89"/>
        <v>1.7136501960088044E-4</v>
      </c>
      <c r="W218" s="2"/>
      <c r="X218" s="6">
        <f t="shared" si="90"/>
        <v>206</v>
      </c>
      <c r="Y218" s="2"/>
      <c r="Z218" s="7">
        <f t="shared" si="91"/>
        <v>0.23953488372093024</v>
      </c>
    </row>
    <row r="219" spans="1:26" s="24" customFormat="1" hidden="1" outlineLevel="2" x14ac:dyDescent="0.25">
      <c r="A219" s="26"/>
      <c r="B219" s="11" t="str">
        <f>CONCATENATE("          ", "6283", " - ", "PLANT SERVICE")</f>
        <v xml:space="preserve">          6283 - PLANT SERVICE</v>
      </c>
      <c r="C219" s="11"/>
      <c r="D219" s="6"/>
      <c r="E219" s="2"/>
      <c r="F219" s="7">
        <f t="shared" si="84"/>
        <v>0</v>
      </c>
      <c r="G219" s="2"/>
      <c r="H219" s="6">
        <v>295.5</v>
      </c>
      <c r="I219" s="2"/>
      <c r="J219" s="7">
        <f t="shared" si="85"/>
        <v>6.3273125867141598E-4</v>
      </c>
      <c r="K219" s="2"/>
      <c r="L219" s="6">
        <f t="shared" si="86"/>
        <v>-295.5</v>
      </c>
      <c r="M219" s="2"/>
      <c r="N219" s="7">
        <f t="shared" si="87"/>
        <v>-1</v>
      </c>
      <c r="O219" s="11"/>
      <c r="P219" s="6">
        <v>541.98</v>
      </c>
      <c r="Q219" s="2"/>
      <c r="R219" s="7">
        <f t="shared" si="88"/>
        <v>1.1729097020734699E-4</v>
      </c>
      <c r="S219" s="2"/>
      <c r="T219" s="6">
        <v>814.5</v>
      </c>
      <c r="U219" s="2"/>
      <c r="V219" s="7">
        <f t="shared" si="89"/>
        <v>1.6229861449408968E-4</v>
      </c>
      <c r="W219" s="2"/>
      <c r="X219" s="6">
        <f t="shared" si="90"/>
        <v>-272.52</v>
      </c>
      <c r="Y219" s="2"/>
      <c r="Z219" s="7">
        <f t="shared" si="91"/>
        <v>-0.33458563535911601</v>
      </c>
    </row>
    <row r="220" spans="1:26" s="24" customFormat="1" hidden="1" outlineLevel="2" x14ac:dyDescent="0.25">
      <c r="A220" s="26"/>
      <c r="B220" s="11" t="str">
        <f>CONCATENATE("          ", "6284", " - ", "TRASH REMOVAL EXPENSE")</f>
        <v xml:space="preserve">          6284 - TRASH REMOVAL EXPENSE</v>
      </c>
      <c r="C220" s="11"/>
      <c r="D220" s="6">
        <v>134.82</v>
      </c>
      <c r="E220" s="2"/>
      <c r="F220" s="7">
        <f t="shared" si="84"/>
        <v>2.8157145526244769E-4</v>
      </c>
      <c r="G220" s="2"/>
      <c r="H220" s="6">
        <v>121.46</v>
      </c>
      <c r="I220" s="2"/>
      <c r="J220" s="7">
        <f t="shared" si="85"/>
        <v>2.600728889280209E-4</v>
      </c>
      <c r="K220" s="2"/>
      <c r="L220" s="6">
        <f t="shared" si="86"/>
        <v>13.36</v>
      </c>
      <c r="M220" s="2"/>
      <c r="N220" s="7">
        <f t="shared" si="87"/>
        <v>0.10999506010209123</v>
      </c>
      <c r="O220" s="11"/>
      <c r="P220" s="6">
        <v>539.28</v>
      </c>
      <c r="Q220" s="2"/>
      <c r="R220" s="7">
        <f t="shared" si="88"/>
        <v>1.1670665783500881E-4</v>
      </c>
      <c r="S220" s="2"/>
      <c r="T220" s="6">
        <v>485.84</v>
      </c>
      <c r="U220" s="2"/>
      <c r="V220" s="7">
        <f t="shared" si="89"/>
        <v>9.6809280375455533E-5</v>
      </c>
      <c r="W220" s="2"/>
      <c r="X220" s="6">
        <f t="shared" si="90"/>
        <v>53.44</v>
      </c>
      <c r="Y220" s="2"/>
      <c r="Z220" s="7">
        <f t="shared" si="91"/>
        <v>0.10999506010209123</v>
      </c>
    </row>
    <row r="221" spans="1:26" s="24" customFormat="1" hidden="1" outlineLevel="2" x14ac:dyDescent="0.25">
      <c r="A221" s="26"/>
      <c r="B221" s="11" t="str">
        <f>CONCATENATE("          ", "6285", " - ", "JANITORIAL SERVICES")</f>
        <v xml:space="preserve">          6285 - JANITORIAL SERVICES</v>
      </c>
      <c r="C221" s="11"/>
      <c r="D221" s="6">
        <v>4846.3999999999996</v>
      </c>
      <c r="E221" s="2"/>
      <c r="F221" s="7">
        <f t="shared" si="84"/>
        <v>1.0121702275507538E-2</v>
      </c>
      <c r="G221" s="2"/>
      <c r="H221" s="6">
        <v>3797.21</v>
      </c>
      <c r="I221" s="2"/>
      <c r="J221" s="7">
        <f t="shared" si="85"/>
        <v>8.1306716167163697E-3</v>
      </c>
      <c r="K221" s="2"/>
      <c r="L221" s="6">
        <f t="shared" si="86"/>
        <v>1049.1899999999996</v>
      </c>
      <c r="M221" s="2"/>
      <c r="N221" s="7">
        <f t="shared" si="87"/>
        <v>0.27630549798404608</v>
      </c>
      <c r="O221" s="11"/>
      <c r="P221" s="6">
        <v>16327.649999999998</v>
      </c>
      <c r="Q221" s="2"/>
      <c r="R221" s="7">
        <f t="shared" si="88"/>
        <v>3.5334992245211793E-3</v>
      </c>
      <c r="S221" s="2"/>
      <c r="T221" s="6">
        <v>15303.369999999999</v>
      </c>
      <c r="U221" s="2"/>
      <c r="V221" s="7">
        <f t="shared" si="89"/>
        <v>3.0493747674529368E-3</v>
      </c>
      <c r="W221" s="2"/>
      <c r="X221" s="6">
        <f t="shared" si="90"/>
        <v>1024.2799999999988</v>
      </c>
      <c r="Y221" s="2"/>
      <c r="Z221" s="7">
        <f t="shared" si="91"/>
        <v>6.6931662764475985E-2</v>
      </c>
    </row>
    <row r="222" spans="1:26" s="27" customFormat="1" outlineLevel="1" collapsed="1" x14ac:dyDescent="0.25">
      <c r="A222" s="25"/>
      <c r="B222" s="13" t="str">
        <f>CONCATENATE("     ","Subscriptions &amp; Dues                              ")</f>
        <v xml:space="preserve">     Subscriptions &amp; Dues                              </v>
      </c>
      <c r="C222" s="13"/>
      <c r="D222" s="1">
        <f>SUM(OSRRefD22_19x_0)</f>
        <v>343.55</v>
      </c>
      <c r="E222" s="1"/>
      <c r="F222" s="5">
        <f t="shared" ref="F222:F224" si="92">IF(D$12=0,0,D222/D$12)</f>
        <v>7.1750388262434295E-4</v>
      </c>
      <c r="G222" s="1"/>
      <c r="H222" s="1">
        <f>SUM(OSRRefH22_19x_0)</f>
        <v>1141.98</v>
      </c>
      <c r="I222" s="1"/>
      <c r="J222" s="5">
        <f t="shared" ref="J222:J224" si="93">IF(H$12=0,0,H222/H$12)</f>
        <v>2.4452333088919921E-3</v>
      </c>
      <c r="K222" s="1"/>
      <c r="L222" s="1">
        <f t="shared" ref="L222:L224" si="94">+D222-H222</f>
        <v>-798.43000000000006</v>
      </c>
      <c r="M222" s="1"/>
      <c r="N222" s="5">
        <f t="shared" ref="N222:N224" si="95">IF(H222=0,0,L222/H222)</f>
        <v>-0.69916285749312601</v>
      </c>
      <c r="O222" s="13"/>
      <c r="P222" s="1">
        <f>SUM(OSRRefP22_19x_0)</f>
        <v>2042.4</v>
      </c>
      <c r="Q222" s="1"/>
      <c r="R222" s="5">
        <f t="shared" ref="R222:R224" si="96">IF(P$12=0,0,P222/P$12)</f>
        <v>4.4199984787535607E-4</v>
      </c>
      <c r="S222" s="1"/>
      <c r="T222" s="1">
        <f>SUM(OSRRefT22_19x_0)</f>
        <v>3221.71</v>
      </c>
      <c r="U222" s="1"/>
      <c r="V222" s="5">
        <f t="shared" ref="V222:V224" si="97">IF(T$12=0,0,T222/T$12)</f>
        <v>6.4196325267250299E-4</v>
      </c>
      <c r="W222" s="1"/>
      <c r="X222" s="1">
        <f t="shared" ref="X222:X224" si="98">+P222-T222</f>
        <v>-1179.31</v>
      </c>
      <c r="Y222" s="1"/>
      <c r="Z222" s="5">
        <f t="shared" ref="Z222:Z224" si="99">IF(T222=0,0,X222/T222)</f>
        <v>-0.36605094809899091</v>
      </c>
    </row>
    <row r="223" spans="1:26" s="24" customFormat="1" hidden="1" outlineLevel="2" x14ac:dyDescent="0.25">
      <c r="A223" s="26"/>
      <c r="B223" s="11" t="str">
        <f>CONCATENATE("          ", "6258", " - ", "MEMBERSHIP DUES")</f>
        <v xml:space="preserve">          6258 - MEMBERSHIP DUES</v>
      </c>
      <c r="C223" s="11"/>
      <c r="D223" s="6">
        <v>268.55</v>
      </c>
      <c r="E223" s="2"/>
      <c r="F223" s="7">
        <f t="shared" si="92"/>
        <v>5.6086644645253177E-4</v>
      </c>
      <c r="G223" s="2"/>
      <c r="H223" s="6">
        <v>792.02</v>
      </c>
      <c r="I223" s="2"/>
      <c r="J223" s="7">
        <f t="shared" si="93"/>
        <v>1.6958910710420808E-3</v>
      </c>
      <c r="K223" s="2"/>
      <c r="L223" s="6">
        <f t="shared" si="94"/>
        <v>-523.47</v>
      </c>
      <c r="M223" s="2"/>
      <c r="N223" s="7">
        <f t="shared" si="95"/>
        <v>-0.66093027953839556</v>
      </c>
      <c r="O223" s="11"/>
      <c r="P223" s="6">
        <v>1177.4000000000001</v>
      </c>
      <c r="Q223" s="2"/>
      <c r="R223" s="7">
        <f t="shared" si="96"/>
        <v>2.5480347673738948E-4</v>
      </c>
      <c r="S223" s="2"/>
      <c r="T223" s="6">
        <v>1684.12</v>
      </c>
      <c r="U223" s="2"/>
      <c r="V223" s="7">
        <f t="shared" si="97"/>
        <v>3.3558053117469162E-4</v>
      </c>
      <c r="W223" s="2"/>
      <c r="X223" s="6">
        <f t="shared" si="98"/>
        <v>-506.7199999999998</v>
      </c>
      <c r="Y223" s="2"/>
      <c r="Z223" s="7">
        <f t="shared" si="99"/>
        <v>-0.30088117236301443</v>
      </c>
    </row>
    <row r="224" spans="1:26" s="24" customFormat="1" hidden="1" outlineLevel="2" x14ac:dyDescent="0.25">
      <c r="A224" s="26"/>
      <c r="B224" s="11" t="str">
        <f>CONCATENATE("          ", "6275", " - ", "SUBSCRIPTIONS")</f>
        <v xml:space="preserve">          6275 - SUBSCRIPTIONS</v>
      </c>
      <c r="C224" s="11"/>
      <c r="D224" s="6">
        <v>75</v>
      </c>
      <c r="E224" s="2"/>
      <c r="F224" s="7">
        <f t="shared" si="92"/>
        <v>1.5663743617181115E-4</v>
      </c>
      <c r="G224" s="2"/>
      <c r="H224" s="6">
        <v>349.96</v>
      </c>
      <c r="I224" s="2"/>
      <c r="J224" s="7">
        <f t="shared" si="93"/>
        <v>7.4934223784991105E-4</v>
      </c>
      <c r="K224" s="2"/>
      <c r="L224" s="6">
        <f t="shared" si="94"/>
        <v>-274.95999999999998</v>
      </c>
      <c r="M224" s="2"/>
      <c r="N224" s="7">
        <f t="shared" si="95"/>
        <v>-0.78568979311921361</v>
      </c>
      <c r="O224" s="11"/>
      <c r="P224" s="6">
        <v>865</v>
      </c>
      <c r="Q224" s="2"/>
      <c r="R224" s="7">
        <f t="shared" si="96"/>
        <v>1.8719637113796662E-4</v>
      </c>
      <c r="S224" s="2"/>
      <c r="T224" s="6">
        <v>1537.59</v>
      </c>
      <c r="U224" s="2"/>
      <c r="V224" s="7">
        <f t="shared" si="97"/>
        <v>3.0638272149781137E-4</v>
      </c>
      <c r="W224" s="2"/>
      <c r="X224" s="6">
        <f t="shared" si="98"/>
        <v>-672.58999999999992</v>
      </c>
      <c r="Y224" s="2"/>
      <c r="Z224" s="7">
        <f t="shared" si="99"/>
        <v>-0.43743130483418852</v>
      </c>
    </row>
    <row r="225" spans="1:26" s="27" customFormat="1" outlineLevel="1" collapsed="1" x14ac:dyDescent="0.25">
      <c r="A225" s="25"/>
      <c r="B225" s="13" t="str">
        <f>CONCATENATE("     ","Supplies                                          ")</f>
        <v xml:space="preserve">     Supplies                                          </v>
      </c>
      <c r="C225" s="13"/>
      <c r="D225" s="1">
        <f>SUM(OSRRefD22_20x_0)</f>
        <v>7011.86</v>
      </c>
      <c r="E225" s="1"/>
      <c r="F225" s="5">
        <f t="shared" ref="F225:F231" si="100">IF(D$12=0,0,D225/D$12)</f>
        <v>1.4644263642609007E-2</v>
      </c>
      <c r="G225" s="1"/>
      <c r="H225" s="1">
        <f>SUM(OSRRefH22_20x_0)</f>
        <v>26876.86</v>
      </c>
      <c r="I225" s="1"/>
      <c r="J225" s="5">
        <f t="shared" ref="J225:J231" si="101">IF(H$12=0,0,H225/H$12)</f>
        <v>5.7549338263740889E-2</v>
      </c>
      <c r="K225" s="1"/>
      <c r="L225" s="1">
        <f t="shared" ref="L225:L231" si="102">+D225-H225</f>
        <v>-19865</v>
      </c>
      <c r="M225" s="1"/>
      <c r="N225" s="5">
        <f t="shared" ref="N225:N231" si="103">IF(H225=0,0,L225/H225)</f>
        <v>-0.73911163729691631</v>
      </c>
      <c r="O225" s="13"/>
      <c r="P225" s="1">
        <f>SUM(OSRRefP22_20x_0)</f>
        <v>39073.83</v>
      </c>
      <c r="Q225" s="1"/>
      <c r="R225" s="5">
        <f t="shared" ref="R225:R231" si="104">IF(P$12=0,0,P225/P$12)</f>
        <v>8.4560452976437158E-3</v>
      </c>
      <c r="S225" s="1"/>
      <c r="T225" s="1">
        <f>SUM(OSRRefT22_20x_0)</f>
        <v>75557.039999999994</v>
      </c>
      <c r="U225" s="1"/>
      <c r="V225" s="5">
        <f t="shared" ref="V225:V231" si="105">IF(T$12=0,0,T225/T$12)</f>
        <v>1.5055620512307567E-2</v>
      </c>
      <c r="W225" s="1"/>
      <c r="X225" s="1">
        <f t="shared" ref="X225:X231" si="106">+P225-T225</f>
        <v>-36483.209999999992</v>
      </c>
      <c r="Y225" s="1"/>
      <c r="Z225" s="5">
        <f t="shared" ref="Z225:Z231" si="107">IF(T225=0,0,X225/T225)</f>
        <v>-0.48285652799527345</v>
      </c>
    </row>
    <row r="226" spans="1:26" s="24" customFormat="1" hidden="1" outlineLevel="2" x14ac:dyDescent="0.25">
      <c r="A226" s="26"/>
      <c r="B226" s="11" t="str">
        <f>CONCATENATE("          ", "6234", " - ", "EXPENDABLE SUPPLIES &amp; EQUIPMEN")</f>
        <v xml:space="preserve">          6234 - EXPENDABLE SUPPLIES &amp; EQUIPMEN</v>
      </c>
      <c r="C226" s="11"/>
      <c r="D226" s="6"/>
      <c r="E226" s="2"/>
      <c r="F226" s="7">
        <f t="shared" si="100"/>
        <v>0</v>
      </c>
      <c r="G226" s="2"/>
      <c r="H226" s="6">
        <v>2237.73</v>
      </c>
      <c r="I226" s="2"/>
      <c r="J226" s="7">
        <f t="shared" si="101"/>
        <v>4.7914779000568109E-3</v>
      </c>
      <c r="K226" s="2"/>
      <c r="L226" s="6">
        <f t="shared" si="102"/>
        <v>-2237.73</v>
      </c>
      <c r="M226" s="2"/>
      <c r="N226" s="7">
        <f t="shared" si="103"/>
        <v>-1</v>
      </c>
      <c r="O226" s="11"/>
      <c r="P226" s="6">
        <v>1716.1</v>
      </c>
      <c r="Q226" s="2"/>
      <c r="R226" s="7">
        <f t="shared" si="104"/>
        <v>3.7138461561834042E-4</v>
      </c>
      <c r="S226" s="2"/>
      <c r="T226" s="6">
        <v>3451.62</v>
      </c>
      <c r="U226" s="2"/>
      <c r="V226" s="7">
        <f t="shared" si="105"/>
        <v>6.8777549878464071E-4</v>
      </c>
      <c r="W226" s="2"/>
      <c r="X226" s="6">
        <f t="shared" si="106"/>
        <v>-1735.52</v>
      </c>
      <c r="Y226" s="2"/>
      <c r="Z226" s="7">
        <f t="shared" si="107"/>
        <v>-0.50281317178600193</v>
      </c>
    </row>
    <row r="227" spans="1:26" s="24" customFormat="1" hidden="1" outlineLevel="2" x14ac:dyDescent="0.25">
      <c r="A227" s="26"/>
      <c r="B227" s="11" t="str">
        <f>CONCATENATE("          ", "6237", " - ", "JANITORIAL SUPPLIES")</f>
        <v xml:space="preserve">          6237 - JANITORIAL SUPPLIES</v>
      </c>
      <c r="C227" s="11"/>
      <c r="D227" s="6">
        <v>302.61</v>
      </c>
      <c r="E227" s="2"/>
      <c r="F227" s="7">
        <f t="shared" si="100"/>
        <v>6.3200072746602358E-4</v>
      </c>
      <c r="G227" s="2"/>
      <c r="H227" s="6">
        <v>1212.42</v>
      </c>
      <c r="I227" s="2"/>
      <c r="J227" s="7">
        <f t="shared" si="101"/>
        <v>2.596061024157016E-3</v>
      </c>
      <c r="K227" s="2"/>
      <c r="L227" s="6">
        <f t="shared" si="102"/>
        <v>-909.81000000000006</v>
      </c>
      <c r="M227" s="2"/>
      <c r="N227" s="7">
        <f t="shared" si="103"/>
        <v>-0.75040827436037016</v>
      </c>
      <c r="O227" s="11"/>
      <c r="P227" s="6">
        <v>2166.2199999999998</v>
      </c>
      <c r="Q227" s="2"/>
      <c r="R227" s="7">
        <f t="shared" si="104"/>
        <v>4.6879598044680462E-4</v>
      </c>
      <c r="S227" s="2"/>
      <c r="T227" s="6">
        <v>2524.1999999999998</v>
      </c>
      <c r="U227" s="2"/>
      <c r="V227" s="7">
        <f t="shared" si="105"/>
        <v>5.0297625869365399E-4</v>
      </c>
      <c r="W227" s="2"/>
      <c r="X227" s="6">
        <f t="shared" si="106"/>
        <v>-357.98</v>
      </c>
      <c r="Y227" s="2"/>
      <c r="Z227" s="7">
        <f t="shared" si="107"/>
        <v>-0.14181919023849143</v>
      </c>
    </row>
    <row r="228" spans="1:26" s="24" customFormat="1" hidden="1" outlineLevel="2" x14ac:dyDescent="0.25">
      <c r="A228" s="26"/>
      <c r="B228" s="11" t="str">
        <f>CONCATENATE("          ", "6241", " - ", "OFFICE EXPENSE")</f>
        <v xml:space="preserve">          6241 - OFFICE EXPENSE</v>
      </c>
      <c r="C228" s="11"/>
      <c r="D228" s="6">
        <v>2526.14</v>
      </c>
      <c r="E228" s="2"/>
      <c r="F228" s="7">
        <f t="shared" si="100"/>
        <v>5.275841240147453E-3</v>
      </c>
      <c r="G228" s="2"/>
      <c r="H228" s="6">
        <v>1938.13</v>
      </c>
      <c r="I228" s="2"/>
      <c r="J228" s="7">
        <f t="shared" si="101"/>
        <v>4.1499676289977376E-3</v>
      </c>
      <c r="K228" s="2"/>
      <c r="L228" s="6">
        <f t="shared" si="102"/>
        <v>588.00999999999976</v>
      </c>
      <c r="M228" s="2"/>
      <c r="N228" s="7">
        <f t="shared" si="103"/>
        <v>0.30339038145016056</v>
      </c>
      <c r="O228" s="11"/>
      <c r="P228" s="6">
        <v>12298.52</v>
      </c>
      <c r="Q228" s="2"/>
      <c r="R228" s="7">
        <f t="shared" si="104"/>
        <v>2.6615471842401216E-3</v>
      </c>
      <c r="S228" s="2"/>
      <c r="T228" s="6">
        <v>9150.35</v>
      </c>
      <c r="U228" s="2"/>
      <c r="V228" s="7">
        <f t="shared" si="105"/>
        <v>1.8233138454708331E-3</v>
      </c>
      <c r="W228" s="2"/>
      <c r="X228" s="6">
        <f t="shared" si="106"/>
        <v>3148.17</v>
      </c>
      <c r="Y228" s="2"/>
      <c r="Z228" s="7">
        <f t="shared" si="107"/>
        <v>0.34404913473255122</v>
      </c>
    </row>
    <row r="229" spans="1:26" s="24" customFormat="1" hidden="1" outlineLevel="2" x14ac:dyDescent="0.25">
      <c r="A229" s="26"/>
      <c r="B229" s="11" t="str">
        <f>CONCATENATE("          ", "6243", " - ", "PAPER SUPPLIES")</f>
        <v xml:space="preserve">          6243 - PAPER SUPPLIES</v>
      </c>
      <c r="C229" s="11"/>
      <c r="D229" s="6">
        <v>1929.38</v>
      </c>
      <c r="E229" s="2"/>
      <c r="F229" s="7">
        <f t="shared" si="100"/>
        <v>4.0295084880155865E-3</v>
      </c>
      <c r="G229" s="2"/>
      <c r="H229" s="6">
        <v>8301.76</v>
      </c>
      <c r="I229" s="2"/>
      <c r="J229" s="7">
        <f t="shared" si="101"/>
        <v>1.7775915580331689E-2</v>
      </c>
      <c r="K229" s="2"/>
      <c r="L229" s="6">
        <f t="shared" si="102"/>
        <v>-6372.38</v>
      </c>
      <c r="M229" s="2"/>
      <c r="N229" s="7">
        <f t="shared" si="103"/>
        <v>-0.76759385961531046</v>
      </c>
      <c r="O229" s="11"/>
      <c r="P229" s="6">
        <v>4906.33</v>
      </c>
      <c r="Q229" s="2"/>
      <c r="R229" s="7">
        <f t="shared" si="104"/>
        <v>1.0617886376940344E-3</v>
      </c>
      <c r="S229" s="2"/>
      <c r="T229" s="6">
        <v>16655.900000000001</v>
      </c>
      <c r="U229" s="2"/>
      <c r="V229" s="7">
        <f t="shared" si="105"/>
        <v>3.3188821278724479E-3</v>
      </c>
      <c r="W229" s="2"/>
      <c r="X229" s="6">
        <f t="shared" si="106"/>
        <v>-11749.570000000002</v>
      </c>
      <c r="Y229" s="2"/>
      <c r="Z229" s="7">
        <f t="shared" si="107"/>
        <v>-0.70542990772038738</v>
      </c>
    </row>
    <row r="230" spans="1:26" s="24" customFormat="1" hidden="1" outlineLevel="2" x14ac:dyDescent="0.25">
      <c r="A230" s="26"/>
      <c r="B230" s="11" t="str">
        <f>CONCATENATE("          ", "6245", " - ", "PRINTING")</f>
        <v xml:space="preserve">          6245 - PRINTING</v>
      </c>
      <c r="C230" s="11"/>
      <c r="D230" s="6">
        <v>7.24</v>
      </c>
      <c r="E230" s="2"/>
      <c r="F230" s="7">
        <f t="shared" si="100"/>
        <v>1.5120733838452169E-5</v>
      </c>
      <c r="G230" s="2"/>
      <c r="H230" s="6">
        <v>762</v>
      </c>
      <c r="I230" s="2"/>
      <c r="J230" s="7">
        <f t="shared" si="101"/>
        <v>1.631611570584159E-3</v>
      </c>
      <c r="K230" s="2"/>
      <c r="L230" s="6">
        <f t="shared" si="102"/>
        <v>-754.76</v>
      </c>
      <c r="M230" s="2"/>
      <c r="N230" s="7">
        <f t="shared" si="103"/>
        <v>-0.99049868766404203</v>
      </c>
      <c r="O230" s="11"/>
      <c r="P230" s="6">
        <v>5247.25</v>
      </c>
      <c r="Q230" s="2"/>
      <c r="R230" s="7">
        <f t="shared" si="104"/>
        <v>1.1355678132412663E-3</v>
      </c>
      <c r="S230" s="2"/>
      <c r="T230" s="6">
        <v>6440.39</v>
      </c>
      <c r="U230" s="2"/>
      <c r="V230" s="7">
        <f t="shared" si="105"/>
        <v>1.2833227425433889E-3</v>
      </c>
      <c r="W230" s="2"/>
      <c r="X230" s="6">
        <f t="shared" si="106"/>
        <v>-1193.1400000000003</v>
      </c>
      <c r="Y230" s="2"/>
      <c r="Z230" s="7">
        <f t="shared" si="107"/>
        <v>-0.18525896723645621</v>
      </c>
    </row>
    <row r="231" spans="1:26" s="24" customFormat="1" hidden="1" outlineLevel="2" x14ac:dyDescent="0.25">
      <c r="A231" s="26"/>
      <c r="B231" s="11" t="str">
        <f>CONCATENATE("          ", "6247", " - ", "STORE SUPPLIES")</f>
        <v xml:space="preserve">          6247 - STORE SUPPLIES</v>
      </c>
      <c r="C231" s="11"/>
      <c r="D231" s="6">
        <v>2246.4899999999998</v>
      </c>
      <c r="E231" s="2"/>
      <c r="F231" s="7">
        <f t="shared" si="100"/>
        <v>4.6917924531414933E-3</v>
      </c>
      <c r="G231" s="2"/>
      <c r="H231" s="6">
        <v>12424.82</v>
      </c>
      <c r="I231" s="2"/>
      <c r="J231" s="7">
        <f t="shared" si="101"/>
        <v>2.6604304559613476E-2</v>
      </c>
      <c r="K231" s="2"/>
      <c r="L231" s="6">
        <f t="shared" si="102"/>
        <v>-10178.33</v>
      </c>
      <c r="M231" s="2"/>
      <c r="N231" s="7">
        <f t="shared" si="103"/>
        <v>-0.8191933565234748</v>
      </c>
      <c r="O231" s="11"/>
      <c r="P231" s="6">
        <v>12739.41</v>
      </c>
      <c r="Q231" s="2"/>
      <c r="R231" s="7">
        <f t="shared" si="104"/>
        <v>2.7569610664031482E-3</v>
      </c>
      <c r="S231" s="2"/>
      <c r="T231" s="6">
        <v>37334.579999999994</v>
      </c>
      <c r="U231" s="2"/>
      <c r="V231" s="7">
        <f t="shared" si="105"/>
        <v>7.4393500389426026E-3</v>
      </c>
      <c r="W231" s="2"/>
      <c r="X231" s="6">
        <f t="shared" si="106"/>
        <v>-24595.169999999995</v>
      </c>
      <c r="Y231" s="2"/>
      <c r="Z231" s="7">
        <f t="shared" si="107"/>
        <v>-0.65877719797571044</v>
      </c>
    </row>
    <row r="232" spans="1:26" s="27" customFormat="1" outlineLevel="1" collapsed="1" x14ac:dyDescent="0.25">
      <c r="A232" s="25"/>
      <c r="B232" s="13" t="str">
        <f>CONCATENATE("     ","Telephone/Data Lines                              ")</f>
        <v xml:space="preserve">     Telephone/Data Lines                              </v>
      </c>
      <c r="C232" s="13"/>
      <c r="D232" s="1">
        <f>SUM(OSRRefD22_21x_0)</f>
        <v>670.87</v>
      </c>
      <c r="E232" s="1"/>
      <c r="F232" s="5">
        <f t="shared" ref="F232:F234" si="108">IF(D$12=0,0,D232/D$12)</f>
        <v>1.4011114240611059E-3</v>
      </c>
      <c r="G232" s="1"/>
      <c r="H232" s="1">
        <f>SUM(OSRRefH22_21x_0)</f>
        <v>1453.66</v>
      </c>
      <c r="I232" s="1"/>
      <c r="J232" s="5">
        <f t="shared" ref="J232:J234" si="109">IF(H$12=0,0,H232/H$12)</f>
        <v>3.1126095481566517E-3</v>
      </c>
      <c r="K232" s="1"/>
      <c r="L232" s="1">
        <f t="shared" ref="L232:L234" si="110">+D232-H232</f>
        <v>-782.79000000000008</v>
      </c>
      <c r="M232" s="1"/>
      <c r="N232" s="5">
        <f t="shared" ref="N232:N234" si="111">IF(H232=0,0,L232/H232)</f>
        <v>-0.53849593440006605</v>
      </c>
      <c r="O232" s="13"/>
      <c r="P232" s="1">
        <f>SUM(OSRRefP22_21x_0)</f>
        <v>11087.27</v>
      </c>
      <c r="Q232" s="1"/>
      <c r="R232" s="5">
        <f t="shared" ref="R232:R234" si="112">IF(P$12=0,0,P232/P$12)</f>
        <v>2.3994181616495296E-3</v>
      </c>
      <c r="S232" s="1"/>
      <c r="T232" s="1">
        <f>SUM(OSRRefT22_21x_0)</f>
        <v>10832.96</v>
      </c>
      <c r="U232" s="1"/>
      <c r="V232" s="5">
        <f t="shared" ref="V232:V234" si="113">IF(T$12=0,0,T232/T$12)</f>
        <v>2.1585934915529697E-3</v>
      </c>
      <c r="W232" s="1"/>
      <c r="X232" s="1">
        <f t="shared" ref="X232:X234" si="114">+P232-T232</f>
        <v>254.31000000000131</v>
      </c>
      <c r="Y232" s="1"/>
      <c r="Z232" s="5">
        <f t="shared" ref="Z232:Z234" si="115">IF(T232=0,0,X232/T232)</f>
        <v>2.3475578235311618E-2</v>
      </c>
    </row>
    <row r="233" spans="1:26" s="24" customFormat="1" hidden="1" outlineLevel="2" x14ac:dyDescent="0.25">
      <c r="A233" s="26"/>
      <c r="B233" s="11" t="str">
        <f>CONCATENATE("          ", "6303", " - ", "DATA PHONE LINES")</f>
        <v xml:space="preserve">          6303 - DATA PHONE LINES</v>
      </c>
      <c r="C233" s="11"/>
      <c r="D233" s="6">
        <v>295</v>
      </c>
      <c r="E233" s="2"/>
      <c r="F233" s="7">
        <f t="shared" si="108"/>
        <v>6.161072489424571E-4</v>
      </c>
      <c r="G233" s="2"/>
      <c r="H233" s="6"/>
      <c r="I233" s="2"/>
      <c r="J233" s="7">
        <f t="shared" si="109"/>
        <v>0</v>
      </c>
      <c r="K233" s="2"/>
      <c r="L233" s="6">
        <f t="shared" si="110"/>
        <v>295</v>
      </c>
      <c r="M233" s="2"/>
      <c r="N233" s="7">
        <f t="shared" si="111"/>
        <v>0</v>
      </c>
      <c r="O233" s="11"/>
      <c r="P233" s="6">
        <v>1180</v>
      </c>
      <c r="Q233" s="2"/>
      <c r="R233" s="7">
        <f t="shared" si="112"/>
        <v>2.5536614791075215E-4</v>
      </c>
      <c r="S233" s="2"/>
      <c r="T233" s="6">
        <v>590</v>
      </c>
      <c r="U233" s="2"/>
      <c r="V233" s="7">
        <f t="shared" si="113"/>
        <v>1.1756437391223193E-4</v>
      </c>
      <c r="W233" s="2"/>
      <c r="X233" s="6">
        <f t="shared" si="114"/>
        <v>590</v>
      </c>
      <c r="Y233" s="2"/>
      <c r="Z233" s="7">
        <f t="shared" si="115"/>
        <v>1</v>
      </c>
    </row>
    <row r="234" spans="1:26" s="24" customFormat="1" hidden="1" outlineLevel="2" x14ac:dyDescent="0.25">
      <c r="A234" s="26"/>
      <c r="B234" s="11" t="str">
        <f>CONCATENATE("          ", "6309", " - ", "TELEPHONE")</f>
        <v xml:space="preserve">          6309 - TELEPHONE</v>
      </c>
      <c r="C234" s="11"/>
      <c r="D234" s="6">
        <v>375.87</v>
      </c>
      <c r="E234" s="2"/>
      <c r="F234" s="7">
        <f t="shared" si="108"/>
        <v>7.850041751186487E-4</v>
      </c>
      <c r="G234" s="2"/>
      <c r="H234" s="6">
        <v>1453.66</v>
      </c>
      <c r="I234" s="2"/>
      <c r="J234" s="7">
        <f t="shared" si="109"/>
        <v>3.1126095481566517E-3</v>
      </c>
      <c r="K234" s="2"/>
      <c r="L234" s="6">
        <f t="shared" si="110"/>
        <v>-1077.79</v>
      </c>
      <c r="M234" s="2"/>
      <c r="N234" s="7">
        <f t="shared" si="111"/>
        <v>-0.74143197171278008</v>
      </c>
      <c r="O234" s="11"/>
      <c r="P234" s="6">
        <v>9907.27</v>
      </c>
      <c r="Q234" s="2"/>
      <c r="R234" s="7">
        <f t="shared" si="112"/>
        <v>2.1440520137387775E-3</v>
      </c>
      <c r="S234" s="2"/>
      <c r="T234" s="6">
        <v>10242.959999999999</v>
      </c>
      <c r="U234" s="2"/>
      <c r="V234" s="7">
        <f t="shared" si="113"/>
        <v>2.0410291176407376E-3</v>
      </c>
      <c r="W234" s="2"/>
      <c r="X234" s="6">
        <f t="shared" si="114"/>
        <v>-335.68999999999869</v>
      </c>
      <c r="Y234" s="2"/>
      <c r="Z234" s="7">
        <f t="shared" si="115"/>
        <v>-3.2772753188531317E-2</v>
      </c>
    </row>
    <row r="235" spans="1:26" s="27" customFormat="1" outlineLevel="1" collapsed="1" x14ac:dyDescent="0.25">
      <c r="A235" s="25"/>
      <c r="B235" s="13" t="str">
        <f>CONCATENATE("     ","Training                                          ")</f>
        <v xml:space="preserve">     Training                                          </v>
      </c>
      <c r="C235" s="13"/>
      <c r="D235" s="1">
        <f>SUM(OSRRefD22_22x_0)</f>
        <v>3000.52</v>
      </c>
      <c r="E235" s="1"/>
      <c r="F235" s="5">
        <f t="shared" ref="F235:F240" si="116">IF(D$12=0,0,D235/D$12)</f>
        <v>6.2665834664299034E-3</v>
      </c>
      <c r="G235" s="1"/>
      <c r="H235" s="1">
        <f>SUM(OSRRefH22_22x_0)</f>
        <v>2406.16</v>
      </c>
      <c r="I235" s="1"/>
      <c r="J235" s="5">
        <f t="shared" ref="J235:J240" si="117">IF(H$12=0,0,H235/H$12)</f>
        <v>5.1521240113868499E-3</v>
      </c>
      <c r="K235" s="1"/>
      <c r="L235" s="1">
        <f t="shared" ref="L235:L240" si="118">+D235-H235</f>
        <v>594.36000000000013</v>
      </c>
      <c r="M235" s="1"/>
      <c r="N235" s="5">
        <f t="shared" ref="N235:N240" si="119">IF(H235=0,0,L235/H235)</f>
        <v>0.24701599228646481</v>
      </c>
      <c r="O235" s="13"/>
      <c r="P235" s="1">
        <f>SUM(OSRRefP22_22x_0)</f>
        <v>5420.76</v>
      </c>
      <c r="Q235" s="1"/>
      <c r="R235" s="5">
        <f t="shared" ref="R235:R240" si="120">IF(P$12=0,0,P235/P$12)</f>
        <v>1.1731174575836346E-3</v>
      </c>
      <c r="S235" s="1"/>
      <c r="T235" s="1">
        <f>SUM(OSRRefT22_22x_0)</f>
        <v>2230.9</v>
      </c>
      <c r="U235" s="1"/>
      <c r="V235" s="5">
        <f t="shared" ref="V235:V240" si="121">IF(T$12=0,0,T235/T$12)</f>
        <v>4.4453281654372584E-4</v>
      </c>
      <c r="W235" s="1"/>
      <c r="X235" s="1">
        <f t="shared" ref="X235:X240" si="122">+P235-T235</f>
        <v>3189.86</v>
      </c>
      <c r="Y235" s="1"/>
      <c r="Z235" s="5">
        <f t="shared" ref="Z235:Z240" si="123">IF(T235=0,0,X235/T235)</f>
        <v>1.4298534223855843</v>
      </c>
    </row>
    <row r="236" spans="1:26" s="24" customFormat="1" hidden="1" outlineLevel="2" x14ac:dyDescent="0.25">
      <c r="A236" s="26"/>
      <c r="B236" s="11" t="str">
        <f>CONCATENATE("          ", "6376", " - ", "TRAINING")</f>
        <v xml:space="preserve">          6376 - TRAINING</v>
      </c>
      <c r="C236" s="11"/>
      <c r="D236" s="6">
        <v>3000.52</v>
      </c>
      <c r="E236" s="2"/>
      <c r="F236" s="7">
        <f t="shared" si="116"/>
        <v>6.2665834664299034E-3</v>
      </c>
      <c r="G236" s="2"/>
      <c r="H236" s="6">
        <v>2406.16</v>
      </c>
      <c r="I236" s="2"/>
      <c r="J236" s="7">
        <f t="shared" si="117"/>
        <v>5.1521240113868499E-3</v>
      </c>
      <c r="K236" s="2"/>
      <c r="L236" s="6">
        <f t="shared" si="118"/>
        <v>594.36000000000013</v>
      </c>
      <c r="M236" s="2"/>
      <c r="N236" s="7">
        <f t="shared" si="119"/>
        <v>0.24701599228646481</v>
      </c>
      <c r="O236" s="11"/>
      <c r="P236" s="6">
        <v>5420.76</v>
      </c>
      <c r="Q236" s="2"/>
      <c r="R236" s="7">
        <f t="shared" si="120"/>
        <v>1.1731174575836346E-3</v>
      </c>
      <c r="S236" s="2"/>
      <c r="T236" s="6">
        <v>2230.9</v>
      </c>
      <c r="U236" s="2"/>
      <c r="V236" s="7">
        <f t="shared" si="121"/>
        <v>4.4453281654372584E-4</v>
      </c>
      <c r="W236" s="2"/>
      <c r="X236" s="6">
        <f t="shared" si="122"/>
        <v>3189.86</v>
      </c>
      <c r="Y236" s="2"/>
      <c r="Z236" s="7">
        <f t="shared" si="123"/>
        <v>1.4298534223855843</v>
      </c>
    </row>
    <row r="237" spans="1:26" s="27" customFormat="1" outlineLevel="1" collapsed="1" x14ac:dyDescent="0.25">
      <c r="A237" s="25"/>
      <c r="B237" s="13" t="str">
        <f>CONCATENATE("     ","Travel                                            ")</f>
        <v xml:space="preserve">     Travel                                            </v>
      </c>
      <c r="C237" s="13"/>
      <c r="D237" s="1">
        <f>SUM(OSRRefD22_23x_0)</f>
        <v>633.25</v>
      </c>
      <c r="E237" s="1"/>
      <c r="F237" s="5">
        <f t="shared" si="116"/>
        <v>1.3225420860773253E-3</v>
      </c>
      <c r="G237" s="1"/>
      <c r="H237" s="1">
        <f>SUM(OSRRefH22_23x_0)</f>
        <v>173.63</v>
      </c>
      <c r="I237" s="1"/>
      <c r="J237" s="5">
        <f t="shared" si="117"/>
        <v>3.7178046850462929E-4</v>
      </c>
      <c r="K237" s="1"/>
      <c r="L237" s="1">
        <f t="shared" si="118"/>
        <v>459.62</v>
      </c>
      <c r="M237" s="1"/>
      <c r="N237" s="5">
        <f t="shared" si="119"/>
        <v>2.6471231929966019</v>
      </c>
      <c r="O237" s="13"/>
      <c r="P237" s="1">
        <f>SUM(OSRRefP22_23x_0)</f>
        <v>1247.1099999999999</v>
      </c>
      <c r="Q237" s="1"/>
      <c r="R237" s="5">
        <f t="shared" si="120"/>
        <v>2.6988955654320176E-4</v>
      </c>
      <c r="S237" s="1"/>
      <c r="T237" s="1">
        <f>SUM(OSRRefT22_23x_0)</f>
        <v>971.27</v>
      </c>
      <c r="U237" s="1"/>
      <c r="V237" s="5">
        <f t="shared" si="121"/>
        <v>1.935368634741246E-4</v>
      </c>
      <c r="W237" s="1"/>
      <c r="X237" s="1">
        <f t="shared" si="122"/>
        <v>275.83999999999992</v>
      </c>
      <c r="Y237" s="1"/>
      <c r="Z237" s="5">
        <f t="shared" si="123"/>
        <v>0.28399929988571654</v>
      </c>
    </row>
    <row r="238" spans="1:26" s="24" customFormat="1" hidden="1" outlineLevel="2" x14ac:dyDescent="0.25">
      <c r="A238" s="26"/>
      <c r="B238" s="11" t="str">
        <f>CONCATENATE("          ", "6292", " - ", "TRAVEL/CONFERENCE")</f>
        <v xml:space="preserve">          6292 - TRAVEL/CONFERENCE</v>
      </c>
      <c r="C238" s="11"/>
      <c r="D238" s="6">
        <v>298.88</v>
      </c>
      <c r="E238" s="2"/>
      <c r="F238" s="7">
        <f t="shared" si="116"/>
        <v>6.2421062564041213E-4</v>
      </c>
      <c r="G238" s="2"/>
      <c r="H238" s="6">
        <v>49.56</v>
      </c>
      <c r="I238" s="2"/>
      <c r="J238" s="7">
        <f t="shared" si="117"/>
        <v>1.0611898876397758E-4</v>
      </c>
      <c r="K238" s="2"/>
      <c r="L238" s="6">
        <f t="shared" si="118"/>
        <v>249.32</v>
      </c>
      <c r="M238" s="2"/>
      <c r="N238" s="7">
        <f t="shared" si="119"/>
        <v>5.0306698950766746</v>
      </c>
      <c r="O238" s="11"/>
      <c r="P238" s="6">
        <v>640.65</v>
      </c>
      <c r="Q238" s="2"/>
      <c r="R238" s="7">
        <f t="shared" si="120"/>
        <v>1.3864434123646047E-4</v>
      </c>
      <c r="S238" s="2"/>
      <c r="T238" s="6">
        <v>518.42999999999995</v>
      </c>
      <c r="U238" s="2"/>
      <c r="V238" s="7">
        <f t="shared" si="121"/>
        <v>1.0330321757172609E-4</v>
      </c>
      <c r="W238" s="2"/>
      <c r="X238" s="6">
        <f t="shared" si="122"/>
        <v>122.22000000000003</v>
      </c>
      <c r="Y238" s="2"/>
      <c r="Z238" s="7">
        <f t="shared" si="123"/>
        <v>0.23575024593484181</v>
      </c>
    </row>
    <row r="239" spans="1:26" s="24" customFormat="1" hidden="1" outlineLevel="2" x14ac:dyDescent="0.25">
      <c r="A239" s="26"/>
      <c r="B239" s="11" t="str">
        <f>CONCATENATE("          ", "6294", " - ", "TRAVEL OPERATIONAL")</f>
        <v xml:space="preserve">          6294 - TRAVEL OPERATIONAL</v>
      </c>
      <c r="C239" s="11"/>
      <c r="D239" s="6">
        <v>334.37</v>
      </c>
      <c r="E239" s="2"/>
      <c r="F239" s="7">
        <f t="shared" si="116"/>
        <v>6.9833146043691316E-4</v>
      </c>
      <c r="G239" s="2"/>
      <c r="H239" s="6">
        <v>81.83</v>
      </c>
      <c r="I239" s="2"/>
      <c r="J239" s="7">
        <f t="shared" si="117"/>
        <v>1.752162399224432E-4</v>
      </c>
      <c r="K239" s="2"/>
      <c r="L239" s="6">
        <f t="shared" si="118"/>
        <v>252.54000000000002</v>
      </c>
      <c r="M239" s="2"/>
      <c r="N239" s="7">
        <f t="shared" si="119"/>
        <v>3.0861542221679095</v>
      </c>
      <c r="O239" s="11"/>
      <c r="P239" s="6">
        <v>436.47</v>
      </c>
      <c r="Q239" s="2"/>
      <c r="R239" s="7">
        <f t="shared" si="120"/>
        <v>9.4457341168310163E-5</v>
      </c>
      <c r="S239" s="2"/>
      <c r="T239" s="6">
        <v>337.6</v>
      </c>
      <c r="U239" s="2"/>
      <c r="V239" s="7">
        <f t="shared" si="121"/>
        <v>6.7270733275880525E-5</v>
      </c>
      <c r="W239" s="2"/>
      <c r="X239" s="6">
        <f t="shared" si="122"/>
        <v>98.87</v>
      </c>
      <c r="Y239" s="2"/>
      <c r="Z239" s="7">
        <f t="shared" si="123"/>
        <v>0.29286137440758292</v>
      </c>
    </row>
    <row r="240" spans="1:26" s="24" customFormat="1" hidden="1" outlineLevel="2" x14ac:dyDescent="0.25">
      <c r="A240" s="26"/>
      <c r="B240" s="11" t="str">
        <f>CONCATENATE("          ", "6298", " - ", "VEHICLE MILEAGE")</f>
        <v xml:space="preserve">          6298 - VEHICLE MILEAGE</v>
      </c>
      <c r="C240" s="11"/>
      <c r="D240" s="6"/>
      <c r="E240" s="2"/>
      <c r="F240" s="7">
        <f t="shared" si="116"/>
        <v>0</v>
      </c>
      <c r="G240" s="2"/>
      <c r="H240" s="6">
        <v>42.24</v>
      </c>
      <c r="I240" s="2"/>
      <c r="J240" s="7">
        <f t="shared" si="117"/>
        <v>9.0445239818208497E-5</v>
      </c>
      <c r="K240" s="2"/>
      <c r="L240" s="6">
        <f t="shared" si="118"/>
        <v>-42.24</v>
      </c>
      <c r="M240" s="2"/>
      <c r="N240" s="7">
        <f t="shared" si="119"/>
        <v>-1</v>
      </c>
      <c r="O240" s="11"/>
      <c r="P240" s="6">
        <v>169.99</v>
      </c>
      <c r="Q240" s="2"/>
      <c r="R240" s="7">
        <f t="shared" si="120"/>
        <v>3.6787874138431153E-5</v>
      </c>
      <c r="S240" s="2"/>
      <c r="T240" s="6">
        <v>115.24</v>
      </c>
      <c r="U240" s="2"/>
      <c r="V240" s="7">
        <f t="shared" si="121"/>
        <v>2.2962912626517982E-5</v>
      </c>
      <c r="W240" s="2"/>
      <c r="X240" s="6">
        <f t="shared" si="122"/>
        <v>54.750000000000014</v>
      </c>
      <c r="Y240" s="2"/>
      <c r="Z240" s="7">
        <f t="shared" si="123"/>
        <v>0.47509545296771971</v>
      </c>
    </row>
    <row r="241" spans="1:26" s="27" customFormat="1" outlineLevel="1" collapsed="1" x14ac:dyDescent="0.25">
      <c r="A241" s="25"/>
      <c r="B241" s="13" t="str">
        <f>CONCATENATE("     ","Utilities                                         ")</f>
        <v xml:space="preserve">     Utilities                                         </v>
      </c>
      <c r="C241" s="13"/>
      <c r="D241" s="1">
        <f>SUM(OSRRefD22_24x_0)</f>
        <v>5636.86</v>
      </c>
      <c r="E241" s="1"/>
      <c r="F241" s="5">
        <f t="shared" ref="F241:F242" si="124">IF(D$12=0,0,D241/D$12)</f>
        <v>1.177257731279247E-2</v>
      </c>
      <c r="G241" s="1"/>
      <c r="H241" s="1">
        <f>SUM(OSRRefH22_24x_0)</f>
        <v>-1709.3</v>
      </c>
      <c r="I241" s="1"/>
      <c r="J241" s="5">
        <f t="shared" ref="J241:J242" si="125">IF(H$12=0,0,H241/H$12)</f>
        <v>-3.6599916766397677E-3</v>
      </c>
      <c r="K241" s="1"/>
      <c r="L241" s="1">
        <f t="shared" ref="L241:L242" si="126">+D241-H241</f>
        <v>7346.16</v>
      </c>
      <c r="M241" s="1"/>
      <c r="N241" s="5">
        <f t="shared" ref="N241:N242" si="127">IF(H241=0,0,L241/H241)</f>
        <v>-4.2977593166793424</v>
      </c>
      <c r="O241" s="13"/>
      <c r="P241" s="1">
        <f>SUM(OSRRefP22_24x_0)</f>
        <v>16974.66</v>
      </c>
      <c r="Q241" s="1"/>
      <c r="R241" s="5">
        <f t="shared" ref="R241:R242" si="128">IF(P$12=0,0,P241/P$12)</f>
        <v>3.6735199460124811E-3</v>
      </c>
      <c r="S241" s="1"/>
      <c r="T241" s="1">
        <f>SUM(OSRRefT22_24x_0)</f>
        <v>15273.249999999998</v>
      </c>
      <c r="U241" s="1"/>
      <c r="V241" s="5">
        <f t="shared" ref="V241:V242" si="129">IF(T$12=0,0,T241/T$12)</f>
        <v>3.0433730065338922E-3</v>
      </c>
      <c r="W241" s="1"/>
      <c r="X241" s="1">
        <f t="shared" ref="X241:X242" si="130">+P241-T241</f>
        <v>1701.4100000000017</v>
      </c>
      <c r="Y241" s="1"/>
      <c r="Z241" s="5">
        <f t="shared" ref="Z241:Z242" si="131">IF(T241=0,0,X241/T241)</f>
        <v>0.11139803250781607</v>
      </c>
    </row>
    <row r="242" spans="1:26" s="24" customFormat="1" hidden="1" outlineLevel="2" x14ac:dyDescent="0.25">
      <c r="A242" s="26"/>
      <c r="B242" s="11" t="str">
        <f>CONCATENATE("          ", "6274", " - ", "UTILITIES")</f>
        <v xml:space="preserve">          6274 - UTILITIES</v>
      </c>
      <c r="C242" s="11"/>
      <c r="D242" s="6">
        <v>5636.86</v>
      </c>
      <c r="E242" s="2"/>
      <c r="F242" s="7">
        <f t="shared" si="124"/>
        <v>1.177257731279247E-2</v>
      </c>
      <c r="G242" s="2"/>
      <c r="H242" s="6">
        <v>-1709.3</v>
      </c>
      <c r="I242" s="2"/>
      <c r="J242" s="7">
        <f t="shared" si="125"/>
        <v>-3.6599916766397677E-3</v>
      </c>
      <c r="K242" s="2"/>
      <c r="L242" s="6">
        <f t="shared" si="126"/>
        <v>7346.16</v>
      </c>
      <c r="M242" s="2"/>
      <c r="N242" s="7">
        <f t="shared" si="127"/>
        <v>-4.2977593166793424</v>
      </c>
      <c r="O242" s="11"/>
      <c r="P242" s="6">
        <v>16974.66</v>
      </c>
      <c r="Q242" s="2"/>
      <c r="R242" s="7">
        <f t="shared" si="128"/>
        <v>3.6735199460124811E-3</v>
      </c>
      <c r="S242" s="2"/>
      <c r="T242" s="6">
        <v>15273.249999999998</v>
      </c>
      <c r="U242" s="2"/>
      <c r="V242" s="7">
        <f t="shared" si="129"/>
        <v>3.0433730065338922E-3</v>
      </c>
      <c r="W242" s="2"/>
      <c r="X242" s="6">
        <f t="shared" si="130"/>
        <v>1701.4100000000017</v>
      </c>
      <c r="Y242" s="2"/>
      <c r="Z242" s="7">
        <f t="shared" si="131"/>
        <v>0.11139803250781607</v>
      </c>
    </row>
    <row r="243" spans="1:26" s="55" customFormat="1" x14ac:dyDescent="0.25">
      <c r="A243" s="37"/>
      <c r="B243" s="37"/>
      <c r="C243" s="37"/>
      <c r="D243" s="1"/>
      <c r="E243" s="1"/>
      <c r="F243" s="5"/>
      <c r="G243" s="1"/>
      <c r="H243" s="1"/>
      <c r="I243" s="1"/>
      <c r="J243" s="5"/>
      <c r="K243" s="1"/>
      <c r="L243" s="1"/>
      <c r="M243" s="1"/>
      <c r="N243" s="5"/>
      <c r="O243" s="37"/>
      <c r="P243" s="1"/>
      <c r="Q243" s="1"/>
      <c r="R243" s="5"/>
      <c r="S243" s="1"/>
      <c r="T243" s="1"/>
      <c r="U243" s="1"/>
      <c r="V243" s="5"/>
      <c r="W243" s="1"/>
      <c r="X243" s="1"/>
      <c r="Y243" s="1"/>
      <c r="Z243" s="5"/>
    </row>
    <row r="244" spans="1:26" s="23" customFormat="1" collapsed="1" x14ac:dyDescent="0.25">
      <c r="A244" s="10"/>
      <c r="B244" s="29" t="s">
        <v>0</v>
      </c>
      <c r="C244" s="10"/>
      <c r="D244" s="4">
        <f>SUM(OSRRefD25x_0)</f>
        <v>134453.71000000002</v>
      </c>
      <c r="E244" s="4"/>
      <c r="F244" s="12">
        <f t="shared" ref="F244:F252" si="132">IF(D$12=0,0,D244/D$12)</f>
        <v>0.2808064589091761</v>
      </c>
      <c r="G244" s="4"/>
      <c r="H244" s="4">
        <f>SUM(OSRRefH25x_0)</f>
        <v>85881.549999999988</v>
      </c>
      <c r="I244" s="4"/>
      <c r="J244" s="12">
        <f t="shared" ref="J244:J252" si="133">IF(H$12=0,0,H244/H$12)</f>
        <v>0.18389151007834903</v>
      </c>
      <c r="K244" s="4"/>
      <c r="L244" s="4">
        <f t="shared" ref="L244:L252" si="134">+D244-H244</f>
        <v>48572.160000000033</v>
      </c>
      <c r="M244" s="4"/>
      <c r="N244" s="12">
        <f t="shared" ref="N244:N252" si="135">IF(H244=0,0,L244/H244)</f>
        <v>0.56557153428181073</v>
      </c>
      <c r="O244" s="10"/>
      <c r="P244" s="4">
        <f>SUM(OSRRefP25x_0)</f>
        <v>378997.00999999995</v>
      </c>
      <c r="Q244" s="4"/>
      <c r="R244" s="12">
        <f t="shared" ref="R244:R252" si="136">IF(P$12=0,0,P244/P$12)</f>
        <v>8.2019497045248135E-2</v>
      </c>
      <c r="S244" s="4"/>
      <c r="T244" s="4">
        <f>SUM(OSRRefT25x_0)</f>
        <v>318539.11</v>
      </c>
      <c r="U244" s="4"/>
      <c r="V244" s="12">
        <f t="shared" ref="V244:V252" si="137">IF(T$12=0,0,T244/T$12)</f>
        <v>6.34726288706942E-2</v>
      </c>
      <c r="W244" s="4"/>
      <c r="X244" s="4">
        <f t="shared" ref="X244:X252" si="138">+P244-T244</f>
        <v>60457.899999999965</v>
      </c>
      <c r="Y244" s="4"/>
      <c r="Z244" s="12">
        <f t="shared" ref="Z244:Z252" si="139">IF(T244=0,0,X244/T244)</f>
        <v>0.18979741608495099</v>
      </c>
    </row>
    <row r="245" spans="1:26" s="24" customFormat="1" hidden="1" outlineLevel="1" x14ac:dyDescent="0.25">
      <c r="A245" s="44"/>
      <c r="B245" s="11" t="str">
        <f>CONCATENATE("          ", "4098", " - ", "TAXABLE SALES-GRAD RENTALS")</f>
        <v xml:space="preserve">          4098 - TAXABLE SALES-GRAD RENTALS</v>
      </c>
      <c r="C245" s="11"/>
      <c r="D245" s="2">
        <f t="shared" ref="D245:D247" si="140">0</f>
        <v>0</v>
      </c>
      <c r="E245" s="2"/>
      <c r="F245" s="19">
        <f t="shared" si="132"/>
        <v>0</v>
      </c>
      <c r="G245" s="2"/>
      <c r="H245" s="2">
        <f>0</f>
        <v>0</v>
      </c>
      <c r="I245" s="2"/>
      <c r="J245" s="19">
        <f t="shared" si="133"/>
        <v>0</v>
      </c>
      <c r="K245" s="2"/>
      <c r="L245" s="2">
        <f t="shared" si="134"/>
        <v>0</v>
      </c>
      <c r="M245" s="2"/>
      <c r="N245" s="19">
        <f t="shared" si="135"/>
        <v>0</v>
      </c>
      <c r="O245" s="11"/>
      <c r="P245" s="2">
        <f>--1626.85</f>
        <v>1626.85</v>
      </c>
      <c r="Q245" s="2"/>
      <c r="R245" s="19">
        <f t="shared" si="136"/>
        <v>3.5206984553271789E-4</v>
      </c>
      <c r="S245" s="2"/>
      <c r="T245" s="2">
        <f>0</f>
        <v>0</v>
      </c>
      <c r="U245" s="2"/>
      <c r="V245" s="19">
        <f t="shared" si="137"/>
        <v>0</v>
      </c>
      <c r="W245" s="2"/>
      <c r="X245" s="2">
        <f t="shared" si="138"/>
        <v>1626.85</v>
      </c>
      <c r="Y245" s="2"/>
      <c r="Z245" s="19">
        <f t="shared" si="139"/>
        <v>0</v>
      </c>
    </row>
    <row r="246" spans="1:26" s="24" customFormat="1" hidden="1" outlineLevel="1" x14ac:dyDescent="0.25">
      <c r="A246" s="44"/>
      <c r="B246" s="11" t="str">
        <f>CONCATENATE("          ", "4197", " - ", "NON-TAXABLE SALES-RETURNED CHE")</f>
        <v xml:space="preserve">          4197 - NON-TAXABLE SALES-RETURNED CHE</v>
      </c>
      <c r="C246" s="11"/>
      <c r="D246" s="2">
        <f t="shared" si="140"/>
        <v>0</v>
      </c>
      <c r="E246" s="2"/>
      <c r="F246" s="19">
        <f t="shared" si="132"/>
        <v>0</v>
      </c>
      <c r="G246" s="2"/>
      <c r="H246" s="2">
        <f>--10</f>
        <v>10</v>
      </c>
      <c r="I246" s="2"/>
      <c r="J246" s="19">
        <f t="shared" si="133"/>
        <v>2.1412225335750118E-5</v>
      </c>
      <c r="K246" s="2"/>
      <c r="L246" s="2">
        <f t="shared" si="134"/>
        <v>-10</v>
      </c>
      <c r="M246" s="2"/>
      <c r="N246" s="19">
        <f t="shared" si="135"/>
        <v>-1</v>
      </c>
      <c r="O246" s="11"/>
      <c r="P246" s="2">
        <f>--30</f>
        <v>30</v>
      </c>
      <c r="Q246" s="2"/>
      <c r="R246" s="19">
        <f t="shared" si="136"/>
        <v>6.492359692646241E-6</v>
      </c>
      <c r="S246" s="2"/>
      <c r="T246" s="2">
        <f>--260</f>
        <v>260</v>
      </c>
      <c r="U246" s="2"/>
      <c r="V246" s="19">
        <f t="shared" si="137"/>
        <v>5.1808029181661532E-5</v>
      </c>
      <c r="W246" s="2"/>
      <c r="X246" s="2">
        <f t="shared" si="138"/>
        <v>-230</v>
      </c>
      <c r="Y246" s="2"/>
      <c r="Z246" s="19">
        <f t="shared" si="139"/>
        <v>-0.88461538461538458</v>
      </c>
    </row>
    <row r="247" spans="1:26" s="24" customFormat="1" hidden="1" outlineLevel="1" x14ac:dyDescent="0.25">
      <c r="A247" s="44"/>
      <c r="B247" s="11" t="str">
        <f>CONCATENATE("          ", "4198", " - ", "NON-TAXABLE SALES-GRAD RENTALS")</f>
        <v xml:space="preserve">          4198 - NON-TAXABLE SALES-GRAD RENTALS</v>
      </c>
      <c r="C247" s="11"/>
      <c r="D247" s="2">
        <f t="shared" si="140"/>
        <v>0</v>
      </c>
      <c r="E247" s="2"/>
      <c r="F247" s="19">
        <f t="shared" si="132"/>
        <v>0</v>
      </c>
      <c r="G247" s="2"/>
      <c r="H247" s="2">
        <f>0</f>
        <v>0</v>
      </c>
      <c r="I247" s="2"/>
      <c r="J247" s="19">
        <f t="shared" si="133"/>
        <v>0</v>
      </c>
      <c r="K247" s="2"/>
      <c r="L247" s="2">
        <f t="shared" si="134"/>
        <v>0</v>
      </c>
      <c r="M247" s="2"/>
      <c r="N247" s="19">
        <f t="shared" si="135"/>
        <v>0</v>
      </c>
      <c r="O247" s="11"/>
      <c r="P247" s="2">
        <f>--495</f>
        <v>495</v>
      </c>
      <c r="Q247" s="2"/>
      <c r="R247" s="19">
        <f t="shared" si="136"/>
        <v>1.0712393492866297E-4</v>
      </c>
      <c r="S247" s="2"/>
      <c r="T247" s="2">
        <f>--435</f>
        <v>435</v>
      </c>
      <c r="U247" s="2"/>
      <c r="V247" s="19">
        <f t="shared" si="137"/>
        <v>8.6678818053933715E-5</v>
      </c>
      <c r="W247" s="2"/>
      <c r="X247" s="2">
        <f t="shared" si="138"/>
        <v>60</v>
      </c>
      <c r="Y247" s="2"/>
      <c r="Z247" s="19">
        <f t="shared" si="139"/>
        <v>0.13793103448275862</v>
      </c>
    </row>
    <row r="248" spans="1:26" s="24" customFormat="1" hidden="1" outlineLevel="1" x14ac:dyDescent="0.25">
      <c r="A248" s="44"/>
      <c r="B248" s="11" t="str">
        <f>CONCATENATE("          ", "9150", " - ", "MISC. INCOME")</f>
        <v xml:space="preserve">          9150 - MISC. INCOME</v>
      </c>
      <c r="C248" s="11"/>
      <c r="D248" s="2">
        <f>--69263.32</f>
        <v>69263.320000000007</v>
      </c>
      <c r="E248" s="2"/>
      <c r="F248" s="19">
        <f t="shared" si="132"/>
        <v>0.14465638487396976</v>
      </c>
      <c r="G248" s="2"/>
      <c r="H248" s="2">
        <f>--84284.78</f>
        <v>84284.78</v>
      </c>
      <c r="I248" s="2"/>
      <c r="J248" s="19">
        <f t="shared" si="133"/>
        <v>0.18047247017341247</v>
      </c>
      <c r="K248" s="2"/>
      <c r="L248" s="2">
        <f t="shared" si="134"/>
        <v>-15021.459999999992</v>
      </c>
      <c r="M248" s="2"/>
      <c r="N248" s="19">
        <f t="shared" si="135"/>
        <v>-0.17822268741758585</v>
      </c>
      <c r="O248" s="11"/>
      <c r="P248" s="2">
        <f>--206650.24</f>
        <v>206650.23999999999</v>
      </c>
      <c r="Q248" s="2"/>
      <c r="R248" s="19">
        <f t="shared" si="136"/>
        <v>4.4721589621722395E-2</v>
      </c>
      <c r="S248" s="2"/>
      <c r="T248" s="2">
        <f>--313687.22</f>
        <v>313687.21999999997</v>
      </c>
      <c r="U248" s="2"/>
      <c r="V248" s="19">
        <f t="shared" si="137"/>
        <v>6.2505833260285693E-2</v>
      </c>
      <c r="W248" s="2"/>
      <c r="X248" s="2">
        <f t="shared" si="138"/>
        <v>-107036.97999999998</v>
      </c>
      <c r="Y248" s="2"/>
      <c r="Z248" s="19">
        <f t="shared" si="139"/>
        <v>-0.34122199814197079</v>
      </c>
    </row>
    <row r="249" spans="1:26" s="24" customFormat="1" hidden="1" outlineLevel="1" x14ac:dyDescent="0.25">
      <c r="A249" s="44"/>
      <c r="B249" s="11" t="str">
        <f>CONCATENATE("          ", "9151", " - ", "MISC. INCOME")</f>
        <v xml:space="preserve">          9151 - MISC. INCOME</v>
      </c>
      <c r="C249" s="11"/>
      <c r="D249" s="2">
        <f>--4030.76</f>
        <v>4030.76</v>
      </c>
      <c r="E249" s="2"/>
      <c r="F249" s="19">
        <f t="shared" si="132"/>
        <v>8.4182388296518591E-3</v>
      </c>
      <c r="G249" s="2"/>
      <c r="H249" s="2">
        <f>-411.02</f>
        <v>-411.02</v>
      </c>
      <c r="I249" s="2"/>
      <c r="J249" s="19">
        <f t="shared" si="133"/>
        <v>-8.8008528575000131E-4</v>
      </c>
      <c r="K249" s="2"/>
      <c r="L249" s="2">
        <f t="shared" si="134"/>
        <v>4441.7800000000007</v>
      </c>
      <c r="M249" s="2"/>
      <c r="N249" s="19">
        <f t="shared" si="135"/>
        <v>-10.806724733589608</v>
      </c>
      <c r="O249" s="11"/>
      <c r="P249" s="2">
        <f>--87224.27</f>
        <v>87224.27</v>
      </c>
      <c r="Q249" s="2"/>
      <c r="R249" s="19">
        <f t="shared" si="136"/>
        <v>1.8876377825616426E-2</v>
      </c>
      <c r="S249" s="2"/>
      <c r="T249" s="2">
        <f>--649.77</f>
        <v>649.77</v>
      </c>
      <c r="U249" s="2"/>
      <c r="V249" s="19">
        <f t="shared" si="137"/>
        <v>1.2947424277449314E-4</v>
      </c>
      <c r="W249" s="2"/>
      <c r="X249" s="2">
        <f t="shared" si="138"/>
        <v>86574.5</v>
      </c>
      <c r="Y249" s="2"/>
      <c r="Z249" s="19">
        <f t="shared" si="139"/>
        <v>133.23868445757731</v>
      </c>
    </row>
    <row r="250" spans="1:26" s="24" customFormat="1" hidden="1" outlineLevel="1" x14ac:dyDescent="0.25">
      <c r="A250" s="44"/>
      <c r="B250" s="11" t="str">
        <f>CONCATENATE("          ", "9152", " - ", "MISC. INCOME")</f>
        <v xml:space="preserve">          9152 - MISC. INCOME</v>
      </c>
      <c r="C250" s="11"/>
      <c r="D250" s="2">
        <f>--53.08</f>
        <v>53.08</v>
      </c>
      <c r="E250" s="2"/>
      <c r="F250" s="19">
        <f t="shared" si="132"/>
        <v>1.1085753482666313E-4</v>
      </c>
      <c r="G250" s="2"/>
      <c r="H250" s="2">
        <f>--1707.79</f>
        <v>1707.79</v>
      </c>
      <c r="I250" s="2"/>
      <c r="J250" s="19">
        <f t="shared" si="133"/>
        <v>3.6567584306140691E-3</v>
      </c>
      <c r="K250" s="2"/>
      <c r="L250" s="2">
        <f t="shared" si="134"/>
        <v>-1654.71</v>
      </c>
      <c r="M250" s="2"/>
      <c r="N250" s="19">
        <f t="shared" si="135"/>
        <v>-0.96891889518032082</v>
      </c>
      <c r="O250" s="11"/>
      <c r="P250" s="2">
        <f>--694.1</f>
        <v>694.1</v>
      </c>
      <c r="Q250" s="2"/>
      <c r="R250" s="19">
        <f t="shared" si="136"/>
        <v>1.5021156208885853E-4</v>
      </c>
      <c r="S250" s="2"/>
      <c r="T250" s="2">
        <f>--3217.12</f>
        <v>3217.12</v>
      </c>
      <c r="U250" s="2"/>
      <c r="V250" s="19">
        <f t="shared" si="137"/>
        <v>6.4104864169579597E-4</v>
      </c>
      <c r="W250" s="2"/>
      <c r="X250" s="2">
        <f t="shared" si="138"/>
        <v>-2523.02</v>
      </c>
      <c r="Y250" s="2"/>
      <c r="Z250" s="19">
        <f t="shared" si="139"/>
        <v>-0.78424802307654051</v>
      </c>
    </row>
    <row r="251" spans="1:26" s="24" customFormat="1" hidden="1" outlineLevel="1" x14ac:dyDescent="0.25">
      <c r="A251" s="44"/>
      <c r="B251" s="11" t="str">
        <f>CONCATENATE("          ", "9160", " - ", "MISC. INCOME")</f>
        <v xml:space="preserve">          9160 - MISC. INCOME</v>
      </c>
      <c r="C251" s="11"/>
      <c r="D251" s="2">
        <f>0</f>
        <v>0</v>
      </c>
      <c r="E251" s="2"/>
      <c r="F251" s="19">
        <f t="shared" si="132"/>
        <v>0</v>
      </c>
      <c r="G251" s="2"/>
      <c r="H251" s="2">
        <f>--290</f>
        <v>290</v>
      </c>
      <c r="I251" s="2"/>
      <c r="J251" s="19">
        <f t="shared" si="133"/>
        <v>6.2095453473675342E-4</v>
      </c>
      <c r="K251" s="2"/>
      <c r="L251" s="2">
        <f t="shared" si="134"/>
        <v>-290</v>
      </c>
      <c r="M251" s="2"/>
      <c r="N251" s="19">
        <f t="shared" si="135"/>
        <v>-1</v>
      </c>
      <c r="O251" s="11"/>
      <c r="P251" s="2">
        <f>--21170</f>
        <v>21170</v>
      </c>
      <c r="Q251" s="2"/>
      <c r="R251" s="19">
        <f t="shared" si="136"/>
        <v>4.5814418231106971E-3</v>
      </c>
      <c r="S251" s="2"/>
      <c r="T251" s="2">
        <f>--290</f>
        <v>290</v>
      </c>
      <c r="U251" s="2"/>
      <c r="V251" s="19">
        <f t="shared" si="137"/>
        <v>5.7785878702622481E-5</v>
      </c>
      <c r="W251" s="2"/>
      <c r="X251" s="2">
        <f t="shared" si="138"/>
        <v>20880</v>
      </c>
      <c r="Y251" s="2"/>
      <c r="Z251" s="19">
        <f t="shared" si="139"/>
        <v>72</v>
      </c>
    </row>
    <row r="252" spans="1:26" s="24" customFormat="1" hidden="1" outlineLevel="1" x14ac:dyDescent="0.25">
      <c r="A252" s="44"/>
      <c r="B252" s="11" t="str">
        <f>CONCATENATE("          ", "9163", " - ", "MISC. INCOME")</f>
        <v xml:space="preserve">          9163 - MISC. INCOME</v>
      </c>
      <c r="C252" s="11"/>
      <c r="D252" s="2">
        <f>--61106.55</f>
        <v>61106.55</v>
      </c>
      <c r="E252" s="2"/>
      <c r="F252" s="19">
        <f t="shared" si="132"/>
        <v>0.12762097767072783</v>
      </c>
      <c r="G252" s="2"/>
      <c r="H252" s="2">
        <f>0</f>
        <v>0</v>
      </c>
      <c r="I252" s="2"/>
      <c r="J252" s="19">
        <f t="shared" si="133"/>
        <v>0</v>
      </c>
      <c r="K252" s="2"/>
      <c r="L252" s="2">
        <f t="shared" si="134"/>
        <v>61106.55</v>
      </c>
      <c r="M252" s="2"/>
      <c r="N252" s="19">
        <f t="shared" si="135"/>
        <v>0</v>
      </c>
      <c r="O252" s="11"/>
      <c r="P252" s="2">
        <f>--61106.55</f>
        <v>61106.55</v>
      </c>
      <c r="Q252" s="2"/>
      <c r="R252" s="19">
        <f t="shared" si="136"/>
        <v>1.3224190072555739E-2</v>
      </c>
      <c r="S252" s="2"/>
      <c r="T252" s="2">
        <f>0</f>
        <v>0</v>
      </c>
      <c r="U252" s="2"/>
      <c r="V252" s="19">
        <f t="shared" si="137"/>
        <v>0</v>
      </c>
      <c r="W252" s="2"/>
      <c r="X252" s="2">
        <f t="shared" si="138"/>
        <v>61106.55</v>
      </c>
      <c r="Y252" s="2"/>
      <c r="Z252" s="19">
        <f t="shared" si="139"/>
        <v>0</v>
      </c>
    </row>
    <row r="253" spans="1:26" x14ac:dyDescent="0.25">
      <c r="A253" s="9"/>
      <c r="B253" s="10"/>
      <c r="C253" s="10"/>
      <c r="D253" s="3"/>
      <c r="E253" s="3"/>
      <c r="F253" s="8"/>
      <c r="G253" s="3"/>
      <c r="H253" s="3"/>
      <c r="I253" s="3"/>
      <c r="J253" s="8"/>
      <c r="K253" s="3"/>
      <c r="L253" s="3"/>
      <c r="M253" s="3"/>
      <c r="N253" s="8"/>
      <c r="O253" s="10"/>
      <c r="P253" s="3"/>
      <c r="Q253" s="3"/>
      <c r="R253" s="8"/>
      <c r="S253" s="3"/>
      <c r="T253" s="3"/>
      <c r="U253" s="3"/>
      <c r="V253" s="8"/>
      <c r="W253" s="3"/>
      <c r="X253" s="3"/>
      <c r="Y253" s="3"/>
      <c r="Z253" s="8"/>
    </row>
    <row r="254" spans="1:26" s="23" customFormat="1" x14ac:dyDescent="0.25">
      <c r="A254" s="10"/>
      <c r="B254" s="28" t="s">
        <v>3</v>
      </c>
      <c r="C254" s="28"/>
      <c r="D254" s="21">
        <f>+D156-D158+D244</f>
        <v>-2754.2400000000489</v>
      </c>
      <c r="E254" s="14"/>
      <c r="F254" s="22">
        <f>IF(D$12=0,0,D254/D$12)</f>
        <v>-5.7522278960247565E-3</v>
      </c>
      <c r="G254" s="14"/>
      <c r="H254" s="21">
        <f>+H156-H158+H244</f>
        <v>-74966.210000000137</v>
      </c>
      <c r="I254" s="14"/>
      <c r="J254" s="22">
        <f>IF(H$12=0,0,H254/H$12)</f>
        <v>-0.16051933810871669</v>
      </c>
      <c r="K254" s="16"/>
      <c r="L254" s="21">
        <f>+D254-H254</f>
        <v>72211.970000000088</v>
      </c>
      <c r="M254" s="16"/>
      <c r="N254" s="22">
        <f>IF(H254=0,0,L254/H254)</f>
        <v>-0.96326024751684736</v>
      </c>
      <c r="O254" s="29"/>
      <c r="P254" s="21">
        <f>+P156-P158+P244</f>
        <v>661596.14999999898</v>
      </c>
      <c r="Q254" s="14"/>
      <c r="R254" s="22">
        <f>IF(P$12=0,0,P254/P$12)</f>
        <v>0.14317733923566431</v>
      </c>
      <c r="S254" s="14"/>
      <c r="T254" s="21">
        <f>+T156-T158+T244</f>
        <v>555980.55999999878</v>
      </c>
      <c r="U254" s="14"/>
      <c r="V254" s="22">
        <f>IF(T$12=0,0,T254/T$12)</f>
        <v>0.11078560414198638</v>
      </c>
      <c r="W254" s="16"/>
      <c r="X254" s="21">
        <f>+P254-T254</f>
        <v>105615.5900000002</v>
      </c>
      <c r="Y254" s="16"/>
      <c r="Z254" s="22">
        <f>IF(T254=0,0,X254/T254)</f>
        <v>0.18996273898497537</v>
      </c>
    </row>
    <row r="255" spans="1:26" x14ac:dyDescent="0.25">
      <c r="A255" s="9"/>
      <c r="B255" s="10"/>
      <c r="C255" s="9"/>
      <c r="D255" s="3"/>
      <c r="E255" s="3"/>
      <c r="F255" s="8"/>
      <c r="G255" s="3"/>
      <c r="H255" s="3"/>
      <c r="I255" s="3"/>
      <c r="J255" s="8"/>
      <c r="K255" s="3"/>
      <c r="L255" s="3"/>
      <c r="M255" s="3"/>
      <c r="N255" s="8"/>
      <c r="P255" s="3"/>
      <c r="Q255" s="3"/>
      <c r="R255" s="8"/>
      <c r="S255" s="3"/>
      <c r="T255" s="3"/>
      <c r="U255" s="3"/>
      <c r="V255" s="8"/>
      <c r="W255" s="3"/>
      <c r="X255" s="3"/>
      <c r="Y255" s="3"/>
      <c r="Z255" s="8"/>
    </row>
    <row r="256" spans="1:26" s="23" customFormat="1" x14ac:dyDescent="0.25">
      <c r="A256" s="51"/>
      <c r="B256" s="10" t="s">
        <v>13</v>
      </c>
      <c r="C256" s="10"/>
      <c r="D256" s="4">
        <v>20237.11</v>
      </c>
      <c r="E256" s="4"/>
      <c r="F256" s="12">
        <f>IF(D$12=0,0,D256/D$12)</f>
        <v>4.2265187012358943E-2</v>
      </c>
      <c r="G256" s="4"/>
      <c r="H256" s="4">
        <v>56512.5</v>
      </c>
      <c r="I256" s="4"/>
      <c r="J256" s="12">
        <f>IF(H$12=0,0,H256/H$12)</f>
        <v>0.12100583842865785</v>
      </c>
      <c r="K256" s="4"/>
      <c r="L256" s="4">
        <f>+D256-H256</f>
        <v>-36275.39</v>
      </c>
      <c r="M256" s="4"/>
      <c r="N256" s="12">
        <f>IF(H256=0,0,L256/H256)</f>
        <v>-0.6419002875470029</v>
      </c>
      <c r="O256" s="10"/>
      <c r="P256" s="4">
        <v>465143.14</v>
      </c>
      <c r="Q256" s="4"/>
      <c r="R256" s="12">
        <f>IF(P$12=0,0,P256/P$12)</f>
        <v>0.10066255244823025</v>
      </c>
      <c r="S256" s="4"/>
      <c r="T256" s="4">
        <v>460900.47000000003</v>
      </c>
      <c r="U256" s="4"/>
      <c r="V256" s="12">
        <f>IF(T$12=0,0,T256/T$12)</f>
        <v>9.1839788460005831E-2</v>
      </c>
      <c r="W256" s="4"/>
      <c r="X256" s="4">
        <f>+P256-T256</f>
        <v>4242.6699999999837</v>
      </c>
      <c r="Y256" s="4"/>
      <c r="Z256" s="12">
        <f>IF(T256=0,0,X256/T256)</f>
        <v>9.2051761196945258E-3</v>
      </c>
    </row>
    <row r="257" spans="1:26" x14ac:dyDescent="0.25">
      <c r="A257" s="9"/>
      <c r="B257" s="10"/>
      <c r="C257" s="10"/>
      <c r="D257" s="3"/>
      <c r="E257" s="3"/>
      <c r="F257" s="8"/>
      <c r="G257" s="3"/>
      <c r="H257" s="3"/>
      <c r="I257" s="3"/>
      <c r="J257" s="8"/>
      <c r="K257" s="3"/>
      <c r="L257" s="3"/>
      <c r="M257" s="3"/>
      <c r="N257" s="8"/>
      <c r="O257" s="10"/>
      <c r="P257" s="3"/>
      <c r="Q257" s="3"/>
      <c r="R257" s="8"/>
      <c r="S257" s="3"/>
      <c r="T257" s="3"/>
      <c r="U257" s="3"/>
      <c r="V257" s="8"/>
      <c r="W257" s="3"/>
      <c r="X257" s="3"/>
      <c r="Y257" s="3"/>
      <c r="Z257" s="8"/>
    </row>
    <row r="258" spans="1:26" s="23" customFormat="1" ht="15.75" thickBot="1" x14ac:dyDescent="0.3">
      <c r="A258" s="10"/>
      <c r="B258" s="28" t="s">
        <v>4</v>
      </c>
      <c r="C258" s="28"/>
      <c r="D258" s="31">
        <f>+D254-D256</f>
        <v>-22991.350000000049</v>
      </c>
      <c r="E258" s="14"/>
      <c r="F258" s="34">
        <f>IF(D$12=0,0,D258/D$12)</f>
        <v>-4.8017414908383703E-2</v>
      </c>
      <c r="G258" s="14"/>
      <c r="H258" s="31">
        <f>+H254-H256</f>
        <v>-131478.71000000014</v>
      </c>
      <c r="I258" s="14"/>
      <c r="J258" s="34">
        <f>IF(H$12=0,0,H258/H$12)</f>
        <v>-0.28152517653737452</v>
      </c>
      <c r="K258" s="16"/>
      <c r="L258" s="31">
        <f>D258-H258</f>
        <v>108487.36000000009</v>
      </c>
      <c r="M258" s="16"/>
      <c r="N258" s="34">
        <f>IF(H258=0,0,L258/H258)</f>
        <v>-0.82513252525827163</v>
      </c>
      <c r="O258" s="29"/>
      <c r="P258" s="31">
        <f>+P254-P256</f>
        <v>196453.00999999896</v>
      </c>
      <c r="Q258" s="14"/>
      <c r="R258" s="34">
        <f>IF(P$12=0,0,P258/P$12)</f>
        <v>4.2514786787434068E-2</v>
      </c>
      <c r="S258" s="14"/>
      <c r="T258" s="31">
        <f>+T254-T256</f>
        <v>95080.089999998745</v>
      </c>
      <c r="U258" s="14"/>
      <c r="V258" s="34">
        <f>IF(T$12=0,0,T258/T$12)</f>
        <v>1.8945815681980539E-2</v>
      </c>
      <c r="W258" s="16"/>
      <c r="X258" s="31">
        <f>P258-T258</f>
        <v>101372.92000000022</v>
      </c>
      <c r="Y258" s="16"/>
      <c r="Z258" s="34">
        <f>IF(T258=0,0,X258/T258)</f>
        <v>1.0661845187567824</v>
      </c>
    </row>
    <row r="259" spans="1:26" ht="15.75" thickTop="1" x14ac:dyDescent="0.25">
      <c r="A259" s="9"/>
      <c r="B259" s="9"/>
      <c r="C259" s="9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x14ac:dyDescent="0.25">
      <c r="A260" s="9"/>
      <c r="B260" s="9"/>
      <c r="C260" s="9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ht="15.75" thickBot="1" x14ac:dyDescent="0.3">
      <c r="A261" s="10"/>
      <c r="B261" s="28" t="s">
        <v>5</v>
      </c>
      <c r="C261" s="28"/>
      <c r="D261" s="36">
        <f>SUM(D258:D260)</f>
        <v>-22991.350000000049</v>
      </c>
      <c r="E261" s="14"/>
      <c r="F261" s="33">
        <f>IF(D$12=0,0,D261/D$12)</f>
        <v>-4.8017414908383703E-2</v>
      </c>
      <c r="G261" s="14"/>
      <c r="H261" s="36">
        <f>SUM(H258:H260)</f>
        <v>-131478.71000000014</v>
      </c>
      <c r="I261" s="14"/>
      <c r="J261" s="33">
        <f>IF(H$12=0,0,H261/H$12)</f>
        <v>-0.28152517653737452</v>
      </c>
      <c r="K261" s="16"/>
      <c r="L261" s="36">
        <f>+D261-H261</f>
        <v>108487.36000000009</v>
      </c>
      <c r="M261" s="16"/>
      <c r="N261" s="33">
        <f>IF(H261=0,0,L261/H261)</f>
        <v>-0.82513252525827163</v>
      </c>
      <c r="O261" s="29"/>
      <c r="P261" s="36">
        <f>SUM(P258:P260)</f>
        <v>196453.00999999896</v>
      </c>
      <c r="Q261" s="14"/>
      <c r="R261" s="33">
        <f>IF(P$12=0,0,P261/P$12)</f>
        <v>4.2514786787434068E-2</v>
      </c>
      <c r="S261" s="14"/>
      <c r="T261" s="36">
        <f>SUM(T258:T260)</f>
        <v>95080.089999998745</v>
      </c>
      <c r="U261" s="14"/>
      <c r="V261" s="33">
        <f>IF(T$12=0,0,T261/T$12)</f>
        <v>1.8945815681980539E-2</v>
      </c>
      <c r="W261" s="16"/>
      <c r="X261" s="36">
        <f>+P261-T261</f>
        <v>101372.92000000022</v>
      </c>
      <c r="Y261" s="16"/>
      <c r="Z261" s="33">
        <f>IF(T261=0,0,X261/T261)</f>
        <v>1.0661845187567824</v>
      </c>
    </row>
    <row r="262" spans="1:26" ht="15.75" thickTop="1" x14ac:dyDescent="0.25">
      <c r="A262" s="9"/>
      <c r="C262" s="9"/>
      <c r="D262" s="18"/>
      <c r="E262" s="18"/>
      <c r="G262" s="18"/>
      <c r="H262" s="18"/>
      <c r="I262" s="18"/>
      <c r="J262" s="42"/>
      <c r="K262" s="18"/>
      <c r="L262" s="18"/>
      <c r="M262" s="18"/>
      <c r="P262" s="18"/>
      <c r="Q262" s="18"/>
      <c r="R262" s="42"/>
      <c r="S262" s="18"/>
      <c r="T262" s="18"/>
      <c r="U262" s="18"/>
      <c r="V262" s="42"/>
      <c r="W262" s="18"/>
      <c r="X262" s="18"/>
    </row>
    <row r="263" spans="1:26" x14ac:dyDescent="0.25">
      <c r="A263" s="9"/>
      <c r="B263" s="61">
        <v>43791.354742048614</v>
      </c>
      <c r="D263" s="18"/>
      <c r="E263" s="18"/>
      <c r="G263" s="18"/>
      <c r="H263" s="18"/>
      <c r="I263" s="18"/>
      <c r="J263" s="42"/>
      <c r="K263" s="18"/>
      <c r="L263" s="18"/>
      <c r="M263" s="18"/>
      <c r="P263" s="18"/>
      <c r="Q263" s="18"/>
      <c r="R263" s="42"/>
      <c r="S263" s="18"/>
      <c r="T263" s="18"/>
      <c r="U263" s="18"/>
      <c r="V263" s="42"/>
      <c r="W263" s="18"/>
      <c r="X263" s="18"/>
    </row>
    <row r="264" spans="1:26" x14ac:dyDescent="0.25">
      <c r="A264" s="9"/>
      <c r="B264" s="56" t="s">
        <v>313</v>
      </c>
      <c r="D264" s="18"/>
      <c r="E264" s="18"/>
      <c r="G264" s="18"/>
      <c r="H264" s="18"/>
      <c r="I264" s="18"/>
      <c r="J264" s="42"/>
      <c r="K264" s="18"/>
      <c r="L264" s="18"/>
      <c r="M264" s="18"/>
      <c r="P264" s="18"/>
      <c r="Q264" s="18"/>
      <c r="R264" s="42"/>
      <c r="S264" s="18"/>
      <c r="T264" s="18"/>
      <c r="U264" s="18"/>
      <c r="V264" s="42"/>
      <c r="W264" s="18"/>
      <c r="X264" s="18"/>
    </row>
    <row r="265" spans="1:26" x14ac:dyDescent="0.25">
      <c r="A265" s="9"/>
      <c r="B265" s="57"/>
      <c r="D265" s="18"/>
      <c r="E265" s="18"/>
      <c r="G265" s="18"/>
      <c r="H265" s="18"/>
      <c r="I265" s="18"/>
      <c r="J265" s="42"/>
      <c r="K265" s="18"/>
      <c r="L265" s="18"/>
      <c r="M265" s="18"/>
      <c r="P265" s="18"/>
      <c r="Q265" s="18"/>
      <c r="R265" s="42"/>
      <c r="S265" s="18"/>
      <c r="T265" s="18"/>
      <c r="U265" s="18"/>
      <c r="V265" s="42"/>
      <c r="W265" s="18"/>
      <c r="X265" s="18"/>
    </row>
    <row r="266" spans="1:26" x14ac:dyDescent="0.25">
      <c r="D266" s="18"/>
      <c r="E266" s="18"/>
      <c r="G266" s="18"/>
      <c r="H266" s="18"/>
      <c r="I266" s="18"/>
      <c r="J266" s="42"/>
      <c r="K266" s="18"/>
      <c r="L266" s="18"/>
      <c r="M266" s="18"/>
      <c r="P266" s="18"/>
      <c r="Q266" s="18"/>
      <c r="R266" s="42"/>
      <c r="S266" s="18"/>
      <c r="T266" s="18"/>
      <c r="U266" s="18"/>
      <c r="V266" s="42"/>
      <c r="W266" s="18"/>
      <c r="X266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9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625039.46000000054</v>
      </c>
      <c r="E12" s="4"/>
      <c r="F12" s="12"/>
      <c r="G12" s="4"/>
      <c r="H12" s="4">
        <f>SUM(OSRRefH13x_0)</f>
        <v>651604.49999999965</v>
      </c>
      <c r="I12" s="4"/>
      <c r="J12" s="12"/>
      <c r="K12" s="4"/>
      <c r="L12" s="4">
        <f t="shared" ref="L12:L121" si="0">+D12-H12</f>
        <v>-26565.039999999106</v>
      </c>
      <c r="M12" s="4"/>
      <c r="N12" s="12">
        <f t="shared" ref="N12:N121" si="1">IF(H12=0,0,L12/H12)</f>
        <v>-4.0768656447276098E-2</v>
      </c>
      <c r="O12" s="10"/>
      <c r="P12" s="4">
        <f>SUM(OSRRefP13x_0)</f>
        <v>5959220.8699999982</v>
      </c>
      <c r="Q12" s="4"/>
      <c r="R12" s="12"/>
      <c r="S12" s="4"/>
      <c r="T12" s="4">
        <f>SUM(OSRRefT13x_0)</f>
        <v>6201409.5299999993</v>
      </c>
      <c r="U12" s="4"/>
      <c r="V12" s="12"/>
      <c r="W12" s="4"/>
      <c r="X12" s="4">
        <f t="shared" ref="X12:X121" si="2">+P12-T12</f>
        <v>-242188.66000000108</v>
      </c>
      <c r="Y12" s="4"/>
      <c r="Z12" s="12">
        <f t="shared" ref="Z12:Z121" si="3">IF(T12=0,0,X12/T12)</f>
        <v>-3.905380846537982E-2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--31204.32</f>
        <v>31204.32</v>
      </c>
      <c r="E13" s="2"/>
      <c r="F13" s="19"/>
      <c r="G13" s="2"/>
      <c r="H13" s="2">
        <f>--48405.77</f>
        <v>48405.77</v>
      </c>
      <c r="I13" s="2"/>
      <c r="J13" s="19"/>
      <c r="K13" s="2"/>
      <c r="L13" s="2">
        <f t="shared" si="0"/>
        <v>-17201.449999999997</v>
      </c>
      <c r="M13" s="2"/>
      <c r="N13" s="19">
        <f t="shared" si="1"/>
        <v>-0.35535949536594497</v>
      </c>
      <c r="O13" s="11"/>
      <c r="P13" s="2">
        <f>--1495159.74</f>
        <v>1495159.74</v>
      </c>
      <c r="Q13" s="2"/>
      <c r="R13" s="19"/>
      <c r="S13" s="2"/>
      <c r="T13" s="2">
        <f>--1838816.03</f>
        <v>1838816.03</v>
      </c>
      <c r="U13" s="2"/>
      <c r="V13" s="19"/>
      <c r="W13" s="2"/>
      <c r="X13" s="2">
        <f t="shared" si="2"/>
        <v>-343656.29000000004</v>
      </c>
      <c r="Y13" s="2"/>
      <c r="Z13" s="19">
        <f t="shared" si="3"/>
        <v>-0.18688997941789753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--8985.78</f>
        <v>8985.7800000000007</v>
      </c>
      <c r="E14" s="2"/>
      <c r="F14" s="19"/>
      <c r="G14" s="2"/>
      <c r="H14" s="2">
        <f>--11150.82</f>
        <v>11150.82</v>
      </c>
      <c r="I14" s="2"/>
      <c r="J14" s="19"/>
      <c r="K14" s="2"/>
      <c r="L14" s="2">
        <f t="shared" si="0"/>
        <v>-2165.0399999999991</v>
      </c>
      <c r="M14" s="2"/>
      <c r="N14" s="19">
        <f t="shared" si="1"/>
        <v>-0.19415971202117863</v>
      </c>
      <c r="O14" s="11"/>
      <c r="P14" s="2">
        <f>--666296.36</f>
        <v>666296.36</v>
      </c>
      <c r="Q14" s="2"/>
      <c r="R14" s="19"/>
      <c r="S14" s="2"/>
      <c r="T14" s="2">
        <f>--740611.19</f>
        <v>740611.19</v>
      </c>
      <c r="U14" s="2"/>
      <c r="V14" s="19"/>
      <c r="W14" s="2"/>
      <c r="X14" s="2">
        <f t="shared" si="2"/>
        <v>-74314.829999999958</v>
      </c>
      <c r="Y14" s="2"/>
      <c r="Z14" s="19">
        <f t="shared" si="3"/>
        <v>-0.10034256976322484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--307.97</f>
        <v>307.97000000000003</v>
      </c>
      <c r="E15" s="2"/>
      <c r="F15" s="19"/>
      <c r="G15" s="2"/>
      <c r="H15" s="2">
        <f>--85</f>
        <v>85</v>
      </c>
      <c r="I15" s="2"/>
      <c r="J15" s="19"/>
      <c r="K15" s="2"/>
      <c r="L15" s="2">
        <f t="shared" si="0"/>
        <v>222.97000000000003</v>
      </c>
      <c r="M15" s="2"/>
      <c r="N15" s="19">
        <f t="shared" si="1"/>
        <v>2.6231764705882354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--460.04</f>
        <v>460.04</v>
      </c>
      <c r="E16" s="2"/>
      <c r="F16" s="19"/>
      <c r="G16" s="2"/>
      <c r="H16" s="2">
        <f>--180.48</f>
        <v>180.48</v>
      </c>
      <c r="I16" s="2"/>
      <c r="J16" s="19"/>
      <c r="K16" s="2"/>
      <c r="L16" s="2">
        <f t="shared" si="0"/>
        <v>279.56000000000006</v>
      </c>
      <c r="M16" s="2"/>
      <c r="N16" s="19">
        <f t="shared" si="1"/>
        <v>1.5489804964539011</v>
      </c>
      <c r="O16" s="11"/>
      <c r="P16" s="2">
        <f>--30160.48</f>
        <v>30160.48</v>
      </c>
      <c r="Q16" s="2"/>
      <c r="R16" s="19"/>
      <c r="S16" s="2"/>
      <c r="T16" s="2">
        <f>--42280.28</f>
        <v>42280.28</v>
      </c>
      <c r="U16" s="2"/>
      <c r="V16" s="19"/>
      <c r="W16" s="2"/>
      <c r="X16" s="2">
        <f t="shared" si="2"/>
        <v>-12119.8</v>
      </c>
      <c r="Y16" s="2"/>
      <c r="Z16" s="19">
        <f t="shared" si="3"/>
        <v>-0.2866537307699949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--5.23</f>
        <v>5.23</v>
      </c>
      <c r="I17" s="2"/>
      <c r="J17" s="19"/>
      <c r="K17" s="2"/>
      <c r="L17" s="2">
        <f t="shared" si="0"/>
        <v>-5.23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--5.23</f>
        <v>5.23</v>
      </c>
      <c r="U17" s="2"/>
      <c r="V17" s="19"/>
      <c r="W17" s="2"/>
      <c r="X17" s="2">
        <f t="shared" si="2"/>
        <v>4.3699999999999992</v>
      </c>
      <c r="Y17" s="2"/>
      <c r="Z17" s="19">
        <f t="shared" si="3"/>
        <v>0.83556405353728469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--686.63</f>
        <v>686.63</v>
      </c>
      <c r="E18" s="2"/>
      <c r="F18" s="19"/>
      <c r="G18" s="2"/>
      <c r="H18" s="2">
        <f>--735.51</f>
        <v>735.51</v>
      </c>
      <c r="I18" s="2"/>
      <c r="J18" s="19"/>
      <c r="K18" s="2"/>
      <c r="L18" s="2">
        <f t="shared" si="0"/>
        <v>-48.879999999999995</v>
      </c>
      <c r="M18" s="2"/>
      <c r="N18" s="19">
        <f t="shared" si="1"/>
        <v>-6.6457288140202034E-2</v>
      </c>
      <c r="O18" s="11"/>
      <c r="P18" s="2">
        <f>--827.39</f>
        <v>827.39</v>
      </c>
      <c r="Q18" s="2"/>
      <c r="R18" s="19"/>
      <c r="S18" s="2"/>
      <c r="T18" s="2">
        <f>--2008.49</f>
        <v>2008.49</v>
      </c>
      <c r="U18" s="2"/>
      <c r="V18" s="19"/>
      <c r="W18" s="2"/>
      <c r="X18" s="2">
        <f t="shared" si="2"/>
        <v>-1181.0999999999999</v>
      </c>
      <c r="Y18" s="2"/>
      <c r="Z18" s="19">
        <f t="shared" si="3"/>
        <v>-0.58805371199259138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--171.13</f>
        <v>171.13</v>
      </c>
      <c r="E19" s="2"/>
      <c r="F19" s="19"/>
      <c r="G19" s="2"/>
      <c r="H19" s="2">
        <f>--228.75</f>
        <v>228.75</v>
      </c>
      <c r="I19" s="2"/>
      <c r="J19" s="19"/>
      <c r="K19" s="2"/>
      <c r="L19" s="2">
        <f t="shared" si="0"/>
        <v>-57.620000000000005</v>
      </c>
      <c r="M19" s="2"/>
      <c r="N19" s="19">
        <f t="shared" si="1"/>
        <v>-0.25189071038251371</v>
      </c>
      <c r="O19" s="11"/>
      <c r="P19" s="2">
        <f>--694.22</f>
        <v>694.22</v>
      </c>
      <c r="Q19" s="2"/>
      <c r="R19" s="19"/>
      <c r="S19" s="2"/>
      <c r="T19" s="2">
        <f>--816.62</f>
        <v>816.62</v>
      </c>
      <c r="U19" s="2"/>
      <c r="V19" s="19"/>
      <c r="W19" s="2"/>
      <c r="X19" s="2">
        <f t="shared" si="2"/>
        <v>-122.39999999999998</v>
      </c>
      <c r="Y19" s="2"/>
      <c r="Z19" s="19">
        <f t="shared" si="3"/>
        <v>-0.14988611594131906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--2.98</f>
        <v>2.98</v>
      </c>
      <c r="E20" s="2"/>
      <c r="F20" s="19"/>
      <c r="G20" s="2"/>
      <c r="H20" s="2">
        <f>--23.84</f>
        <v>23.84</v>
      </c>
      <c r="I20" s="2"/>
      <c r="J20" s="19"/>
      <c r="K20" s="2"/>
      <c r="L20" s="2">
        <f t="shared" si="0"/>
        <v>-20.86</v>
      </c>
      <c r="M20" s="2"/>
      <c r="N20" s="19">
        <f t="shared" si="1"/>
        <v>-0.875</v>
      </c>
      <c r="O20" s="11"/>
      <c r="P20" s="2">
        <f>--225.67</f>
        <v>225.67</v>
      </c>
      <c r="Q20" s="2"/>
      <c r="R20" s="19"/>
      <c r="S20" s="2"/>
      <c r="T20" s="2">
        <f>--633.13</f>
        <v>633.13</v>
      </c>
      <c r="U20" s="2"/>
      <c r="V20" s="19"/>
      <c r="W20" s="2"/>
      <c r="X20" s="2">
        <f t="shared" si="2"/>
        <v>-407.46000000000004</v>
      </c>
      <c r="Y20" s="2"/>
      <c r="Z20" s="19">
        <f t="shared" si="3"/>
        <v>-0.643564512817273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--394.68</f>
        <v>394.68</v>
      </c>
      <c r="E21" s="2"/>
      <c r="F21" s="19"/>
      <c r="G21" s="2"/>
      <c r="H21" s="2">
        <f>--603.17</f>
        <v>603.16999999999996</v>
      </c>
      <c r="I21" s="2"/>
      <c r="J21" s="19"/>
      <c r="K21" s="2"/>
      <c r="L21" s="2">
        <f t="shared" si="0"/>
        <v>-208.48999999999995</v>
      </c>
      <c r="M21" s="2"/>
      <c r="N21" s="19">
        <f t="shared" si="1"/>
        <v>-0.34565711159374629</v>
      </c>
      <c r="O21" s="11"/>
      <c r="P21" s="2">
        <f>--2454.83</f>
        <v>2454.83</v>
      </c>
      <c r="Q21" s="2"/>
      <c r="R21" s="19"/>
      <c r="S21" s="2"/>
      <c r="T21" s="2">
        <f>--3429.78</f>
        <v>3429.78</v>
      </c>
      <c r="U21" s="2"/>
      <c r="V21" s="19"/>
      <c r="W21" s="2"/>
      <c r="X21" s="2">
        <f t="shared" si="2"/>
        <v>-974.95000000000027</v>
      </c>
      <c r="Y21" s="2"/>
      <c r="Z21" s="19">
        <f t="shared" si="3"/>
        <v>-0.28426021494090004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--14.95</f>
        <v>14.95</v>
      </c>
      <c r="E22" s="2"/>
      <c r="F22" s="19"/>
      <c r="G22" s="2"/>
      <c r="H22" s="2">
        <f>--14.58</f>
        <v>14.58</v>
      </c>
      <c r="I22" s="2"/>
      <c r="J22" s="19"/>
      <c r="K22" s="2"/>
      <c r="L22" s="2">
        <f t="shared" si="0"/>
        <v>0.36999999999999922</v>
      </c>
      <c r="M22" s="2"/>
      <c r="N22" s="19">
        <f t="shared" si="1"/>
        <v>2.537722908093273E-2</v>
      </c>
      <c r="O22" s="11"/>
      <c r="P22" s="2">
        <f>--29.9</f>
        <v>29.9</v>
      </c>
      <c r="Q22" s="2"/>
      <c r="R22" s="19"/>
      <c r="S22" s="2"/>
      <c r="T22" s="2">
        <f>--54.48</f>
        <v>54.48</v>
      </c>
      <c r="U22" s="2"/>
      <c r="V22" s="19"/>
      <c r="W22" s="2"/>
      <c r="X22" s="2">
        <f t="shared" si="2"/>
        <v>-24.58</v>
      </c>
      <c r="Y22" s="2"/>
      <c r="Z22" s="19">
        <f t="shared" si="3"/>
        <v>-0.4511747430249633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--10035.97</f>
        <v>10035.969999999999</v>
      </c>
      <c r="E23" s="2"/>
      <c r="F23" s="19"/>
      <c r="G23" s="2"/>
      <c r="H23" s="2">
        <f>--8910.31</f>
        <v>8910.31</v>
      </c>
      <c r="I23" s="2"/>
      <c r="J23" s="19"/>
      <c r="K23" s="2"/>
      <c r="L23" s="2">
        <f t="shared" si="0"/>
        <v>1125.6599999999999</v>
      </c>
      <c r="M23" s="2"/>
      <c r="N23" s="19">
        <f t="shared" si="1"/>
        <v>0.1263323049366408</v>
      </c>
      <c r="O23" s="11"/>
      <c r="P23" s="2">
        <f>--26332.04</f>
        <v>26332.04</v>
      </c>
      <c r="Q23" s="2"/>
      <c r="R23" s="19"/>
      <c r="S23" s="2"/>
      <c r="T23" s="2">
        <f>--25209.73</f>
        <v>25209.73</v>
      </c>
      <c r="U23" s="2"/>
      <c r="V23" s="19"/>
      <c r="W23" s="2"/>
      <c r="X23" s="2">
        <f t="shared" si="2"/>
        <v>1122.3100000000013</v>
      </c>
      <c r="Y23" s="2"/>
      <c r="Z23" s="19">
        <f t="shared" si="3"/>
        <v>4.4518921860726049E-2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--12565.24</f>
        <v>12565.24</v>
      </c>
      <c r="E24" s="2"/>
      <c r="F24" s="19"/>
      <c r="G24" s="2"/>
      <c r="H24" s="2">
        <f>--9174.14</f>
        <v>9174.14</v>
      </c>
      <c r="I24" s="2"/>
      <c r="J24" s="19"/>
      <c r="K24" s="2"/>
      <c r="L24" s="2">
        <f t="shared" si="0"/>
        <v>3391.1000000000004</v>
      </c>
      <c r="M24" s="2"/>
      <c r="N24" s="19">
        <f t="shared" si="1"/>
        <v>0.36963682699413791</v>
      </c>
      <c r="O24" s="11"/>
      <c r="P24" s="2">
        <f>--37064.54</f>
        <v>37064.54</v>
      </c>
      <c r="Q24" s="2"/>
      <c r="R24" s="19"/>
      <c r="S24" s="2"/>
      <c r="T24" s="2">
        <f>--32634.34</f>
        <v>32634.34</v>
      </c>
      <c r="U24" s="2"/>
      <c r="V24" s="19"/>
      <c r="W24" s="2"/>
      <c r="X24" s="2">
        <f t="shared" si="2"/>
        <v>4430.2000000000007</v>
      </c>
      <c r="Y24" s="2"/>
      <c r="Z24" s="19">
        <f t="shared" si="3"/>
        <v>0.13575270711771711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--20952.95</f>
        <v>20952.95</v>
      </c>
      <c r="E25" s="2"/>
      <c r="F25" s="19"/>
      <c r="G25" s="2"/>
      <c r="H25" s="2">
        <f>--17904.21</f>
        <v>17904.21</v>
      </c>
      <c r="I25" s="2"/>
      <c r="J25" s="19"/>
      <c r="K25" s="2"/>
      <c r="L25" s="2">
        <f t="shared" si="0"/>
        <v>3048.7400000000016</v>
      </c>
      <c r="M25" s="2"/>
      <c r="N25" s="19">
        <f t="shared" si="1"/>
        <v>0.17028062114999779</v>
      </c>
      <c r="O25" s="11"/>
      <c r="P25" s="2">
        <f>--144273.54</f>
        <v>144273.54</v>
      </c>
      <c r="Q25" s="2"/>
      <c r="R25" s="19"/>
      <c r="S25" s="2"/>
      <c r="T25" s="2">
        <f>--132898.26</f>
        <v>132898.26</v>
      </c>
      <c r="U25" s="2"/>
      <c r="V25" s="19"/>
      <c r="W25" s="2"/>
      <c r="X25" s="2">
        <f t="shared" si="2"/>
        <v>11375.279999999999</v>
      </c>
      <c r="Y25" s="2"/>
      <c r="Z25" s="19">
        <f t="shared" si="3"/>
        <v>8.5593897166147986E-2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--45836.99</f>
        <v>45836.99</v>
      </c>
      <c r="E26" s="2"/>
      <c r="F26" s="19"/>
      <c r="G26" s="2"/>
      <c r="H26" s="2">
        <f>--55157</f>
        <v>55157</v>
      </c>
      <c r="I26" s="2"/>
      <c r="J26" s="19"/>
      <c r="K26" s="2"/>
      <c r="L26" s="2">
        <f t="shared" si="0"/>
        <v>-9320.010000000002</v>
      </c>
      <c r="M26" s="2"/>
      <c r="N26" s="19">
        <f t="shared" si="1"/>
        <v>-0.16897238791087263</v>
      </c>
      <c r="O26" s="11"/>
      <c r="P26" s="2">
        <f>--146564.67</f>
        <v>146564.67000000001</v>
      </c>
      <c r="Q26" s="2"/>
      <c r="R26" s="19"/>
      <c r="S26" s="2"/>
      <c r="T26" s="2">
        <f>--154844.8</f>
        <v>154844.79999999999</v>
      </c>
      <c r="U26" s="2"/>
      <c r="V26" s="19"/>
      <c r="W26" s="2"/>
      <c r="X26" s="2">
        <f t="shared" si="2"/>
        <v>-8280.1299999999756</v>
      </c>
      <c r="Y26" s="2"/>
      <c r="Z26" s="19">
        <f t="shared" si="3"/>
        <v>-5.3473736283039378E-2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--100.46</f>
        <v>100.46</v>
      </c>
      <c r="E27" s="2"/>
      <c r="F27" s="19"/>
      <c r="G27" s="2"/>
      <c r="H27" s="2">
        <f>--130.84</f>
        <v>130.84</v>
      </c>
      <c r="I27" s="2"/>
      <c r="J27" s="19"/>
      <c r="K27" s="2"/>
      <c r="L27" s="2">
        <f t="shared" si="0"/>
        <v>-30.38000000000001</v>
      </c>
      <c r="M27" s="2"/>
      <c r="N27" s="19">
        <f t="shared" si="1"/>
        <v>-0.23219199021705908</v>
      </c>
      <c r="O27" s="11"/>
      <c r="P27" s="2">
        <f>--221.28</f>
        <v>221.28</v>
      </c>
      <c r="Q27" s="2"/>
      <c r="R27" s="19"/>
      <c r="S27" s="2"/>
      <c r="T27" s="2">
        <f>--245.9</f>
        <v>245.9</v>
      </c>
      <c r="U27" s="2"/>
      <c r="V27" s="19"/>
      <c r="W27" s="2"/>
      <c r="X27" s="2">
        <f t="shared" si="2"/>
        <v>-24.620000000000005</v>
      </c>
      <c r="Y27" s="2"/>
      <c r="Z27" s="19">
        <f t="shared" si="3"/>
        <v>-0.10012200081333877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--32.07</f>
        <v>32.07</v>
      </c>
      <c r="E28" s="2"/>
      <c r="F28" s="19"/>
      <c r="G28" s="2"/>
      <c r="H28" s="2">
        <f>--127.15</f>
        <v>127.15</v>
      </c>
      <c r="I28" s="2"/>
      <c r="J28" s="19"/>
      <c r="K28" s="2"/>
      <c r="L28" s="2">
        <f t="shared" si="0"/>
        <v>-95.080000000000013</v>
      </c>
      <c r="M28" s="2"/>
      <c r="N28" s="19">
        <f t="shared" si="1"/>
        <v>-0.74777821470703898</v>
      </c>
      <c r="O28" s="11"/>
      <c r="P28" s="2">
        <f>--53.42</f>
        <v>53.42</v>
      </c>
      <c r="Q28" s="2"/>
      <c r="R28" s="19"/>
      <c r="S28" s="2"/>
      <c r="T28" s="2">
        <f>--183.3</f>
        <v>183.3</v>
      </c>
      <c r="U28" s="2"/>
      <c r="V28" s="19"/>
      <c r="W28" s="2"/>
      <c r="X28" s="2">
        <f t="shared" si="2"/>
        <v>-129.88</v>
      </c>
      <c r="Y28" s="2"/>
      <c r="Z28" s="19">
        <f t="shared" si="3"/>
        <v>-0.70856519367157655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--44.43</f>
        <v>44.43</v>
      </c>
      <c r="E29" s="2"/>
      <c r="F29" s="19"/>
      <c r="G29" s="2"/>
      <c r="H29" s="2">
        <f>--43.82</f>
        <v>43.82</v>
      </c>
      <c r="I29" s="2"/>
      <c r="J29" s="19"/>
      <c r="K29" s="2"/>
      <c r="L29" s="2">
        <f t="shared" si="0"/>
        <v>0.60999999999999943</v>
      </c>
      <c r="M29" s="2"/>
      <c r="N29" s="19">
        <f t="shared" si="1"/>
        <v>1.3920584208124131E-2</v>
      </c>
      <c r="O29" s="11"/>
      <c r="P29" s="2">
        <f>--85.4</f>
        <v>85.4</v>
      </c>
      <c r="Q29" s="2"/>
      <c r="R29" s="19"/>
      <c r="S29" s="2"/>
      <c r="T29" s="2">
        <f>--73.67</f>
        <v>73.67</v>
      </c>
      <c r="U29" s="2"/>
      <c r="V29" s="19"/>
      <c r="W29" s="2"/>
      <c r="X29" s="2">
        <f t="shared" si="2"/>
        <v>11.730000000000004</v>
      </c>
      <c r="Y29" s="2"/>
      <c r="Z29" s="19">
        <f t="shared" si="3"/>
        <v>0.1592235645445908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--1854.69</f>
        <v>1854.69</v>
      </c>
      <c r="E30" s="2"/>
      <c r="F30" s="19"/>
      <c r="G30" s="2"/>
      <c r="H30" s="2">
        <f>--1612.65</f>
        <v>1612.65</v>
      </c>
      <c r="I30" s="2"/>
      <c r="J30" s="19"/>
      <c r="K30" s="2"/>
      <c r="L30" s="2">
        <f t="shared" si="0"/>
        <v>242.03999999999996</v>
      </c>
      <c r="M30" s="2"/>
      <c r="N30" s="19">
        <f t="shared" si="1"/>
        <v>0.15008836387312804</v>
      </c>
      <c r="O30" s="11"/>
      <c r="P30" s="2">
        <f>--3714.24</f>
        <v>3714.24</v>
      </c>
      <c r="Q30" s="2"/>
      <c r="R30" s="19"/>
      <c r="S30" s="2"/>
      <c r="T30" s="2">
        <f>--3018.46</f>
        <v>3018.46</v>
      </c>
      <c r="U30" s="2"/>
      <c r="V30" s="19"/>
      <c r="W30" s="2"/>
      <c r="X30" s="2">
        <f t="shared" si="2"/>
        <v>695.77999999999975</v>
      </c>
      <c r="Y30" s="2"/>
      <c r="Z30" s="19">
        <f t="shared" si="3"/>
        <v>0.23050827243031205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--425.93</f>
        <v>425.93</v>
      </c>
      <c r="E31" s="2"/>
      <c r="F31" s="19"/>
      <c r="G31" s="2"/>
      <c r="H31" s="2">
        <f>--517.17</f>
        <v>517.16999999999996</v>
      </c>
      <c r="I31" s="2"/>
      <c r="J31" s="19"/>
      <c r="K31" s="2"/>
      <c r="L31" s="2">
        <f t="shared" si="0"/>
        <v>-91.239999999999952</v>
      </c>
      <c r="M31" s="2"/>
      <c r="N31" s="19">
        <f t="shared" si="1"/>
        <v>-0.17642167952510773</v>
      </c>
      <c r="O31" s="11"/>
      <c r="P31" s="2">
        <f>--864.36</f>
        <v>864.36</v>
      </c>
      <c r="Q31" s="2"/>
      <c r="R31" s="19"/>
      <c r="S31" s="2"/>
      <c r="T31" s="2">
        <f>--1144.01</f>
        <v>1144.01</v>
      </c>
      <c r="U31" s="2"/>
      <c r="V31" s="19"/>
      <c r="W31" s="2"/>
      <c r="X31" s="2">
        <f t="shared" si="2"/>
        <v>-279.64999999999998</v>
      </c>
      <c r="Y31" s="2"/>
      <c r="Z31" s="19">
        <f t="shared" si="3"/>
        <v>-0.24444716392339225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--128.42</f>
        <v>128.41999999999999</v>
      </c>
      <c r="E32" s="2"/>
      <c r="F32" s="19"/>
      <c r="G32" s="2"/>
      <c r="H32" s="2">
        <f>--145.84</f>
        <v>145.84</v>
      </c>
      <c r="I32" s="2"/>
      <c r="J32" s="19"/>
      <c r="K32" s="2"/>
      <c r="L32" s="2">
        <f t="shared" si="0"/>
        <v>-17.420000000000016</v>
      </c>
      <c r="M32" s="2"/>
      <c r="N32" s="19">
        <f t="shared" si="1"/>
        <v>-0.11944596818431168</v>
      </c>
      <c r="O32" s="11"/>
      <c r="P32" s="2">
        <f>--302.57</f>
        <v>302.57</v>
      </c>
      <c r="Q32" s="2"/>
      <c r="R32" s="19"/>
      <c r="S32" s="2"/>
      <c r="T32" s="2">
        <f>--303.08</f>
        <v>303.08</v>
      </c>
      <c r="U32" s="2"/>
      <c r="V32" s="19"/>
      <c r="W32" s="2"/>
      <c r="X32" s="2">
        <f t="shared" si="2"/>
        <v>-0.50999999999999091</v>
      </c>
      <c r="Y32" s="2"/>
      <c r="Z32" s="19">
        <f t="shared" si="3"/>
        <v>-1.6827240332585158E-3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--215340.93</f>
        <v>215340.93</v>
      </c>
      <c r="E33" s="2"/>
      <c r="F33" s="19"/>
      <c r="G33" s="2"/>
      <c r="H33" s="2">
        <f>--174982.98</f>
        <v>174982.98</v>
      </c>
      <c r="I33" s="2"/>
      <c r="J33" s="19"/>
      <c r="K33" s="2"/>
      <c r="L33" s="2">
        <f t="shared" si="0"/>
        <v>40357.949999999983</v>
      </c>
      <c r="M33" s="2"/>
      <c r="N33" s="19">
        <f t="shared" si="1"/>
        <v>0.23063928846108336</v>
      </c>
      <c r="O33" s="11"/>
      <c r="P33" s="2">
        <f>--848240.45</f>
        <v>848240.45</v>
      </c>
      <c r="Q33" s="2"/>
      <c r="R33" s="19"/>
      <c r="S33" s="2"/>
      <c r="T33" s="2">
        <f>--718140.33</f>
        <v>718140.33</v>
      </c>
      <c r="U33" s="2"/>
      <c r="V33" s="19"/>
      <c r="W33" s="2"/>
      <c r="X33" s="2">
        <f t="shared" si="2"/>
        <v>130100.12</v>
      </c>
      <c r="Y33" s="2"/>
      <c r="Z33" s="19">
        <f t="shared" si="3"/>
        <v>0.18116253128410154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--27181.29</f>
        <v>27181.29</v>
      </c>
      <c r="E34" s="2"/>
      <c r="F34" s="19"/>
      <c r="G34" s="2"/>
      <c r="H34" s="2">
        <f>--30072.27</f>
        <v>30072.27</v>
      </c>
      <c r="I34" s="2"/>
      <c r="J34" s="19"/>
      <c r="K34" s="2"/>
      <c r="L34" s="2">
        <f t="shared" si="0"/>
        <v>-2890.9799999999996</v>
      </c>
      <c r="M34" s="2"/>
      <c r="N34" s="19">
        <f t="shared" si="1"/>
        <v>-9.6134412201007755E-2</v>
      </c>
      <c r="O34" s="11"/>
      <c r="P34" s="2">
        <f>--228813.9</f>
        <v>228813.9</v>
      </c>
      <c r="Q34" s="2"/>
      <c r="R34" s="19"/>
      <c r="S34" s="2"/>
      <c r="T34" s="2">
        <f>--237024.53</f>
        <v>237024.53</v>
      </c>
      <c r="U34" s="2"/>
      <c r="V34" s="19"/>
      <c r="W34" s="2"/>
      <c r="X34" s="2">
        <f t="shared" si="2"/>
        <v>-8210.6300000000047</v>
      </c>
      <c r="Y34" s="2"/>
      <c r="Z34" s="19">
        <f t="shared" si="3"/>
        <v>-3.4640423081948542E-2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--29192.1</f>
        <v>29192.1</v>
      </c>
      <c r="E35" s="2"/>
      <c r="F35" s="19"/>
      <c r="G35" s="2"/>
      <c r="H35" s="2">
        <f>--28016.78</f>
        <v>28016.78</v>
      </c>
      <c r="I35" s="2"/>
      <c r="J35" s="19"/>
      <c r="K35" s="2"/>
      <c r="L35" s="2">
        <f t="shared" si="0"/>
        <v>1175.3199999999997</v>
      </c>
      <c r="M35" s="2"/>
      <c r="N35" s="19">
        <f t="shared" si="1"/>
        <v>4.1950573906066282E-2</v>
      </c>
      <c r="O35" s="11"/>
      <c r="P35" s="2">
        <f>--124310.37</f>
        <v>124310.37</v>
      </c>
      <c r="Q35" s="2"/>
      <c r="R35" s="19"/>
      <c r="S35" s="2"/>
      <c r="T35" s="2">
        <f>--100527.24</f>
        <v>100527.24</v>
      </c>
      <c r="U35" s="2"/>
      <c r="V35" s="19"/>
      <c r="W35" s="2"/>
      <c r="X35" s="2">
        <f t="shared" si="2"/>
        <v>23783.12999999999</v>
      </c>
      <c r="Y35" s="2"/>
      <c r="Z35" s="19">
        <f t="shared" si="3"/>
        <v>0.23658393486183435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--63.04</f>
        <v>63.04</v>
      </c>
      <c r="E36" s="2"/>
      <c r="F36" s="19"/>
      <c r="G36" s="2"/>
      <c r="H36" s="2">
        <f>--581.91</f>
        <v>581.91</v>
      </c>
      <c r="I36" s="2"/>
      <c r="J36" s="19"/>
      <c r="K36" s="2"/>
      <c r="L36" s="2">
        <f t="shared" si="0"/>
        <v>-518.87</v>
      </c>
      <c r="M36" s="2"/>
      <c r="N36" s="19">
        <f t="shared" si="1"/>
        <v>-0.89166709628636731</v>
      </c>
      <c r="O36" s="11"/>
      <c r="P36" s="2">
        <f>--520.85</f>
        <v>520.85</v>
      </c>
      <c r="Q36" s="2"/>
      <c r="R36" s="19"/>
      <c r="S36" s="2"/>
      <c r="T36" s="2">
        <f>--1397.81</f>
        <v>1397.81</v>
      </c>
      <c r="U36" s="2"/>
      <c r="V36" s="19"/>
      <c r="W36" s="2"/>
      <c r="X36" s="2">
        <f t="shared" si="2"/>
        <v>-876.95999999999992</v>
      </c>
      <c r="Y36" s="2"/>
      <c r="Z36" s="19">
        <f t="shared" si="3"/>
        <v>-0.62738140376732165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--4838.74</f>
        <v>4838.74</v>
      </c>
      <c r="E37" s="2"/>
      <c r="F37" s="19"/>
      <c r="G37" s="2"/>
      <c r="H37" s="2">
        <f>--4689.55</f>
        <v>4689.55</v>
      </c>
      <c r="I37" s="2"/>
      <c r="J37" s="19"/>
      <c r="K37" s="2"/>
      <c r="L37" s="2">
        <f t="shared" si="0"/>
        <v>149.1899999999996</v>
      </c>
      <c r="M37" s="2"/>
      <c r="N37" s="19">
        <f t="shared" si="1"/>
        <v>3.1813286989156656E-2</v>
      </c>
      <c r="O37" s="11"/>
      <c r="P37" s="2">
        <f>--33067.15</f>
        <v>33067.15</v>
      </c>
      <c r="Q37" s="2"/>
      <c r="R37" s="19"/>
      <c r="S37" s="2"/>
      <c r="T37" s="2">
        <f>--35499.98</f>
        <v>35499.980000000003</v>
      </c>
      <c r="U37" s="2"/>
      <c r="V37" s="19"/>
      <c r="W37" s="2"/>
      <c r="X37" s="2">
        <f t="shared" si="2"/>
        <v>-2432.8300000000017</v>
      </c>
      <c r="Y37" s="2"/>
      <c r="Z37" s="19">
        <f t="shared" si="3"/>
        <v>-6.853046114392182E-2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--4525.99</f>
        <v>4525.99</v>
      </c>
      <c r="E38" s="2"/>
      <c r="F38" s="19"/>
      <c r="G38" s="2"/>
      <c r="H38" s="2">
        <f>--9608.62</f>
        <v>9608.6200000000008</v>
      </c>
      <c r="I38" s="2"/>
      <c r="J38" s="19"/>
      <c r="K38" s="2"/>
      <c r="L38" s="2">
        <f t="shared" si="0"/>
        <v>-5082.630000000001</v>
      </c>
      <c r="M38" s="2"/>
      <c r="N38" s="19">
        <f t="shared" si="1"/>
        <v>-0.52896565791965966</v>
      </c>
      <c r="O38" s="11"/>
      <c r="P38" s="2">
        <f>--35853.1</f>
        <v>35853.1</v>
      </c>
      <c r="Q38" s="2"/>
      <c r="R38" s="19"/>
      <c r="S38" s="2"/>
      <c r="T38" s="2">
        <f>--58195.46</f>
        <v>58195.46</v>
      </c>
      <c r="U38" s="2"/>
      <c r="V38" s="19"/>
      <c r="W38" s="2"/>
      <c r="X38" s="2">
        <f t="shared" si="2"/>
        <v>-22342.36</v>
      </c>
      <c r="Y38" s="2"/>
      <c r="Z38" s="19">
        <f t="shared" si="3"/>
        <v>-0.38391929542270137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--402.65</f>
        <v>402.65</v>
      </c>
      <c r="E39" s="2"/>
      <c r="F39" s="19"/>
      <c r="G39" s="2"/>
      <c r="H39" s="2">
        <f>--532.34</f>
        <v>532.34</v>
      </c>
      <c r="I39" s="2"/>
      <c r="J39" s="19"/>
      <c r="K39" s="2"/>
      <c r="L39" s="2">
        <f t="shared" si="0"/>
        <v>-129.69000000000005</v>
      </c>
      <c r="M39" s="2"/>
      <c r="N39" s="19">
        <f t="shared" si="1"/>
        <v>-0.24362249690047721</v>
      </c>
      <c r="O39" s="11"/>
      <c r="P39" s="2">
        <f>--1374</f>
        <v>1374</v>
      </c>
      <c r="Q39" s="2"/>
      <c r="R39" s="19"/>
      <c r="S39" s="2"/>
      <c r="T39" s="2">
        <f>--1181.85</f>
        <v>1181.8499999999999</v>
      </c>
      <c r="U39" s="2"/>
      <c r="V39" s="19"/>
      <c r="W39" s="2"/>
      <c r="X39" s="2">
        <f t="shared" si="2"/>
        <v>192.15000000000009</v>
      </c>
      <c r="Y39" s="2"/>
      <c r="Z39" s="19">
        <f t="shared" si="3"/>
        <v>0.16258408427465423</v>
      </c>
    </row>
    <row r="40" spans="1:26" s="24" customFormat="1" hidden="1" outlineLevel="1" x14ac:dyDescent="0.25">
      <c r="A40" s="44"/>
      <c r="B40" s="11" t="str">
        <f>CONCATENATE("          ", "4081", " - ", "TAXABLE SALES-ELECTRONICS")</f>
        <v xml:space="preserve">          4081 - TAXABLE SALES-ELECTRONICS</v>
      </c>
      <c r="C40" s="11"/>
      <c r="D40" s="2">
        <f>--25652.98</f>
        <v>25652.98</v>
      </c>
      <c r="E40" s="2"/>
      <c r="F40" s="19"/>
      <c r="G40" s="2"/>
      <c r="H40" s="2">
        <f>--27879.03</f>
        <v>27879.03</v>
      </c>
      <c r="I40" s="2"/>
      <c r="J40" s="19"/>
      <c r="K40" s="2"/>
      <c r="L40" s="2">
        <f t="shared" si="0"/>
        <v>-2226.0499999999993</v>
      </c>
      <c r="M40" s="2"/>
      <c r="N40" s="19">
        <f t="shared" si="1"/>
        <v>-7.9846752200489021E-2</v>
      </c>
      <c r="O40" s="11"/>
      <c r="P40" s="2">
        <f>--215249.72</f>
        <v>215249.72</v>
      </c>
      <c r="Q40" s="2"/>
      <c r="R40" s="19"/>
      <c r="S40" s="2"/>
      <c r="T40" s="2">
        <f>--166459.38</f>
        <v>166459.38</v>
      </c>
      <c r="U40" s="2"/>
      <c r="V40" s="19"/>
      <c r="W40" s="2"/>
      <c r="X40" s="2">
        <f t="shared" si="2"/>
        <v>48790.34</v>
      </c>
      <c r="Y40" s="2"/>
      <c r="Z40" s="19">
        <f t="shared" si="3"/>
        <v>0.29310658251881028</v>
      </c>
    </row>
    <row r="41" spans="1:26" s="24" customFormat="1" hidden="1" outlineLevel="1" x14ac:dyDescent="0.25">
      <c r="A41" s="44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--109645.14</f>
        <v>109645.14</v>
      </c>
      <c r="E41" s="2"/>
      <c r="F41" s="19"/>
      <c r="G41" s="2"/>
      <c r="H41" s="2">
        <f>--78564.49</f>
        <v>78564.490000000005</v>
      </c>
      <c r="I41" s="2"/>
      <c r="J41" s="19"/>
      <c r="K41" s="2"/>
      <c r="L41" s="2">
        <f t="shared" si="0"/>
        <v>31080.649999999994</v>
      </c>
      <c r="M41" s="2"/>
      <c r="N41" s="19">
        <f t="shared" si="1"/>
        <v>0.39560684477172819</v>
      </c>
      <c r="O41" s="11"/>
      <c r="P41" s="2">
        <f>--1148561.63</f>
        <v>1148561.6299999999</v>
      </c>
      <c r="Q41" s="2"/>
      <c r="R41" s="19"/>
      <c r="S41" s="2"/>
      <c r="T41" s="2">
        <f>--836890.46</f>
        <v>836890.46</v>
      </c>
      <c r="U41" s="2"/>
      <c r="V41" s="19"/>
      <c r="W41" s="2"/>
      <c r="X41" s="2">
        <f t="shared" si="2"/>
        <v>311671.16999999993</v>
      </c>
      <c r="Y41" s="2"/>
      <c r="Z41" s="19">
        <f t="shared" si="3"/>
        <v>0.37241572809899154</v>
      </c>
    </row>
    <row r="42" spans="1:26" s="24" customFormat="1" hidden="1" outlineLevel="1" x14ac:dyDescent="0.25">
      <c r="A42" s="44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>--12779.9</f>
        <v>12779.9</v>
      </c>
      <c r="E42" s="2"/>
      <c r="F42" s="19"/>
      <c r="G42" s="2"/>
      <c r="H42" s="2">
        <f>--16364.21</f>
        <v>16364.21</v>
      </c>
      <c r="I42" s="2"/>
      <c r="J42" s="19"/>
      <c r="K42" s="2"/>
      <c r="L42" s="2">
        <f t="shared" si="0"/>
        <v>-3584.3099999999995</v>
      </c>
      <c r="M42" s="2"/>
      <c r="N42" s="19">
        <f t="shared" si="1"/>
        <v>-0.2190334883260481</v>
      </c>
      <c r="O42" s="11"/>
      <c r="P42" s="2">
        <f>--54035.91</f>
        <v>54035.91</v>
      </c>
      <c r="Q42" s="2"/>
      <c r="R42" s="19"/>
      <c r="S42" s="2"/>
      <c r="T42" s="2">
        <f>--53686.96</f>
        <v>53686.96</v>
      </c>
      <c r="U42" s="2"/>
      <c r="V42" s="19"/>
      <c r="W42" s="2"/>
      <c r="X42" s="2">
        <f t="shared" si="2"/>
        <v>348.95000000000437</v>
      </c>
      <c r="Y42" s="2"/>
      <c r="Z42" s="19">
        <f t="shared" si="3"/>
        <v>6.4997161321856253E-3</v>
      </c>
    </row>
    <row r="43" spans="1:26" s="24" customFormat="1" hidden="1" outlineLevel="1" x14ac:dyDescent="0.25">
      <c r="A43" s="44"/>
      <c r="B43" s="11" t="str">
        <f>CONCATENATE("          ", "4084", " - ", "TAXABLE SALES-SOFTWARE LICENSE")</f>
        <v xml:space="preserve">          4084 - TAXABLE SALES-SOFTWARE LICENSE</v>
      </c>
      <c r="C43" s="11"/>
      <c r="D43" s="2">
        <f>0</f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--129</f>
        <v>129</v>
      </c>
      <c r="Q43" s="2"/>
      <c r="R43" s="19"/>
      <c r="S43" s="2"/>
      <c r="T43" s="2">
        <f>--278.99</f>
        <v>278.99</v>
      </c>
      <c r="U43" s="2"/>
      <c r="V43" s="19"/>
      <c r="W43" s="2"/>
      <c r="X43" s="2">
        <f t="shared" si="2"/>
        <v>-149.99</v>
      </c>
      <c r="Y43" s="2"/>
      <c r="Z43" s="19">
        <f t="shared" si="3"/>
        <v>-0.53761783576472277</v>
      </c>
    </row>
    <row r="44" spans="1:26" s="24" customFormat="1" hidden="1" outlineLevel="1" x14ac:dyDescent="0.25">
      <c r="A44" s="44"/>
      <c r="B44" s="11" t="str">
        <f>CONCATENATE("          ", "4085", " - ", "TAXABLE SALES-SOFTWARE")</f>
        <v xml:space="preserve">          4085 - TAXABLE SALES-SOFTWARE</v>
      </c>
      <c r="C44" s="11"/>
      <c r="D44" s="2">
        <f>--3913.99</f>
        <v>3913.99</v>
      </c>
      <c r="E44" s="2"/>
      <c r="F44" s="19"/>
      <c r="G44" s="2"/>
      <c r="H44" s="2">
        <f>--1095</f>
        <v>1095</v>
      </c>
      <c r="I44" s="2"/>
      <c r="J44" s="19"/>
      <c r="K44" s="2"/>
      <c r="L44" s="2">
        <f t="shared" si="0"/>
        <v>2818.99</v>
      </c>
      <c r="M44" s="2"/>
      <c r="N44" s="19">
        <f t="shared" si="1"/>
        <v>2.5744200913242006</v>
      </c>
      <c r="O44" s="11"/>
      <c r="P44" s="2">
        <f>--4407.94</f>
        <v>4407.9399999999996</v>
      </c>
      <c r="Q44" s="2"/>
      <c r="R44" s="19"/>
      <c r="S44" s="2"/>
      <c r="T44" s="2">
        <f>--8602.84</f>
        <v>8602.84</v>
      </c>
      <c r="U44" s="2"/>
      <c r="V44" s="19"/>
      <c r="W44" s="2"/>
      <c r="X44" s="2">
        <f t="shared" si="2"/>
        <v>-4194.9000000000005</v>
      </c>
      <c r="Y44" s="2"/>
      <c r="Z44" s="19">
        <f t="shared" si="3"/>
        <v>-0.48761804241390055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--6696.06</f>
        <v>6696.06</v>
      </c>
      <c r="E45" s="2"/>
      <c r="F45" s="19"/>
      <c r="G45" s="2"/>
      <c r="H45" s="2">
        <f>--7570.7</f>
        <v>7570.7</v>
      </c>
      <c r="I45" s="2"/>
      <c r="J45" s="19"/>
      <c r="K45" s="2"/>
      <c r="L45" s="2">
        <f t="shared" si="0"/>
        <v>-874.63999999999942</v>
      </c>
      <c r="M45" s="2"/>
      <c r="N45" s="19">
        <f t="shared" si="1"/>
        <v>-0.11552960756601099</v>
      </c>
      <c r="O45" s="11"/>
      <c r="P45" s="2">
        <f>--27133.09</f>
        <v>27133.09</v>
      </c>
      <c r="Q45" s="2"/>
      <c r="R45" s="19"/>
      <c r="S45" s="2"/>
      <c r="T45" s="2">
        <f>--32449.49</f>
        <v>32449.49</v>
      </c>
      <c r="U45" s="2"/>
      <c r="V45" s="19"/>
      <c r="W45" s="2"/>
      <c r="X45" s="2">
        <f t="shared" si="2"/>
        <v>-5316.4000000000015</v>
      </c>
      <c r="Y45" s="2"/>
      <c r="Z45" s="19">
        <f t="shared" si="3"/>
        <v>-0.16383616506761745</v>
      </c>
    </row>
    <row r="46" spans="1:26" s="24" customFormat="1" hidden="1" outlineLevel="1" x14ac:dyDescent="0.25">
      <c r="A46" s="44"/>
      <c r="B46" s="11" t="str">
        <f>CONCATENATE("          ", "4088", " - ", "TAXABLE SALES-MUSIC")</f>
        <v xml:space="preserve">          4088 - TAXABLE SALES-MUSIC</v>
      </c>
      <c r="C46" s="11"/>
      <c r="D46" s="2">
        <f>--281.98</f>
        <v>281.98</v>
      </c>
      <c r="E46" s="2"/>
      <c r="F46" s="19"/>
      <c r="G46" s="2"/>
      <c r="H46" s="2">
        <f>--115.98</f>
        <v>115.98</v>
      </c>
      <c r="I46" s="2"/>
      <c r="J46" s="19"/>
      <c r="K46" s="2"/>
      <c r="L46" s="2">
        <f t="shared" si="0"/>
        <v>166</v>
      </c>
      <c r="M46" s="2"/>
      <c r="N46" s="19">
        <f t="shared" si="1"/>
        <v>1.4312812553888601</v>
      </c>
      <c r="O46" s="11"/>
      <c r="P46" s="2">
        <f>--817.94</f>
        <v>817.94</v>
      </c>
      <c r="Q46" s="2"/>
      <c r="R46" s="19"/>
      <c r="S46" s="2"/>
      <c r="T46" s="2">
        <f>--913.89</f>
        <v>913.89</v>
      </c>
      <c r="U46" s="2"/>
      <c r="V46" s="19"/>
      <c r="W46" s="2"/>
      <c r="X46" s="2">
        <f t="shared" si="2"/>
        <v>-95.949999999999932</v>
      </c>
      <c r="Y46" s="2"/>
      <c r="Z46" s="19">
        <f t="shared" si="3"/>
        <v>-0.10499075381063359</v>
      </c>
    </row>
    <row r="47" spans="1:26" s="24" customFormat="1" hidden="1" outlineLevel="1" x14ac:dyDescent="0.25">
      <c r="A47" s="44"/>
      <c r="B47" s="11" t="str">
        <f>CONCATENATE("          ", "4092", " - ", "TAXABLE SALES-GRAD MERCH")</f>
        <v xml:space="preserve">          4092 - TAXABLE SALES-GRAD MERCH</v>
      </c>
      <c r="C47" s="11"/>
      <c r="D47" s="2">
        <f>--1178.45</f>
        <v>1178.45</v>
      </c>
      <c r="E47" s="2"/>
      <c r="F47" s="19"/>
      <c r="G47" s="2"/>
      <c r="H47" s="2">
        <f>--300.95</f>
        <v>300.95</v>
      </c>
      <c r="I47" s="2"/>
      <c r="J47" s="19"/>
      <c r="K47" s="2"/>
      <c r="L47" s="2">
        <f t="shared" si="0"/>
        <v>877.5</v>
      </c>
      <c r="M47" s="2"/>
      <c r="N47" s="19">
        <f t="shared" si="1"/>
        <v>2.9157667386609072</v>
      </c>
      <c r="O47" s="11"/>
      <c r="P47" s="2">
        <f>--5051.08</f>
        <v>5051.08</v>
      </c>
      <c r="Q47" s="2"/>
      <c r="R47" s="19"/>
      <c r="S47" s="2"/>
      <c r="T47" s="2">
        <f>--4367.25</f>
        <v>4367.25</v>
      </c>
      <c r="U47" s="2"/>
      <c r="V47" s="19"/>
      <c r="W47" s="2"/>
      <c r="X47" s="2">
        <f t="shared" si="2"/>
        <v>683.82999999999993</v>
      </c>
      <c r="Y47" s="2"/>
      <c r="Z47" s="19">
        <f t="shared" si="3"/>
        <v>0.15658137271738506</v>
      </c>
    </row>
    <row r="48" spans="1:26" s="24" customFormat="1" hidden="1" outlineLevel="1" x14ac:dyDescent="0.25">
      <c r="A48" s="44"/>
      <c r="B48" s="11" t="str">
        <f>CONCATENATE("          ", "4095", " - ", "TAXABLE SALES-CUSTOMER SERVICE")</f>
        <v xml:space="preserve">          4095 - TAXABLE SALES-CUSTOMER SERVICE</v>
      </c>
      <c r="C48" s="11"/>
      <c r="D48" s="2">
        <f>--43.76</f>
        <v>43.76</v>
      </c>
      <c r="E48" s="2"/>
      <c r="F48" s="19"/>
      <c r="G48" s="2"/>
      <c r="H48" s="2">
        <f>--478.17</f>
        <v>478.17</v>
      </c>
      <c r="I48" s="2"/>
      <c r="J48" s="19"/>
      <c r="K48" s="2"/>
      <c r="L48" s="2">
        <f t="shared" si="0"/>
        <v>-434.41</v>
      </c>
      <c r="M48" s="2"/>
      <c r="N48" s="19">
        <f t="shared" si="1"/>
        <v>-0.90848443022356073</v>
      </c>
      <c r="O48" s="11"/>
      <c r="P48" s="2">
        <f>--244.61</f>
        <v>244.61</v>
      </c>
      <c r="Q48" s="2"/>
      <c r="R48" s="19"/>
      <c r="S48" s="2"/>
      <c r="T48" s="2">
        <f>--1098.94</f>
        <v>1098.94</v>
      </c>
      <c r="U48" s="2"/>
      <c r="V48" s="19"/>
      <c r="W48" s="2"/>
      <c r="X48" s="2">
        <f t="shared" si="2"/>
        <v>-854.33</v>
      </c>
      <c r="Y48" s="2"/>
      <c r="Z48" s="19">
        <f t="shared" si="3"/>
        <v>-0.77741277958760258</v>
      </c>
    </row>
    <row r="49" spans="1:26" s="24" customFormat="1" hidden="1" outlineLevel="1" x14ac:dyDescent="0.25">
      <c r="A49" s="44"/>
      <c r="B49" s="11" t="str">
        <f>CONCATENATE("          ", "4100", " - ", "NON-TAXABLE SALES")</f>
        <v xml:space="preserve">          4100 - NON-TAXABLE SALES</v>
      </c>
      <c r="C49" s="11"/>
      <c r="D49" s="2">
        <f>--3713.9</f>
        <v>3713.9</v>
      </c>
      <c r="E49" s="2"/>
      <c r="F49" s="19"/>
      <c r="G49" s="2"/>
      <c r="H49" s="2">
        <f>--4821.88</f>
        <v>4821.88</v>
      </c>
      <c r="I49" s="2"/>
      <c r="J49" s="19"/>
      <c r="K49" s="2"/>
      <c r="L49" s="2">
        <f t="shared" si="0"/>
        <v>-1107.98</v>
      </c>
      <c r="M49" s="2"/>
      <c r="N49" s="19">
        <f t="shared" si="1"/>
        <v>-0.22978174487959052</v>
      </c>
      <c r="O49" s="11"/>
      <c r="P49" s="2">
        <f>--335381.67</f>
        <v>335381.67</v>
      </c>
      <c r="Q49" s="2"/>
      <c r="R49" s="19"/>
      <c r="S49" s="2"/>
      <c r="T49" s="2">
        <f>--390310.29</f>
        <v>390310.29</v>
      </c>
      <c r="U49" s="2"/>
      <c r="V49" s="19"/>
      <c r="W49" s="2"/>
      <c r="X49" s="2">
        <f t="shared" si="2"/>
        <v>-54928.619999999995</v>
      </c>
      <c r="Y49" s="2"/>
      <c r="Z49" s="19">
        <f t="shared" si="3"/>
        <v>-0.14073064791604648</v>
      </c>
    </row>
    <row r="50" spans="1:26" s="24" customFormat="1" hidden="1" outlineLevel="1" x14ac:dyDescent="0.25">
      <c r="A50" s="44"/>
      <c r="B50" s="11" t="str">
        <f>CONCATENATE("          ", "4101", " - ", "NON-TAXABLE SALES-NEW TEXT")</f>
        <v xml:space="preserve">          4101 - NON-TAXABLE SALES-NEW TEXT</v>
      </c>
      <c r="C50" s="11"/>
      <c r="D50" s="2">
        <f>--8438.54</f>
        <v>8438.5400000000009</v>
      </c>
      <c r="E50" s="2"/>
      <c r="F50" s="19"/>
      <c r="G50" s="2"/>
      <c r="H50" s="2">
        <f>--6989.58</f>
        <v>6989.58</v>
      </c>
      <c r="I50" s="2"/>
      <c r="J50" s="19"/>
      <c r="K50" s="2"/>
      <c r="L50" s="2">
        <f t="shared" si="0"/>
        <v>1448.9600000000009</v>
      </c>
      <c r="M50" s="2"/>
      <c r="N50" s="19">
        <f t="shared" si="1"/>
        <v>0.20730287084488638</v>
      </c>
      <c r="O50" s="11"/>
      <c r="P50" s="2">
        <f>--92331.09</f>
        <v>92331.09</v>
      </c>
      <c r="Q50" s="2"/>
      <c r="R50" s="19"/>
      <c r="S50" s="2"/>
      <c r="T50" s="2">
        <f>--148009.28</f>
        <v>148009.28</v>
      </c>
      <c r="U50" s="2"/>
      <c r="V50" s="19"/>
      <c r="W50" s="2"/>
      <c r="X50" s="2">
        <f t="shared" si="2"/>
        <v>-55678.19</v>
      </c>
      <c r="Y50" s="2"/>
      <c r="Z50" s="19">
        <f t="shared" si="3"/>
        <v>-0.37618039895876804</v>
      </c>
    </row>
    <row r="51" spans="1:26" s="24" customFormat="1" hidden="1" outlineLevel="1" x14ac:dyDescent="0.25">
      <c r="A51" s="44"/>
      <c r="B51" s="11" t="str">
        <f>CONCATENATE("          ", "4102", " - ", "NON-TAXABLE SALES-USED TEXT")</f>
        <v xml:space="preserve">          4102 - NON-TAXABLE SALES-USED TEXT</v>
      </c>
      <c r="C51" s="11"/>
      <c r="D51" s="2">
        <f>--578.81</f>
        <v>578.80999999999995</v>
      </c>
      <c r="E51" s="2"/>
      <c r="F51" s="19"/>
      <c r="G51" s="2"/>
      <c r="H51" s="2">
        <f>--1243.24</f>
        <v>1243.24</v>
      </c>
      <c r="I51" s="2"/>
      <c r="J51" s="19"/>
      <c r="K51" s="2"/>
      <c r="L51" s="2">
        <f t="shared" si="0"/>
        <v>-664.43000000000006</v>
      </c>
      <c r="M51" s="2"/>
      <c r="N51" s="19">
        <f t="shared" si="1"/>
        <v>-0.53443422026318332</v>
      </c>
      <c r="O51" s="11"/>
      <c r="P51" s="2">
        <f>--37022.32</f>
        <v>37022.32</v>
      </c>
      <c r="Q51" s="2"/>
      <c r="R51" s="19"/>
      <c r="S51" s="2"/>
      <c r="T51" s="2">
        <f>--50495.17</f>
        <v>50495.17</v>
      </c>
      <c r="U51" s="2"/>
      <c r="V51" s="19"/>
      <c r="W51" s="2"/>
      <c r="X51" s="2">
        <f t="shared" si="2"/>
        <v>-13472.849999999999</v>
      </c>
      <c r="Y51" s="2"/>
      <c r="Z51" s="19">
        <f t="shared" si="3"/>
        <v>-0.26681462801293665</v>
      </c>
    </row>
    <row r="52" spans="1:26" s="24" customFormat="1" hidden="1" outlineLevel="1" x14ac:dyDescent="0.25">
      <c r="A52" s="44"/>
      <c r="B52" s="11" t="str">
        <f>CONCATENATE("          ", "4103", " - ", "NON-TAXABLE SALES-RENTAL TEXT")</f>
        <v xml:space="preserve">          4103 - NON-TAXABLE SALES-RENTAL TEXT</v>
      </c>
      <c r="C52" s="11"/>
      <c r="D52" s="2">
        <f>0</f>
        <v>0</v>
      </c>
      <c r="E52" s="2"/>
      <c r="F52" s="19"/>
      <c r="G52" s="2"/>
      <c r="H52" s="2">
        <f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--329.98</f>
        <v>329.98</v>
      </c>
      <c r="Q52" s="2"/>
      <c r="R52" s="19"/>
      <c r="S52" s="2"/>
      <c r="T52" s="2">
        <f>--509.85</f>
        <v>509.85</v>
      </c>
      <c r="U52" s="2"/>
      <c r="V52" s="19"/>
      <c r="W52" s="2"/>
      <c r="X52" s="2">
        <f t="shared" si="2"/>
        <v>-179.87</v>
      </c>
      <c r="Y52" s="2"/>
      <c r="Z52" s="19">
        <f t="shared" si="3"/>
        <v>-0.35279003628518191</v>
      </c>
    </row>
    <row r="53" spans="1:26" s="24" customFormat="1" hidden="1" outlineLevel="1" x14ac:dyDescent="0.25">
      <c r="A53" s="44"/>
      <c r="B53" s="11" t="str">
        <f>CONCATENATE("          ", "4104", " - ", "NON-TAXABLE SALES-DIGITAL TEXT")</f>
        <v xml:space="preserve">          4104 - NON-TAXABLE SALES-DIGITAL TEXT</v>
      </c>
      <c r="C53" s="11"/>
      <c r="D53" s="2">
        <f>--1559.03</f>
        <v>1559.03</v>
      </c>
      <c r="E53" s="2"/>
      <c r="F53" s="19"/>
      <c r="G53" s="2"/>
      <c r="H53" s="2">
        <f>--2584.6</f>
        <v>2584.6</v>
      </c>
      <c r="I53" s="2"/>
      <c r="J53" s="19"/>
      <c r="K53" s="2"/>
      <c r="L53" s="2">
        <f t="shared" si="0"/>
        <v>-1025.57</v>
      </c>
      <c r="M53" s="2"/>
      <c r="N53" s="19">
        <f t="shared" si="1"/>
        <v>-0.39680027857308675</v>
      </c>
      <c r="O53" s="11"/>
      <c r="P53" s="2">
        <f>--320492.85</f>
        <v>320492.84999999998</v>
      </c>
      <c r="Q53" s="2"/>
      <c r="R53" s="19"/>
      <c r="S53" s="2"/>
      <c r="T53" s="2">
        <f>--337326.13</f>
        <v>337326.13</v>
      </c>
      <c r="U53" s="2"/>
      <c r="V53" s="19"/>
      <c r="W53" s="2"/>
      <c r="X53" s="2">
        <f t="shared" si="2"/>
        <v>-16833.280000000028</v>
      </c>
      <c r="Y53" s="2"/>
      <c r="Z53" s="19">
        <f t="shared" si="3"/>
        <v>-4.9902093265054882E-2</v>
      </c>
    </row>
    <row r="54" spans="1:26" s="24" customFormat="1" hidden="1" outlineLevel="1" x14ac:dyDescent="0.25">
      <c r="A54" s="44"/>
      <c r="B54" s="11" t="str">
        <f>CONCATENATE("          ", "4111", " - ", "NON-TAXABLE SALES-NO VALUE TEX")</f>
        <v xml:space="preserve">          4111 - NON-TAXABLE SALES-NO VALUE TEX</v>
      </c>
      <c r="C54" s="11"/>
      <c r="D54" s="2">
        <f>--757.3</f>
        <v>757.3</v>
      </c>
      <c r="E54" s="2"/>
      <c r="F54" s="19"/>
      <c r="G54" s="2"/>
      <c r="H54" s="2">
        <f>--1124.17</f>
        <v>1124.17</v>
      </c>
      <c r="I54" s="2"/>
      <c r="J54" s="19"/>
      <c r="K54" s="2"/>
      <c r="L54" s="2">
        <f t="shared" si="0"/>
        <v>-366.87000000000012</v>
      </c>
      <c r="M54" s="2"/>
      <c r="N54" s="19">
        <f t="shared" si="1"/>
        <v>-0.32634743855466708</v>
      </c>
      <c r="O54" s="11"/>
      <c r="P54" s="2">
        <f>--7099.47</f>
        <v>7099.47</v>
      </c>
      <c r="Q54" s="2"/>
      <c r="R54" s="19"/>
      <c r="S54" s="2"/>
      <c r="T54" s="2">
        <f>--9713.91</f>
        <v>9713.91</v>
      </c>
      <c r="U54" s="2"/>
      <c r="V54" s="19"/>
      <c r="W54" s="2"/>
      <c r="X54" s="2">
        <f t="shared" si="2"/>
        <v>-2614.4399999999996</v>
      </c>
      <c r="Y54" s="2"/>
      <c r="Z54" s="19">
        <f t="shared" si="3"/>
        <v>-0.26914393894940347</v>
      </c>
    </row>
    <row r="55" spans="1:26" s="24" customFormat="1" hidden="1" outlineLevel="1" x14ac:dyDescent="0.25">
      <c r="A55" s="44"/>
      <c r="B55" s="11" t="str">
        <f>CONCATENATE("          ", "4113", " - ", "NON-TAXABLE SALES-TRADE BOOKS")</f>
        <v xml:space="preserve">          4113 - NON-TAXABLE SALES-TRADE BOOKS</v>
      </c>
      <c r="C55" s="11"/>
      <c r="D55" s="2">
        <f t="shared" ref="D55:D57" si="4">0</f>
        <v>0</v>
      </c>
      <c r="E55" s="2"/>
      <c r="F55" s="19"/>
      <c r="G55" s="2"/>
      <c r="H55" s="2">
        <f t="shared" ref="H55:H57" si="5"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--1146.72</f>
        <v>1146.72</v>
      </c>
      <c r="Q55" s="2"/>
      <c r="R55" s="19"/>
      <c r="S55" s="2"/>
      <c r="T55" s="2">
        <f>--38.23</f>
        <v>38.229999999999997</v>
      </c>
      <c r="U55" s="2"/>
      <c r="V55" s="19"/>
      <c r="W55" s="2"/>
      <c r="X55" s="2">
        <f t="shared" si="2"/>
        <v>1108.49</v>
      </c>
      <c r="Y55" s="2"/>
      <c r="Z55" s="19">
        <f t="shared" si="3"/>
        <v>28.995291655767723</v>
      </c>
    </row>
    <row r="56" spans="1:26" s="24" customFormat="1" hidden="1" outlineLevel="1" x14ac:dyDescent="0.25">
      <c r="A56" s="44"/>
      <c r="B56" s="11" t="str">
        <f>CONCATENATE("          ", "4118", " - ", "NON-TAXABLE SALES-STUDY GUIDES")</f>
        <v xml:space="preserve">          4118 - NON-TAXABLE SALES-STUDY GUIDES</v>
      </c>
      <c r="C56" s="11"/>
      <c r="D56" s="2">
        <f t="shared" si="4"/>
        <v>0</v>
      </c>
      <c r="E56" s="2"/>
      <c r="F56" s="19"/>
      <c r="G56" s="2"/>
      <c r="H56" s="2">
        <f t="shared" si="5"/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--20.92</f>
        <v>20.92</v>
      </c>
      <c r="Q56" s="2"/>
      <c r="R56" s="19"/>
      <c r="S56" s="2"/>
      <c r="T56" s="2">
        <f>--111.41</f>
        <v>111.41</v>
      </c>
      <c r="U56" s="2"/>
      <c r="V56" s="19"/>
      <c r="W56" s="2"/>
      <c r="X56" s="2">
        <f t="shared" si="2"/>
        <v>-90.49</v>
      </c>
      <c r="Y56" s="2"/>
      <c r="Z56" s="19">
        <f t="shared" si="3"/>
        <v>-0.81222511444215062</v>
      </c>
    </row>
    <row r="57" spans="1:26" s="24" customFormat="1" hidden="1" outlineLevel="1" x14ac:dyDescent="0.25">
      <c r="A57" s="44"/>
      <c r="B57" s="11" t="str">
        <f>CONCATENATE("          ", "4125", " - ", "NON-TAXABLE SALES-TEST FORMS")</f>
        <v xml:space="preserve">          4125 - NON-TAXABLE SALES-TEST FORMS</v>
      </c>
      <c r="C57" s="11"/>
      <c r="D57" s="2">
        <f t="shared" si="4"/>
        <v>0</v>
      </c>
      <c r="E57" s="2"/>
      <c r="F57" s="19"/>
      <c r="G57" s="2"/>
      <c r="H57" s="2">
        <f t="shared" si="5"/>
        <v>0</v>
      </c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--124.18</f>
        <v>124.18</v>
      </c>
      <c r="Q57" s="2"/>
      <c r="R57" s="19"/>
      <c r="S57" s="2"/>
      <c r="T57" s="2">
        <f>--160.73</f>
        <v>160.72999999999999</v>
      </c>
      <c r="U57" s="2"/>
      <c r="V57" s="19"/>
      <c r="W57" s="2"/>
      <c r="X57" s="2">
        <f t="shared" si="2"/>
        <v>-36.549999999999983</v>
      </c>
      <c r="Y57" s="2"/>
      <c r="Z57" s="19">
        <f t="shared" si="3"/>
        <v>-0.22739998755677213</v>
      </c>
    </row>
    <row r="58" spans="1:26" s="24" customFormat="1" hidden="1" outlineLevel="1" x14ac:dyDescent="0.25">
      <c r="A58" s="44"/>
      <c r="B58" s="11" t="str">
        <f>CONCATENATE("          ", "4126", " - ", "NON-TAXABLE SALES-WRITING INST")</f>
        <v xml:space="preserve">          4126 - NON-TAXABLE SALES-WRITING INST</v>
      </c>
      <c r="C58" s="11"/>
      <c r="D58" s="2">
        <f>--115.27</f>
        <v>115.27</v>
      </c>
      <c r="E58" s="2"/>
      <c r="F58" s="19"/>
      <c r="G58" s="2"/>
      <c r="H58" s="2">
        <f>--96.42</f>
        <v>96.42</v>
      </c>
      <c r="I58" s="2"/>
      <c r="J58" s="19"/>
      <c r="K58" s="2"/>
      <c r="L58" s="2">
        <f t="shared" si="0"/>
        <v>18.849999999999994</v>
      </c>
      <c r="M58" s="2"/>
      <c r="N58" s="19">
        <f t="shared" si="1"/>
        <v>0.19549885915785101</v>
      </c>
      <c r="O58" s="11"/>
      <c r="P58" s="2">
        <f>--1458.53</f>
        <v>1458.53</v>
      </c>
      <c r="Q58" s="2"/>
      <c r="R58" s="19"/>
      <c r="S58" s="2"/>
      <c r="T58" s="2">
        <f>--1791.88</f>
        <v>1791.88</v>
      </c>
      <c r="U58" s="2"/>
      <c r="V58" s="19"/>
      <c r="W58" s="2"/>
      <c r="X58" s="2">
        <f t="shared" si="2"/>
        <v>-333.35000000000014</v>
      </c>
      <c r="Y58" s="2"/>
      <c r="Z58" s="19">
        <f t="shared" si="3"/>
        <v>-0.18603366296850243</v>
      </c>
    </row>
    <row r="59" spans="1:26" s="24" customFormat="1" hidden="1" outlineLevel="1" x14ac:dyDescent="0.25">
      <c r="A59" s="44"/>
      <c r="B59" s="11" t="str">
        <f>CONCATENATE("          ", "4127", " - ", "NON-TAXABLE SALES-SCHOOL SUPPL")</f>
        <v xml:space="preserve">          4127 - NON-TAXABLE SALES-SCHOOL SUPPL</v>
      </c>
      <c r="C59" s="11"/>
      <c r="D59" s="2">
        <f>--179.63</f>
        <v>179.63</v>
      </c>
      <c r="E59" s="2"/>
      <c r="F59" s="19"/>
      <c r="G59" s="2"/>
      <c r="H59" s="2">
        <f>--3738.84</f>
        <v>3738.84</v>
      </c>
      <c r="I59" s="2"/>
      <c r="J59" s="19"/>
      <c r="K59" s="2"/>
      <c r="L59" s="2">
        <f t="shared" si="0"/>
        <v>-3559.21</v>
      </c>
      <c r="M59" s="2"/>
      <c r="N59" s="19">
        <f t="shared" si="1"/>
        <v>-0.95195568679055531</v>
      </c>
      <c r="O59" s="11"/>
      <c r="P59" s="2">
        <f>--2597.12</f>
        <v>2597.12</v>
      </c>
      <c r="Q59" s="2"/>
      <c r="R59" s="19"/>
      <c r="S59" s="2"/>
      <c r="T59" s="2">
        <f>--6275.52</f>
        <v>6275.52</v>
      </c>
      <c r="U59" s="2"/>
      <c r="V59" s="19"/>
      <c r="W59" s="2"/>
      <c r="X59" s="2">
        <f t="shared" si="2"/>
        <v>-3678.4000000000005</v>
      </c>
      <c r="Y59" s="2"/>
      <c r="Z59" s="19">
        <f t="shared" si="3"/>
        <v>-0.58615062974861054</v>
      </c>
    </row>
    <row r="60" spans="1:26" s="24" customFormat="1" hidden="1" outlineLevel="1" x14ac:dyDescent="0.25">
      <c r="A60" s="44"/>
      <c r="B60" s="11" t="str">
        <f>CONCATENATE("          ", "4128", " - ", "NON-TAXABLE SALES-ART/TECH")</f>
        <v xml:space="preserve">          4128 - NON-TAXABLE SALES-ART/TECH</v>
      </c>
      <c r="C60" s="11"/>
      <c r="D60" s="2">
        <f>--85.82</f>
        <v>85.82</v>
      </c>
      <c r="E60" s="2"/>
      <c r="F60" s="19"/>
      <c r="G60" s="2"/>
      <c r="H60" s="2">
        <f>--61.65</f>
        <v>61.65</v>
      </c>
      <c r="I60" s="2"/>
      <c r="J60" s="19"/>
      <c r="K60" s="2"/>
      <c r="L60" s="2">
        <f t="shared" si="0"/>
        <v>24.169999999999995</v>
      </c>
      <c r="M60" s="2"/>
      <c r="N60" s="19">
        <f t="shared" si="1"/>
        <v>0.39205190592051897</v>
      </c>
      <c r="O60" s="11"/>
      <c r="P60" s="2">
        <f>--348.72</f>
        <v>348.72</v>
      </c>
      <c r="Q60" s="2"/>
      <c r="R60" s="19"/>
      <c r="S60" s="2"/>
      <c r="T60" s="2">
        <f>--624.21</f>
        <v>624.21</v>
      </c>
      <c r="U60" s="2"/>
      <c r="V60" s="19"/>
      <c r="W60" s="2"/>
      <c r="X60" s="2">
        <f t="shared" si="2"/>
        <v>-275.49</v>
      </c>
      <c r="Y60" s="2"/>
      <c r="Z60" s="19">
        <f t="shared" si="3"/>
        <v>-0.44134185610611815</v>
      </c>
    </row>
    <row r="61" spans="1:26" s="24" customFormat="1" hidden="1" outlineLevel="1" x14ac:dyDescent="0.25">
      <c r="A61" s="44"/>
      <c r="B61" s="11" t="str">
        <f>CONCATENATE("          ", "4131", " - ", "NON-TAXABLE SALES-FOOD")</f>
        <v xml:space="preserve">          4131 - NON-TAXABLE SALES-FOOD</v>
      </c>
      <c r="C61" s="11"/>
      <c r="D61" s="2">
        <f>--13457.13</f>
        <v>13457.13</v>
      </c>
      <c r="E61" s="2"/>
      <c r="F61" s="19"/>
      <c r="G61" s="2"/>
      <c r="H61" s="2">
        <f>--13610.6</f>
        <v>13610.6</v>
      </c>
      <c r="I61" s="2"/>
      <c r="J61" s="19"/>
      <c r="K61" s="2"/>
      <c r="L61" s="2">
        <f t="shared" si="0"/>
        <v>-153.47000000000116</v>
      </c>
      <c r="M61" s="2"/>
      <c r="N61" s="19">
        <f t="shared" si="1"/>
        <v>-1.127577035545833E-2</v>
      </c>
      <c r="O61" s="11"/>
      <c r="P61" s="2">
        <f>--26722.42</f>
        <v>26722.42</v>
      </c>
      <c r="Q61" s="2"/>
      <c r="R61" s="19"/>
      <c r="S61" s="2"/>
      <c r="T61" s="2">
        <f>--26794.17</f>
        <v>26794.17</v>
      </c>
      <c r="U61" s="2"/>
      <c r="V61" s="19"/>
      <c r="W61" s="2"/>
      <c r="X61" s="2">
        <f t="shared" si="2"/>
        <v>-71.75</v>
      </c>
      <c r="Y61" s="2"/>
      <c r="Z61" s="19">
        <f t="shared" si="3"/>
        <v>-2.6778213320285721E-3</v>
      </c>
    </row>
    <row r="62" spans="1:26" s="24" customFormat="1" hidden="1" outlineLevel="1" x14ac:dyDescent="0.25">
      <c r="A62" s="44"/>
      <c r="B62" s="11" t="str">
        <f>CONCATENATE("          ", "4132", " - ", "NON-TAXABLE SALES-JUICE")</f>
        <v xml:space="preserve">          4132 - NON-TAXABLE SALES-JUICE</v>
      </c>
      <c r="C62" s="11"/>
      <c r="D62" s="2">
        <f>--3958.43</f>
        <v>3958.43</v>
      </c>
      <c r="E62" s="2"/>
      <c r="F62" s="19"/>
      <c r="G62" s="2"/>
      <c r="H62" s="2">
        <f>--3458.58</f>
        <v>3458.58</v>
      </c>
      <c r="I62" s="2"/>
      <c r="J62" s="19"/>
      <c r="K62" s="2"/>
      <c r="L62" s="2">
        <f t="shared" si="0"/>
        <v>499.84999999999991</v>
      </c>
      <c r="M62" s="2"/>
      <c r="N62" s="19">
        <f t="shared" si="1"/>
        <v>0.14452463149616315</v>
      </c>
      <c r="O62" s="11"/>
      <c r="P62" s="2">
        <f>--7768.8</f>
        <v>7768.8</v>
      </c>
      <c r="Q62" s="2"/>
      <c r="R62" s="19"/>
      <c r="S62" s="2"/>
      <c r="T62" s="2">
        <f>--6841.08</f>
        <v>6841.08</v>
      </c>
      <c r="U62" s="2"/>
      <c r="V62" s="19"/>
      <c r="W62" s="2"/>
      <c r="X62" s="2">
        <f t="shared" si="2"/>
        <v>927.72000000000025</v>
      </c>
      <c r="Y62" s="2"/>
      <c r="Z62" s="19">
        <f t="shared" si="3"/>
        <v>0.13561016681576596</v>
      </c>
    </row>
    <row r="63" spans="1:26" s="24" customFormat="1" hidden="1" outlineLevel="1" x14ac:dyDescent="0.25">
      <c r="A63" s="44"/>
      <c r="B63" s="11" t="str">
        <f>CONCATENATE("          ", "4133", " - ", "NON-TAXABLE SALES-CANDY")</f>
        <v xml:space="preserve">          4133 - NON-TAXABLE SALES-CANDY</v>
      </c>
      <c r="C63" s="11"/>
      <c r="D63" s="2">
        <f>--3801.88</f>
        <v>3801.88</v>
      </c>
      <c r="E63" s="2"/>
      <c r="F63" s="19"/>
      <c r="G63" s="2"/>
      <c r="H63" s="2">
        <f>--3409.32</f>
        <v>3409.32</v>
      </c>
      <c r="I63" s="2"/>
      <c r="J63" s="19"/>
      <c r="K63" s="2"/>
      <c r="L63" s="2">
        <f t="shared" si="0"/>
        <v>392.55999999999995</v>
      </c>
      <c r="M63" s="2"/>
      <c r="N63" s="19">
        <f t="shared" si="1"/>
        <v>0.11514319571058156</v>
      </c>
      <c r="O63" s="11"/>
      <c r="P63" s="2">
        <f>--8466.86</f>
        <v>8466.86</v>
      </c>
      <c r="Q63" s="2"/>
      <c r="R63" s="19"/>
      <c r="S63" s="2"/>
      <c r="T63" s="2">
        <f>--7215.99</f>
        <v>7215.99</v>
      </c>
      <c r="U63" s="2"/>
      <c r="V63" s="19"/>
      <c r="W63" s="2"/>
      <c r="X63" s="2">
        <f t="shared" si="2"/>
        <v>1250.8700000000008</v>
      </c>
      <c r="Y63" s="2"/>
      <c r="Z63" s="19">
        <f t="shared" si="3"/>
        <v>0.17334696971586724</v>
      </c>
    </row>
    <row r="64" spans="1:26" s="24" customFormat="1" hidden="1" outlineLevel="1" x14ac:dyDescent="0.25">
      <c r="A64" s="44"/>
      <c r="B64" s="11" t="str">
        <f>CONCATENATE("          ", "4134", " - ", "NON-TAXABLE SALES-SODA")</f>
        <v xml:space="preserve">          4134 - NON-TAXABLE SALES-SODA</v>
      </c>
      <c r="C64" s="11"/>
      <c r="D64" s="2">
        <f>0</f>
        <v>0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0</f>
        <v>0</v>
      </c>
      <c r="Q64" s="2"/>
      <c r="R64" s="19"/>
      <c r="S64" s="2"/>
      <c r="T64" s="2">
        <f>--109.47</f>
        <v>109.47</v>
      </c>
      <c r="U64" s="2"/>
      <c r="V64" s="19"/>
      <c r="W64" s="2"/>
      <c r="X64" s="2">
        <f t="shared" si="2"/>
        <v>-109.47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>--17.9</f>
        <v>17.899999999999999</v>
      </c>
      <c r="E65" s="2"/>
      <c r="F65" s="19"/>
      <c r="G65" s="2"/>
      <c r="H65" s="2">
        <f>--58.44</f>
        <v>58.44</v>
      </c>
      <c r="I65" s="2"/>
      <c r="J65" s="19"/>
      <c r="K65" s="2"/>
      <c r="L65" s="2">
        <f t="shared" si="0"/>
        <v>-40.54</v>
      </c>
      <c r="M65" s="2"/>
      <c r="N65" s="19">
        <f t="shared" si="1"/>
        <v>-0.69370294318959613</v>
      </c>
      <c r="O65" s="11"/>
      <c r="P65" s="2">
        <f>--103.96</f>
        <v>103.96</v>
      </c>
      <c r="Q65" s="2"/>
      <c r="R65" s="19"/>
      <c r="S65" s="2"/>
      <c r="T65" s="2">
        <f>--109.06</f>
        <v>109.06</v>
      </c>
      <c r="U65" s="2"/>
      <c r="V65" s="19"/>
      <c r="W65" s="2"/>
      <c r="X65" s="2">
        <f t="shared" si="2"/>
        <v>-5.1000000000000085</v>
      </c>
      <c r="Y65" s="2"/>
      <c r="Z65" s="19">
        <f t="shared" si="3"/>
        <v>-4.676324958738317E-2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>--2024.43</f>
        <v>2024.43</v>
      </c>
      <c r="E66" s="2"/>
      <c r="F66" s="19"/>
      <c r="G66" s="2"/>
      <c r="H66" s="2">
        <f>--2014.68</f>
        <v>2014.68</v>
      </c>
      <c r="I66" s="2"/>
      <c r="J66" s="19"/>
      <c r="K66" s="2"/>
      <c r="L66" s="2">
        <f t="shared" si="0"/>
        <v>9.75</v>
      </c>
      <c r="M66" s="2"/>
      <c r="N66" s="19">
        <f t="shared" si="1"/>
        <v>4.8394782297933167E-3</v>
      </c>
      <c r="O66" s="11"/>
      <c r="P66" s="2">
        <f>--4265.3</f>
        <v>4265.3</v>
      </c>
      <c r="Q66" s="2"/>
      <c r="R66" s="19"/>
      <c r="S66" s="2"/>
      <c r="T66" s="2">
        <f>--3828.36</f>
        <v>3828.36</v>
      </c>
      <c r="U66" s="2"/>
      <c r="V66" s="19"/>
      <c r="W66" s="2"/>
      <c r="X66" s="2">
        <f t="shared" si="2"/>
        <v>436.94000000000005</v>
      </c>
      <c r="Y66" s="2"/>
      <c r="Z66" s="19">
        <f t="shared" si="3"/>
        <v>0.11413242223824302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--4377.82</f>
        <v>4377.82</v>
      </c>
      <c r="E67" s="2"/>
      <c r="F67" s="19"/>
      <c r="G67" s="2"/>
      <c r="H67" s="2">
        <f>--3652.71</f>
        <v>3652.71</v>
      </c>
      <c r="I67" s="2"/>
      <c r="J67" s="19"/>
      <c r="K67" s="2"/>
      <c r="L67" s="2">
        <f t="shared" si="0"/>
        <v>725.10999999999967</v>
      </c>
      <c r="M67" s="2"/>
      <c r="N67" s="19">
        <f t="shared" si="1"/>
        <v>0.19851288495391084</v>
      </c>
      <c r="O67" s="11"/>
      <c r="P67" s="2">
        <f>--12635.52</f>
        <v>12635.52</v>
      </c>
      <c r="Q67" s="2"/>
      <c r="R67" s="19"/>
      <c r="S67" s="2"/>
      <c r="T67" s="2">
        <f>--11557.01</f>
        <v>11557.01</v>
      </c>
      <c r="U67" s="2"/>
      <c r="V67" s="19"/>
      <c r="W67" s="2"/>
      <c r="X67" s="2">
        <f t="shared" si="2"/>
        <v>1078.5100000000002</v>
      </c>
      <c r="Y67" s="2"/>
      <c r="Z67" s="19">
        <f t="shared" si="3"/>
        <v>9.3320850289131896E-2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--581.29</f>
        <v>581.29</v>
      </c>
      <c r="E68" s="2"/>
      <c r="F68" s="19"/>
      <c r="G68" s="2"/>
      <c r="H68" s="2">
        <f>--741.24</f>
        <v>741.24</v>
      </c>
      <c r="I68" s="2"/>
      <c r="J68" s="19"/>
      <c r="K68" s="2"/>
      <c r="L68" s="2">
        <f t="shared" si="0"/>
        <v>-159.95000000000005</v>
      </c>
      <c r="M68" s="2"/>
      <c r="N68" s="19">
        <f t="shared" si="1"/>
        <v>-0.21578705952188232</v>
      </c>
      <c r="O68" s="11"/>
      <c r="P68" s="2">
        <f>--1395.93</f>
        <v>1395.93</v>
      </c>
      <c r="Q68" s="2"/>
      <c r="R68" s="19"/>
      <c r="S68" s="2"/>
      <c r="T68" s="2">
        <f>--2469.53</f>
        <v>2469.5300000000002</v>
      </c>
      <c r="U68" s="2"/>
      <c r="V68" s="19"/>
      <c r="W68" s="2"/>
      <c r="X68" s="2">
        <f t="shared" si="2"/>
        <v>-1073.6000000000001</v>
      </c>
      <c r="Y68" s="2"/>
      <c r="Z68" s="19">
        <f t="shared" si="3"/>
        <v>-0.43473859398347053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--2883.11</f>
        <v>2883.11</v>
      </c>
      <c r="E69" s="2"/>
      <c r="F69" s="19"/>
      <c r="G69" s="2"/>
      <c r="H69" s="2">
        <f>--2670.34</f>
        <v>2670.34</v>
      </c>
      <c r="I69" s="2"/>
      <c r="J69" s="19"/>
      <c r="K69" s="2"/>
      <c r="L69" s="2">
        <f t="shared" si="0"/>
        <v>212.76999999999998</v>
      </c>
      <c r="M69" s="2"/>
      <c r="N69" s="19">
        <f t="shared" si="1"/>
        <v>7.9678992188260661E-2</v>
      </c>
      <c r="O69" s="11"/>
      <c r="P69" s="2">
        <f>--5919.61</f>
        <v>5919.61</v>
      </c>
      <c r="Q69" s="2"/>
      <c r="R69" s="19"/>
      <c r="S69" s="2"/>
      <c r="T69" s="2">
        <f>--5118.1</f>
        <v>5118.1000000000004</v>
      </c>
      <c r="U69" s="2"/>
      <c r="V69" s="19"/>
      <c r="W69" s="2"/>
      <c r="X69" s="2">
        <f t="shared" si="2"/>
        <v>801.50999999999931</v>
      </c>
      <c r="Y69" s="2"/>
      <c r="Z69" s="19">
        <f t="shared" si="3"/>
        <v>0.15660303628299549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--71.85</f>
        <v>71.849999999999994</v>
      </c>
      <c r="E70" s="2"/>
      <c r="F70" s="19"/>
      <c r="G70" s="2"/>
      <c r="H70" s="2">
        <f>--165.85</f>
        <v>165.85</v>
      </c>
      <c r="I70" s="2"/>
      <c r="J70" s="19"/>
      <c r="K70" s="2"/>
      <c r="L70" s="2">
        <f t="shared" si="0"/>
        <v>-94</v>
      </c>
      <c r="M70" s="2"/>
      <c r="N70" s="19">
        <f t="shared" si="1"/>
        <v>-0.56677720832077183</v>
      </c>
      <c r="O70" s="11"/>
      <c r="P70" s="2">
        <f>--211.61</f>
        <v>211.61</v>
      </c>
      <c r="Q70" s="2"/>
      <c r="R70" s="19"/>
      <c r="S70" s="2"/>
      <c r="T70" s="2">
        <f>--340.6</f>
        <v>340.6</v>
      </c>
      <c r="U70" s="2"/>
      <c r="V70" s="19"/>
      <c r="W70" s="2"/>
      <c r="X70" s="2">
        <f t="shared" si="2"/>
        <v>-128.99</v>
      </c>
      <c r="Y70" s="2"/>
      <c r="Z70" s="19">
        <f t="shared" si="3"/>
        <v>-0.3787140340575455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>
        <f>--59.85</f>
        <v>59.85</v>
      </c>
      <c r="I71" s="2"/>
      <c r="J71" s="19"/>
      <c r="K71" s="2"/>
      <c r="L71" s="2">
        <f t="shared" si="0"/>
        <v>-59.85</v>
      </c>
      <c r="M71" s="2"/>
      <c r="N71" s="19">
        <f t="shared" si="1"/>
        <v>-1</v>
      </c>
      <c r="O71" s="11"/>
      <c r="P71" s="2">
        <f>--90</f>
        <v>90</v>
      </c>
      <c r="Q71" s="2"/>
      <c r="R71" s="19"/>
      <c r="S71" s="2"/>
      <c r="T71" s="2">
        <f>--261.6</f>
        <v>261.60000000000002</v>
      </c>
      <c r="U71" s="2"/>
      <c r="V71" s="19"/>
      <c r="W71" s="2"/>
      <c r="X71" s="2">
        <f t="shared" si="2"/>
        <v>-171.60000000000002</v>
      </c>
      <c r="Y71" s="2"/>
      <c r="Z71" s="19">
        <f t="shared" si="3"/>
        <v>-0.65596330275229364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--40316.8</f>
        <v>40316.800000000003</v>
      </c>
      <c r="E72" s="2"/>
      <c r="F72" s="19"/>
      <c r="G72" s="2"/>
      <c r="H72" s="2">
        <f>--41126.65</f>
        <v>41126.65</v>
      </c>
      <c r="I72" s="2"/>
      <c r="J72" s="19"/>
      <c r="K72" s="2"/>
      <c r="L72" s="2">
        <f t="shared" si="0"/>
        <v>-809.84999999999854</v>
      </c>
      <c r="M72" s="2"/>
      <c r="N72" s="19">
        <f t="shared" si="1"/>
        <v>-1.9691611157242286E-2</v>
      </c>
      <c r="O72" s="11"/>
      <c r="P72" s="2">
        <f>--90410.3</f>
        <v>90410.3</v>
      </c>
      <c r="Q72" s="2"/>
      <c r="R72" s="19"/>
      <c r="S72" s="2"/>
      <c r="T72" s="2">
        <f>--90241.1</f>
        <v>90241.1</v>
      </c>
      <c r="U72" s="2"/>
      <c r="V72" s="19"/>
      <c r="W72" s="2"/>
      <c r="X72" s="2">
        <f t="shared" si="2"/>
        <v>169.19999999999709</v>
      </c>
      <c r="Y72" s="2"/>
      <c r="Z72" s="19">
        <f t="shared" si="3"/>
        <v>1.8749771445604839E-3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-240</f>
        <v>-240</v>
      </c>
      <c r="E73" s="2"/>
      <c r="F73" s="19"/>
      <c r="G73" s="2"/>
      <c r="H73" s="2">
        <f>--96</f>
        <v>96</v>
      </c>
      <c r="I73" s="2"/>
      <c r="J73" s="19"/>
      <c r="K73" s="2"/>
      <c r="L73" s="2">
        <f t="shared" si="0"/>
        <v>-336</v>
      </c>
      <c r="M73" s="2"/>
      <c r="N73" s="19">
        <f t="shared" si="1"/>
        <v>-3.5</v>
      </c>
      <c r="O73" s="11"/>
      <c r="P73" s="2">
        <f>--174.9</f>
        <v>174.9</v>
      </c>
      <c r="Q73" s="2"/>
      <c r="R73" s="19"/>
      <c r="S73" s="2"/>
      <c r="T73" s="2">
        <f>--286</f>
        <v>286</v>
      </c>
      <c r="U73" s="2"/>
      <c r="V73" s="19"/>
      <c r="W73" s="2"/>
      <c r="X73" s="2">
        <f t="shared" si="2"/>
        <v>-111.1</v>
      </c>
      <c r="Y73" s="2"/>
      <c r="Z73" s="19">
        <f t="shared" si="3"/>
        <v>-0.38846153846153847</v>
      </c>
    </row>
    <row r="74" spans="1:26" s="24" customFormat="1" hidden="1" outlineLevel="1" x14ac:dyDescent="0.25">
      <c r="A74" s="44"/>
      <c r="B74" s="11" t="str">
        <f>CONCATENATE("          ", "4181", " - ", "NON-TAXABLE SALES-ELECTRONICS")</f>
        <v xml:space="preserve">          4181 - NON-TAXABLE SALES-ELECTRONICS</v>
      </c>
      <c r="C74" s="11"/>
      <c r="D74" s="2">
        <f>--7.99</f>
        <v>7.99</v>
      </c>
      <c r="E74" s="2"/>
      <c r="F74" s="19"/>
      <c r="G74" s="2"/>
      <c r="H74" s="2">
        <f>--99.97</f>
        <v>99.97</v>
      </c>
      <c r="I74" s="2"/>
      <c r="J74" s="19"/>
      <c r="K74" s="2"/>
      <c r="L74" s="2">
        <f t="shared" si="0"/>
        <v>-91.98</v>
      </c>
      <c r="M74" s="2"/>
      <c r="N74" s="19">
        <f t="shared" si="1"/>
        <v>-0.92007602280684209</v>
      </c>
      <c r="O74" s="11"/>
      <c r="P74" s="2">
        <f>--1462.51</f>
        <v>1462.51</v>
      </c>
      <c r="Q74" s="2"/>
      <c r="R74" s="19"/>
      <c r="S74" s="2"/>
      <c r="T74" s="2">
        <f>--936.89</f>
        <v>936.89</v>
      </c>
      <c r="U74" s="2"/>
      <c r="V74" s="19"/>
      <c r="W74" s="2"/>
      <c r="X74" s="2">
        <f t="shared" si="2"/>
        <v>525.62</v>
      </c>
      <c r="Y74" s="2"/>
      <c r="Z74" s="19">
        <f t="shared" si="3"/>
        <v>0.56102637449433768</v>
      </c>
    </row>
    <row r="75" spans="1:26" s="24" customFormat="1" hidden="1" outlineLevel="1" x14ac:dyDescent="0.25">
      <c r="A75" s="44"/>
      <c r="B75" s="11" t="str">
        <f>CONCATENATE("          ", "4182", " - ", "NON-TAXABLE SALES-COMPUTER HAR")</f>
        <v xml:space="preserve">          4182 - NON-TAXABLE SALES-COMPUTER HAR</v>
      </c>
      <c r="C75" s="11"/>
      <c r="D75" s="2">
        <f>--10758</f>
        <v>10758</v>
      </c>
      <c r="E75" s="2"/>
      <c r="F75" s="19"/>
      <c r="G75" s="2"/>
      <c r="H75" s="2">
        <f>--56350</f>
        <v>56350</v>
      </c>
      <c r="I75" s="2"/>
      <c r="J75" s="19"/>
      <c r="K75" s="2"/>
      <c r="L75" s="2">
        <f t="shared" si="0"/>
        <v>-45592</v>
      </c>
      <c r="M75" s="2"/>
      <c r="N75" s="19">
        <f t="shared" si="1"/>
        <v>-0.8090860692102928</v>
      </c>
      <c r="O75" s="11"/>
      <c r="P75" s="2">
        <f>--56560</f>
        <v>56560</v>
      </c>
      <c r="Q75" s="2"/>
      <c r="R75" s="19"/>
      <c r="S75" s="2"/>
      <c r="T75" s="2">
        <f>--119563.88</f>
        <v>119563.88</v>
      </c>
      <c r="U75" s="2"/>
      <c r="V75" s="19"/>
      <c r="W75" s="2"/>
      <c r="X75" s="2">
        <f t="shared" si="2"/>
        <v>-63003.880000000005</v>
      </c>
      <c r="Y75" s="2"/>
      <c r="Z75" s="19">
        <f t="shared" si="3"/>
        <v>-0.52694743596477467</v>
      </c>
    </row>
    <row r="76" spans="1:26" s="24" customFormat="1" hidden="1" outlineLevel="1" x14ac:dyDescent="0.25">
      <c r="A76" s="44"/>
      <c r="B76" s="11" t="str">
        <f>CONCATENATE("          ", "4183", " - ", "NON-TAXABLE SALES-COMPUTER EQU")</f>
        <v xml:space="preserve">          4183 - NON-TAXABLE SALES-COMPUTER EQU</v>
      </c>
      <c r="C76" s="11"/>
      <c r="D76" s="2">
        <f>--1033.81</f>
        <v>1033.81</v>
      </c>
      <c r="E76" s="2"/>
      <c r="F76" s="19"/>
      <c r="G76" s="2"/>
      <c r="H76" s="2">
        <f>--2512.37</f>
        <v>2512.37</v>
      </c>
      <c r="I76" s="2"/>
      <c r="J76" s="19"/>
      <c r="K76" s="2"/>
      <c r="L76" s="2">
        <f t="shared" si="0"/>
        <v>-1478.56</v>
      </c>
      <c r="M76" s="2"/>
      <c r="N76" s="19">
        <f t="shared" si="1"/>
        <v>-0.58851204241413491</v>
      </c>
      <c r="O76" s="11"/>
      <c r="P76" s="2">
        <f>--3054.92</f>
        <v>3054.92</v>
      </c>
      <c r="Q76" s="2"/>
      <c r="R76" s="19"/>
      <c r="S76" s="2"/>
      <c r="T76" s="2">
        <f>--4142.82</f>
        <v>4142.82</v>
      </c>
      <c r="U76" s="2"/>
      <c r="V76" s="19"/>
      <c r="W76" s="2"/>
      <c r="X76" s="2">
        <f t="shared" si="2"/>
        <v>-1087.8999999999996</v>
      </c>
      <c r="Y76" s="2"/>
      <c r="Z76" s="19">
        <f t="shared" si="3"/>
        <v>-0.2625989060591577</v>
      </c>
    </row>
    <row r="77" spans="1:26" s="24" customFormat="1" hidden="1" outlineLevel="1" x14ac:dyDescent="0.25">
      <c r="A77" s="44"/>
      <c r="B77" s="11" t="str">
        <f>CONCATENATE("          ", "4184", " - ", "NON-TAXABLE SALES-SOFTWARE LIC")</f>
        <v xml:space="preserve">          4184 - NON-TAXABLE SALES-SOFTWARE LIC</v>
      </c>
      <c r="C77" s="11"/>
      <c r="D77" s="2">
        <f>0</f>
        <v>0</v>
      </c>
      <c r="E77" s="2"/>
      <c r="F77" s="19"/>
      <c r="G77" s="2"/>
      <c r="H77" s="2">
        <f>0</f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--1522</f>
        <v>1522</v>
      </c>
      <c r="Q77" s="2"/>
      <c r="R77" s="19"/>
      <c r="S77" s="2"/>
      <c r="T77" s="2">
        <f>--99</f>
        <v>99</v>
      </c>
      <c r="U77" s="2"/>
      <c r="V77" s="19"/>
      <c r="W77" s="2"/>
      <c r="X77" s="2">
        <f t="shared" si="2"/>
        <v>1423</v>
      </c>
      <c r="Y77" s="2"/>
      <c r="Z77" s="19">
        <f t="shared" si="3"/>
        <v>14.373737373737374</v>
      </c>
    </row>
    <row r="78" spans="1:26" s="24" customFormat="1" hidden="1" outlineLevel="1" x14ac:dyDescent="0.25">
      <c r="A78" s="44"/>
      <c r="B78" s="11" t="str">
        <f>CONCATENATE("          ", "4185", " - ", "NON-TAXABLE SALES-SOFTWARE")</f>
        <v xml:space="preserve">          4185 - NON-TAXABLE SALES-SOFTWARE</v>
      </c>
      <c r="C78" s="11"/>
      <c r="D78" s="2">
        <f>--1389.95</f>
        <v>1389.95</v>
      </c>
      <c r="E78" s="2"/>
      <c r="F78" s="19"/>
      <c r="G78" s="2"/>
      <c r="H78" s="2">
        <f>--177</f>
        <v>177</v>
      </c>
      <c r="I78" s="2"/>
      <c r="J78" s="19"/>
      <c r="K78" s="2"/>
      <c r="L78" s="2">
        <f t="shared" si="0"/>
        <v>1212.95</v>
      </c>
      <c r="M78" s="2"/>
      <c r="N78" s="19">
        <f t="shared" si="1"/>
        <v>6.8528248587570628</v>
      </c>
      <c r="O78" s="11"/>
      <c r="P78" s="2">
        <f>--8467.89</f>
        <v>8467.89</v>
      </c>
      <c r="Q78" s="2"/>
      <c r="R78" s="19"/>
      <c r="S78" s="2"/>
      <c r="T78" s="2">
        <f>--2393.91</f>
        <v>2393.91</v>
      </c>
      <c r="U78" s="2"/>
      <c r="V78" s="19"/>
      <c r="W78" s="2"/>
      <c r="X78" s="2">
        <f t="shared" si="2"/>
        <v>6073.98</v>
      </c>
      <c r="Y78" s="2"/>
      <c r="Z78" s="19">
        <f t="shared" si="3"/>
        <v>2.5372633056380565</v>
      </c>
    </row>
    <row r="79" spans="1:26" s="24" customFormat="1" hidden="1" outlineLevel="1" x14ac:dyDescent="0.25">
      <c r="A79" s="44"/>
      <c r="B79" s="11" t="str">
        <f>CONCATENATE("          ", "4186", " - ", "NON-TAXABLE SALES-COMPUTER SUP")</f>
        <v xml:space="preserve">          4186 - NON-TAXABLE SALES-COMPUTER SUP</v>
      </c>
      <c r="C79" s="11"/>
      <c r="D79" s="2">
        <f>--796.63</f>
        <v>796.63</v>
      </c>
      <c r="E79" s="2"/>
      <c r="F79" s="19"/>
      <c r="G79" s="2"/>
      <c r="H79" s="2">
        <f>--595.84</f>
        <v>595.84</v>
      </c>
      <c r="I79" s="2"/>
      <c r="J79" s="19"/>
      <c r="K79" s="2"/>
      <c r="L79" s="2">
        <f t="shared" si="0"/>
        <v>200.78999999999996</v>
      </c>
      <c r="M79" s="2"/>
      <c r="N79" s="19">
        <f t="shared" si="1"/>
        <v>0.33698643931256705</v>
      </c>
      <c r="O79" s="11"/>
      <c r="P79" s="2">
        <f>--1522.41</f>
        <v>1522.41</v>
      </c>
      <c r="Q79" s="2"/>
      <c r="R79" s="19"/>
      <c r="S79" s="2"/>
      <c r="T79" s="2">
        <f>--2356.18</f>
        <v>2356.1799999999998</v>
      </c>
      <c r="U79" s="2"/>
      <c r="V79" s="19"/>
      <c r="W79" s="2"/>
      <c r="X79" s="2">
        <f t="shared" si="2"/>
        <v>-833.76999999999975</v>
      </c>
      <c r="Y79" s="2"/>
      <c r="Z79" s="19">
        <f t="shared" si="3"/>
        <v>-0.35386515461467283</v>
      </c>
    </row>
    <row r="80" spans="1:26" s="24" customFormat="1" hidden="1" outlineLevel="1" x14ac:dyDescent="0.25">
      <c r="A80" s="44"/>
      <c r="B80" s="11" t="str">
        <f>CONCATENATE("          ", "4188", " - ", "NON-TAXABLE SALES-MUSIC")</f>
        <v xml:space="preserve">          4188 - NON-TAXABLE SALES-MUSIC</v>
      </c>
      <c r="C80" s="11"/>
      <c r="D80" s="2">
        <f>0</f>
        <v>0</v>
      </c>
      <c r="E80" s="2"/>
      <c r="F80" s="19"/>
      <c r="G80" s="2"/>
      <c r="H80" s="2">
        <f>0</f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--219.96</f>
        <v>219.96</v>
      </c>
      <c r="Q80" s="2"/>
      <c r="R80" s="19"/>
      <c r="S80" s="2"/>
      <c r="T80" s="2">
        <f>--199.98</f>
        <v>199.98</v>
      </c>
      <c r="U80" s="2"/>
      <c r="V80" s="19"/>
      <c r="W80" s="2"/>
      <c r="X80" s="2">
        <f t="shared" si="2"/>
        <v>19.980000000000018</v>
      </c>
      <c r="Y80" s="2"/>
      <c r="Z80" s="19">
        <f t="shared" si="3"/>
        <v>9.9909990999100001E-2</v>
      </c>
    </row>
    <row r="81" spans="1:26" s="24" customFormat="1" hidden="1" outlineLevel="1" x14ac:dyDescent="0.25">
      <c r="A81" s="44"/>
      <c r="B81" s="11" t="str">
        <f>CONCATENATE("          ", "4201", " - ", "SALES RETURN TAXABLE-NEW TEXT")</f>
        <v xml:space="preserve">          4201 - SALES RETURN TAXABLE-NEW TEXT</v>
      </c>
      <c r="C81" s="11"/>
      <c r="D81" s="2">
        <f>-4543.92</f>
        <v>-4543.92</v>
      </c>
      <c r="E81" s="2"/>
      <c r="F81" s="19"/>
      <c r="G81" s="2"/>
      <c r="H81" s="2">
        <f>-12940.45</f>
        <v>-12940.45</v>
      </c>
      <c r="I81" s="2"/>
      <c r="J81" s="19"/>
      <c r="K81" s="2"/>
      <c r="L81" s="2">
        <f t="shared" si="0"/>
        <v>8396.5300000000007</v>
      </c>
      <c r="M81" s="2"/>
      <c r="N81" s="19">
        <f t="shared" si="1"/>
        <v>-0.64885919732312247</v>
      </c>
      <c r="O81" s="11"/>
      <c r="P81" s="2">
        <f>-77783.67</f>
        <v>-77783.67</v>
      </c>
      <c r="Q81" s="2"/>
      <c r="R81" s="19"/>
      <c r="S81" s="2"/>
      <c r="T81" s="2">
        <f>-111732.67</f>
        <v>-111732.67</v>
      </c>
      <c r="U81" s="2"/>
      <c r="V81" s="19"/>
      <c r="W81" s="2"/>
      <c r="X81" s="2">
        <f t="shared" si="2"/>
        <v>33949</v>
      </c>
      <c r="Y81" s="2"/>
      <c r="Z81" s="19">
        <f t="shared" si="3"/>
        <v>-0.30384130263780507</v>
      </c>
    </row>
    <row r="82" spans="1:26" s="24" customFormat="1" hidden="1" outlineLevel="1" x14ac:dyDescent="0.25">
      <c r="A82" s="44"/>
      <c r="B82" s="11" t="str">
        <f>CONCATENATE("          ", "4202", " - ", "SALES RETURN TAXABLE-USED TEXT")</f>
        <v xml:space="preserve">          4202 - SALES RETURN TAXABLE-USED TEXT</v>
      </c>
      <c r="C82" s="11"/>
      <c r="D82" s="2">
        <f>-3577.9</f>
        <v>-3577.9</v>
      </c>
      <c r="E82" s="2"/>
      <c r="F82" s="19"/>
      <c r="G82" s="2"/>
      <c r="H82" s="2">
        <f>-2444</f>
        <v>-2444</v>
      </c>
      <c r="I82" s="2"/>
      <c r="J82" s="19"/>
      <c r="K82" s="2"/>
      <c r="L82" s="2">
        <f t="shared" si="0"/>
        <v>-1133.9000000000001</v>
      </c>
      <c r="M82" s="2"/>
      <c r="N82" s="19">
        <f t="shared" si="1"/>
        <v>0.4639525368248773</v>
      </c>
      <c r="O82" s="11"/>
      <c r="P82" s="2">
        <f>-26929</f>
        <v>-26929</v>
      </c>
      <c r="Q82" s="2"/>
      <c r="R82" s="19"/>
      <c r="S82" s="2"/>
      <c r="T82" s="2">
        <f>-29099.65</f>
        <v>-29099.65</v>
      </c>
      <c r="U82" s="2"/>
      <c r="V82" s="19"/>
      <c r="W82" s="2"/>
      <c r="X82" s="2">
        <f t="shared" si="2"/>
        <v>2170.6500000000015</v>
      </c>
      <c r="Y82" s="2"/>
      <c r="Z82" s="19">
        <f t="shared" si="3"/>
        <v>-7.4593680680008226E-2</v>
      </c>
    </row>
    <row r="83" spans="1:26" s="24" customFormat="1" hidden="1" outlineLevel="1" x14ac:dyDescent="0.25">
      <c r="A83" s="44"/>
      <c r="B83" s="11" t="str">
        <f>CONCATENATE("          ", "4203", " - ", "SALES RETURN TAXABLE-RENTAL TE")</f>
        <v xml:space="preserve">          4203 - SALES RETURN TAXABLE-RENTAL TE</v>
      </c>
      <c r="C83" s="11"/>
      <c r="D83" s="2">
        <f>0</f>
        <v>0</v>
      </c>
      <c r="E83" s="2"/>
      <c r="F83" s="19"/>
      <c r="G83" s="2"/>
      <c r="H83" s="2">
        <f>0</f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-144.99</f>
        <v>-144.99</v>
      </c>
      <c r="Q83" s="2"/>
      <c r="R83" s="19"/>
      <c r="S83" s="2"/>
      <c r="T83" s="2">
        <f>-1529.55</f>
        <v>-1529.55</v>
      </c>
      <c r="U83" s="2"/>
      <c r="V83" s="19"/>
      <c r="W83" s="2"/>
      <c r="X83" s="2">
        <f t="shared" si="2"/>
        <v>1384.56</v>
      </c>
      <c r="Y83" s="2"/>
      <c r="Z83" s="19">
        <f t="shared" si="3"/>
        <v>-0.90520741394527804</v>
      </c>
    </row>
    <row r="84" spans="1:26" s="24" customFormat="1" hidden="1" outlineLevel="1" x14ac:dyDescent="0.25">
      <c r="A84" s="44"/>
      <c r="B84" s="11" t="str">
        <f>CONCATENATE("          ", "4204", " - ", "SALES RETURN TAXABLE-DIGITAL T")</f>
        <v xml:space="preserve">          4204 - SALES RETURN TAXABLE-DIGITAL T</v>
      </c>
      <c r="C84" s="11"/>
      <c r="D84" s="2">
        <f>-193.34</f>
        <v>-193.34</v>
      </c>
      <c r="E84" s="2"/>
      <c r="F84" s="19"/>
      <c r="G84" s="2"/>
      <c r="H84" s="2">
        <f>-358.14</f>
        <v>-358.14</v>
      </c>
      <c r="I84" s="2"/>
      <c r="J84" s="19"/>
      <c r="K84" s="2"/>
      <c r="L84" s="2">
        <f t="shared" si="0"/>
        <v>164.79999999999998</v>
      </c>
      <c r="M84" s="2"/>
      <c r="N84" s="19">
        <f t="shared" si="1"/>
        <v>-0.46015524655162782</v>
      </c>
      <c r="O84" s="11"/>
      <c r="P84" s="2">
        <f>-11250.06</f>
        <v>-11250.06</v>
      </c>
      <c r="Q84" s="2"/>
      <c r="R84" s="19"/>
      <c r="S84" s="2"/>
      <c r="T84" s="2">
        <f>-15499.78</f>
        <v>-15499.78</v>
      </c>
      <c r="U84" s="2"/>
      <c r="V84" s="19"/>
      <c r="W84" s="2"/>
      <c r="X84" s="2">
        <f t="shared" si="2"/>
        <v>4249.7200000000012</v>
      </c>
      <c r="Y84" s="2"/>
      <c r="Z84" s="19">
        <f t="shared" si="3"/>
        <v>-0.27417937544920001</v>
      </c>
    </row>
    <row r="85" spans="1:26" s="24" customFormat="1" hidden="1" outlineLevel="1" x14ac:dyDescent="0.25">
      <c r="A85" s="44"/>
      <c r="B85" s="11" t="str">
        <f>CONCATENATE("          ", "4213", " - ", "NON-TAXABLE SALES-TRADE BOOKS")</f>
        <v xml:space="preserve">          4213 - NON-TAXABLE SALES-TRADE BOOKS</v>
      </c>
      <c r="C85" s="11"/>
      <c r="D85" s="2">
        <f>-35.37</f>
        <v>-35.369999999999997</v>
      </c>
      <c r="E85" s="2"/>
      <c r="F85" s="19"/>
      <c r="G85" s="2"/>
      <c r="H85" s="2">
        <f t="shared" ref="H85:H87" si="6">0</f>
        <v>0</v>
      </c>
      <c r="I85" s="2"/>
      <c r="J85" s="19"/>
      <c r="K85" s="2"/>
      <c r="L85" s="2">
        <f t="shared" si="0"/>
        <v>-35.369999999999997</v>
      </c>
      <c r="M85" s="2"/>
      <c r="N85" s="19">
        <f t="shared" si="1"/>
        <v>0</v>
      </c>
      <c r="O85" s="11"/>
      <c r="P85" s="2">
        <f>-35.37</f>
        <v>-35.369999999999997</v>
      </c>
      <c r="Q85" s="2"/>
      <c r="R85" s="19"/>
      <c r="S85" s="2"/>
      <c r="T85" s="2">
        <f>-15</f>
        <v>-15</v>
      </c>
      <c r="U85" s="2"/>
      <c r="V85" s="19"/>
      <c r="W85" s="2"/>
      <c r="X85" s="2">
        <f t="shared" si="2"/>
        <v>-20.369999999999997</v>
      </c>
      <c r="Y85" s="2"/>
      <c r="Z85" s="19">
        <f t="shared" si="3"/>
        <v>1.3579999999999999</v>
      </c>
    </row>
    <row r="86" spans="1:26" s="24" customFormat="1" hidden="1" outlineLevel="1" x14ac:dyDescent="0.25">
      <c r="A86" s="44"/>
      <c r="B86" s="11" t="str">
        <f>CONCATENATE("          ", "4217", " - ", "NON-TAXABLE SALES-DORM/HOUSEWA")</f>
        <v xml:space="preserve">          4217 - NON-TAXABLE SALES-DORM/HOUSEWA</v>
      </c>
      <c r="C86" s="11"/>
      <c r="D86" s="2">
        <f>-2.98</f>
        <v>-2.98</v>
      </c>
      <c r="E86" s="2"/>
      <c r="F86" s="19"/>
      <c r="G86" s="2"/>
      <c r="H86" s="2">
        <f t="shared" si="6"/>
        <v>0</v>
      </c>
      <c r="I86" s="2"/>
      <c r="J86" s="19"/>
      <c r="K86" s="2"/>
      <c r="L86" s="2">
        <f t="shared" si="0"/>
        <v>-2.98</v>
      </c>
      <c r="M86" s="2"/>
      <c r="N86" s="19">
        <f t="shared" si="1"/>
        <v>0</v>
      </c>
      <c r="O86" s="11"/>
      <c r="P86" s="2">
        <f>-2.98</f>
        <v>-2.98</v>
      </c>
      <c r="Q86" s="2"/>
      <c r="R86" s="19"/>
      <c r="S86" s="2"/>
      <c r="T86" s="2">
        <f>-1.5</f>
        <v>-1.5</v>
      </c>
      <c r="U86" s="2"/>
      <c r="V86" s="19"/>
      <c r="W86" s="2"/>
      <c r="X86" s="2">
        <f t="shared" si="2"/>
        <v>-1.48</v>
      </c>
      <c r="Y86" s="2"/>
      <c r="Z86" s="19">
        <f t="shared" si="3"/>
        <v>0.98666666666666669</v>
      </c>
    </row>
    <row r="87" spans="1:26" s="24" customFormat="1" hidden="1" outlineLevel="1" x14ac:dyDescent="0.25">
      <c r="A87" s="44"/>
      <c r="B87" s="11" t="str">
        <f>CONCATENATE("          ", "4218", " - ", "SALES RETURN TAXABLE-STUDY GUI")</f>
        <v xml:space="preserve">          4218 - SALES RETURN TAXABLE-STUDY GUI</v>
      </c>
      <c r="C87" s="11"/>
      <c r="D87" s="2">
        <f>0</f>
        <v>0</v>
      </c>
      <c r="E87" s="2"/>
      <c r="F87" s="19"/>
      <c r="G87" s="2"/>
      <c r="H87" s="2">
        <f t="shared" si="6"/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-32.75</f>
        <v>-32.75</v>
      </c>
      <c r="Q87" s="2"/>
      <c r="R87" s="19"/>
      <c r="S87" s="2"/>
      <c r="T87" s="2">
        <f>-22.9</f>
        <v>-22.9</v>
      </c>
      <c r="U87" s="2"/>
      <c r="V87" s="19"/>
      <c r="W87" s="2"/>
      <c r="X87" s="2">
        <f t="shared" si="2"/>
        <v>-9.8500000000000014</v>
      </c>
      <c r="Y87" s="2"/>
      <c r="Z87" s="19">
        <f t="shared" si="3"/>
        <v>0.43013100436681234</v>
      </c>
    </row>
    <row r="88" spans="1:26" s="24" customFormat="1" hidden="1" outlineLevel="1" x14ac:dyDescent="0.25">
      <c r="A88" s="44"/>
      <c r="B88" s="11" t="str">
        <f>CONCATENATE("          ", "4225", " - ", "SALES RETURN TAXABLE-TEST FORM")</f>
        <v xml:space="preserve">          4225 - SALES RETURN TAXABLE-TEST FORM</v>
      </c>
      <c r="C88" s="11"/>
      <c r="D88" s="2">
        <f>-8.45</f>
        <v>-8.4499999999999993</v>
      </c>
      <c r="E88" s="2"/>
      <c r="F88" s="19"/>
      <c r="G88" s="2"/>
      <c r="H88" s="2">
        <f>-23.96</f>
        <v>-23.96</v>
      </c>
      <c r="I88" s="2"/>
      <c r="J88" s="19"/>
      <c r="K88" s="2"/>
      <c r="L88" s="2">
        <f t="shared" si="0"/>
        <v>15.510000000000002</v>
      </c>
      <c r="M88" s="2"/>
      <c r="N88" s="19">
        <f t="shared" si="1"/>
        <v>-0.64732888146911527</v>
      </c>
      <c r="O88" s="11"/>
      <c r="P88" s="2">
        <f>-41.55</f>
        <v>-41.55</v>
      </c>
      <c r="Q88" s="2"/>
      <c r="R88" s="19"/>
      <c r="S88" s="2"/>
      <c r="T88" s="2">
        <f>-61.29</f>
        <v>-61.29</v>
      </c>
      <c r="U88" s="2"/>
      <c r="V88" s="19"/>
      <c r="W88" s="2"/>
      <c r="X88" s="2">
        <f t="shared" si="2"/>
        <v>19.740000000000002</v>
      </c>
      <c r="Y88" s="2"/>
      <c r="Z88" s="19">
        <f t="shared" si="3"/>
        <v>-0.32207537934410185</v>
      </c>
    </row>
    <row r="89" spans="1:26" s="24" customFormat="1" hidden="1" outlineLevel="1" x14ac:dyDescent="0.25">
      <c r="A89" s="44"/>
      <c r="B89" s="11" t="str">
        <f>CONCATENATE("          ", "4226", " - ", "SALES RETURN TAXABLE-WRITING I")</f>
        <v xml:space="preserve">          4226 - SALES RETURN TAXABLE-WRITING I</v>
      </c>
      <c r="C89" s="11"/>
      <c r="D89" s="2">
        <f>-166.9</f>
        <v>-166.9</v>
      </c>
      <c r="E89" s="2"/>
      <c r="F89" s="19"/>
      <c r="G89" s="2"/>
      <c r="H89" s="2">
        <f>-123.89</f>
        <v>-123.89</v>
      </c>
      <c r="I89" s="2"/>
      <c r="J89" s="19"/>
      <c r="K89" s="2"/>
      <c r="L89" s="2">
        <f t="shared" si="0"/>
        <v>-43.010000000000005</v>
      </c>
      <c r="M89" s="2"/>
      <c r="N89" s="19">
        <f t="shared" si="1"/>
        <v>0.347162805714747</v>
      </c>
      <c r="O89" s="11"/>
      <c r="P89" s="2">
        <f>-475.97</f>
        <v>-475.97</v>
      </c>
      <c r="Q89" s="2"/>
      <c r="R89" s="19"/>
      <c r="S89" s="2"/>
      <c r="T89" s="2">
        <f>-241.15</f>
        <v>-241.15</v>
      </c>
      <c r="U89" s="2"/>
      <c r="V89" s="19"/>
      <c r="W89" s="2"/>
      <c r="X89" s="2">
        <f t="shared" si="2"/>
        <v>-234.82000000000002</v>
      </c>
      <c r="Y89" s="2"/>
      <c r="Z89" s="19">
        <f t="shared" si="3"/>
        <v>0.97375077752436245</v>
      </c>
    </row>
    <row r="90" spans="1:26" s="24" customFormat="1" hidden="1" outlineLevel="1" x14ac:dyDescent="0.25">
      <c r="A90" s="44"/>
      <c r="B90" s="11" t="str">
        <f>CONCATENATE("          ", "4227", " - ", "SALES RETURN TAXABLE-SCHOOL SU")</f>
        <v xml:space="preserve">          4227 - SALES RETURN TAXABLE-SCHOOL SU</v>
      </c>
      <c r="C90" s="11"/>
      <c r="D90" s="2">
        <f>-324.85</f>
        <v>-324.85000000000002</v>
      </c>
      <c r="E90" s="2"/>
      <c r="F90" s="19"/>
      <c r="G90" s="2"/>
      <c r="H90" s="2">
        <f>-154.62</f>
        <v>-154.62</v>
      </c>
      <c r="I90" s="2"/>
      <c r="J90" s="19"/>
      <c r="K90" s="2"/>
      <c r="L90" s="2">
        <f t="shared" si="0"/>
        <v>-170.23000000000002</v>
      </c>
      <c r="M90" s="2"/>
      <c r="N90" s="19">
        <f t="shared" si="1"/>
        <v>1.1009571853576512</v>
      </c>
      <c r="O90" s="11"/>
      <c r="P90" s="2">
        <f>-4826.48</f>
        <v>-4826.4799999999996</v>
      </c>
      <c r="Q90" s="2"/>
      <c r="R90" s="19"/>
      <c r="S90" s="2"/>
      <c r="T90" s="2">
        <f>-2100.84</f>
        <v>-2100.84</v>
      </c>
      <c r="U90" s="2"/>
      <c r="V90" s="19"/>
      <c r="W90" s="2"/>
      <c r="X90" s="2">
        <f t="shared" si="2"/>
        <v>-2725.6399999999994</v>
      </c>
      <c r="Y90" s="2"/>
      <c r="Z90" s="19">
        <f t="shared" si="3"/>
        <v>1.2974048475847753</v>
      </c>
    </row>
    <row r="91" spans="1:26" s="24" customFormat="1" hidden="1" outlineLevel="1" x14ac:dyDescent="0.25">
      <c r="A91" s="44"/>
      <c r="B91" s="11" t="str">
        <f>CONCATENATE("          ", "4228", " - ", "SALES RETURN TAXABLE-ART/TECH")</f>
        <v xml:space="preserve">          4228 - SALES RETURN TAXABLE-ART/TECH</v>
      </c>
      <c r="C91" s="11"/>
      <c r="D91" s="2">
        <f>-502.99</f>
        <v>-502.99</v>
      </c>
      <c r="E91" s="2"/>
      <c r="F91" s="19"/>
      <c r="G91" s="2"/>
      <c r="H91" s="2">
        <f>-995.36</f>
        <v>-995.36</v>
      </c>
      <c r="I91" s="2"/>
      <c r="J91" s="19"/>
      <c r="K91" s="2"/>
      <c r="L91" s="2">
        <f t="shared" si="0"/>
        <v>492.37</v>
      </c>
      <c r="M91" s="2"/>
      <c r="N91" s="19">
        <f t="shared" si="1"/>
        <v>-0.49466524674489631</v>
      </c>
      <c r="O91" s="11"/>
      <c r="P91" s="2">
        <f>-2430.26</f>
        <v>-2430.2600000000002</v>
      </c>
      <c r="Q91" s="2"/>
      <c r="R91" s="19"/>
      <c r="S91" s="2"/>
      <c r="T91" s="2">
        <f>-3776.79</f>
        <v>-3776.79</v>
      </c>
      <c r="U91" s="2"/>
      <c r="V91" s="19"/>
      <c r="W91" s="2"/>
      <c r="X91" s="2">
        <f t="shared" si="2"/>
        <v>1346.5299999999997</v>
      </c>
      <c r="Y91" s="2"/>
      <c r="Z91" s="19">
        <f t="shared" si="3"/>
        <v>-0.35652763325469505</v>
      </c>
    </row>
    <row r="92" spans="1:26" s="24" customFormat="1" hidden="1" outlineLevel="1" x14ac:dyDescent="0.25">
      <c r="A92" s="44"/>
      <c r="B92" s="11" t="str">
        <f>CONCATENATE("          ", "4233", " - ", "SALES RETURN TAXABLE-CANDY")</f>
        <v xml:space="preserve">          4233 - SALES RETURN TAXABLE-CANDY</v>
      </c>
      <c r="C92" s="11"/>
      <c r="D92" s="2">
        <f>0</f>
        <v>0</v>
      </c>
      <c r="E92" s="2"/>
      <c r="F92" s="19"/>
      <c r="G92" s="2"/>
      <c r="H92" s="2">
        <f>-1.89</f>
        <v>-1.89</v>
      </c>
      <c r="I92" s="2"/>
      <c r="J92" s="19"/>
      <c r="K92" s="2"/>
      <c r="L92" s="2">
        <f t="shared" si="0"/>
        <v>1.89</v>
      </c>
      <c r="M92" s="2"/>
      <c r="N92" s="19">
        <f t="shared" si="1"/>
        <v>-1</v>
      </c>
      <c r="O92" s="11"/>
      <c r="P92" s="2">
        <f>0</f>
        <v>0</v>
      </c>
      <c r="Q92" s="2"/>
      <c r="R92" s="19"/>
      <c r="S92" s="2"/>
      <c r="T92" s="2">
        <f>-1.89</f>
        <v>-1.89</v>
      </c>
      <c r="U92" s="2"/>
      <c r="V92" s="19"/>
      <c r="W92" s="2"/>
      <c r="X92" s="2">
        <f t="shared" si="2"/>
        <v>1.89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"4240", " - ", "SALES RETURN TAXABLE-LOGO CLOT")</f>
        <v xml:space="preserve">          4240 - SALES RETURN TAXABLE-LOGO CLOT</v>
      </c>
      <c r="C93" s="11"/>
      <c r="D93" s="2">
        <f>-9501.82</f>
        <v>-9501.82</v>
      </c>
      <c r="E93" s="2"/>
      <c r="F93" s="19"/>
      <c r="G93" s="2"/>
      <c r="H93" s="2">
        <f>-8092.81</f>
        <v>-8092.81</v>
      </c>
      <c r="I93" s="2"/>
      <c r="J93" s="19"/>
      <c r="K93" s="2"/>
      <c r="L93" s="2">
        <f t="shared" si="0"/>
        <v>-1409.0099999999993</v>
      </c>
      <c r="M93" s="2"/>
      <c r="N93" s="19">
        <f t="shared" si="1"/>
        <v>0.17410639814847986</v>
      </c>
      <c r="O93" s="11"/>
      <c r="P93" s="2">
        <f>-30294.8</f>
        <v>-30294.799999999999</v>
      </c>
      <c r="Q93" s="2"/>
      <c r="R93" s="19"/>
      <c r="S93" s="2"/>
      <c r="T93" s="2">
        <f>-28621.41</f>
        <v>-28621.41</v>
      </c>
      <c r="U93" s="2"/>
      <c r="V93" s="19"/>
      <c r="W93" s="2"/>
      <c r="X93" s="2">
        <f t="shared" si="2"/>
        <v>-1673.3899999999994</v>
      </c>
      <c r="Y93" s="2"/>
      <c r="Z93" s="19">
        <f t="shared" si="3"/>
        <v>5.8466371852399987E-2</v>
      </c>
    </row>
    <row r="94" spans="1:26" s="24" customFormat="1" hidden="1" outlineLevel="1" x14ac:dyDescent="0.25">
      <c r="A94" s="44"/>
      <c r="B94" s="11" t="str">
        <f>CONCATENATE("          ", "4241", " - ", "SALES RETURN TAXABLE-LOGO GIFT")</f>
        <v xml:space="preserve">          4241 - SALES RETURN TAXABLE-LOGO GIFT</v>
      </c>
      <c r="C94" s="11"/>
      <c r="D94" s="2">
        <f>-327.07</f>
        <v>-327.07</v>
      </c>
      <c r="E94" s="2"/>
      <c r="F94" s="19"/>
      <c r="G94" s="2"/>
      <c r="H94" s="2">
        <f>-816.93</f>
        <v>-816.93</v>
      </c>
      <c r="I94" s="2"/>
      <c r="J94" s="19"/>
      <c r="K94" s="2"/>
      <c r="L94" s="2">
        <f t="shared" si="0"/>
        <v>489.85999999999996</v>
      </c>
      <c r="M94" s="2"/>
      <c r="N94" s="19">
        <f t="shared" si="1"/>
        <v>-0.59963521966386346</v>
      </c>
      <c r="O94" s="11"/>
      <c r="P94" s="2">
        <f>-2717.95</f>
        <v>-2717.95</v>
      </c>
      <c r="Q94" s="2"/>
      <c r="R94" s="19"/>
      <c r="S94" s="2"/>
      <c r="T94" s="2">
        <f>-3417.67</f>
        <v>-3417.67</v>
      </c>
      <c r="U94" s="2"/>
      <c r="V94" s="19"/>
      <c r="W94" s="2"/>
      <c r="X94" s="2">
        <f t="shared" si="2"/>
        <v>699.72000000000025</v>
      </c>
      <c r="Y94" s="2"/>
      <c r="Z94" s="19">
        <f t="shared" si="3"/>
        <v>-0.20473597509414315</v>
      </c>
    </row>
    <row r="95" spans="1:26" s="24" customFormat="1" hidden="1" outlineLevel="1" x14ac:dyDescent="0.25">
      <c r="A95" s="44"/>
      <c r="B95" s="11" t="str">
        <f>CONCATENATE("          ", "4242", " - ", "SALES RETURN TAXABLE-EVERYDAY")</f>
        <v xml:space="preserve">          4242 - SALES RETURN TAXABLE-EVERYDAY</v>
      </c>
      <c r="C95" s="11"/>
      <c r="D95" s="2">
        <f>-165.1</f>
        <v>-165.1</v>
      </c>
      <c r="E95" s="2"/>
      <c r="F95" s="19"/>
      <c r="G95" s="2"/>
      <c r="H95" s="2">
        <f>-327.87</f>
        <v>-327.87</v>
      </c>
      <c r="I95" s="2"/>
      <c r="J95" s="19"/>
      <c r="K95" s="2"/>
      <c r="L95" s="2">
        <f t="shared" si="0"/>
        <v>162.77000000000001</v>
      </c>
      <c r="M95" s="2"/>
      <c r="N95" s="19">
        <f t="shared" si="1"/>
        <v>-0.49644676243633151</v>
      </c>
      <c r="O95" s="11"/>
      <c r="P95" s="2">
        <f>-1159.57</f>
        <v>-1159.57</v>
      </c>
      <c r="Q95" s="2"/>
      <c r="R95" s="19"/>
      <c r="S95" s="2"/>
      <c r="T95" s="2">
        <f>-1066.22</f>
        <v>-1066.22</v>
      </c>
      <c r="U95" s="2"/>
      <c r="V95" s="19"/>
      <c r="W95" s="2"/>
      <c r="X95" s="2">
        <f t="shared" si="2"/>
        <v>-93.349999999999909</v>
      </c>
      <c r="Y95" s="2"/>
      <c r="Z95" s="19">
        <f t="shared" si="3"/>
        <v>8.7552287520399077E-2</v>
      </c>
    </row>
    <row r="96" spans="1:26" s="24" customFormat="1" hidden="1" outlineLevel="1" x14ac:dyDescent="0.25">
      <c r="A96" s="44"/>
      <c r="B96" s="11" t="str">
        <f>CONCATENATE("          ", "4243", " - ", "SALES RETURN TAXABLE-CARDS")</f>
        <v xml:space="preserve">          4243 - SALES RETURN TAXABLE-CARDS</v>
      </c>
      <c r="C96" s="11"/>
      <c r="D96" s="2">
        <f>0</f>
        <v>0</v>
      </c>
      <c r="E96" s="2"/>
      <c r="F96" s="19"/>
      <c r="G96" s="2"/>
      <c r="H96" s="2">
        <f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-4.5</f>
        <v>-4.5</v>
      </c>
      <c r="Q96" s="2"/>
      <c r="R96" s="19"/>
      <c r="S96" s="2"/>
      <c r="T96" s="2">
        <f>-12.95</f>
        <v>-12.95</v>
      </c>
      <c r="U96" s="2"/>
      <c r="V96" s="19"/>
      <c r="W96" s="2"/>
      <c r="X96" s="2">
        <f t="shared" si="2"/>
        <v>8.4499999999999993</v>
      </c>
      <c r="Y96" s="2"/>
      <c r="Z96" s="19">
        <f t="shared" si="3"/>
        <v>-0.65250965250965254</v>
      </c>
    </row>
    <row r="97" spans="1:26" s="24" customFormat="1" hidden="1" outlineLevel="1" x14ac:dyDescent="0.25">
      <c r="A97" s="44"/>
      <c r="B97" s="11" t="str">
        <f>CONCATENATE("          ", "4244", " - ", "SALES RETURN TAXABLE-ACCESSORI")</f>
        <v xml:space="preserve">          4244 - SALES RETURN TAXABLE-ACCESSORI</v>
      </c>
      <c r="C97" s="11"/>
      <c r="D97" s="2">
        <f>-177.85</f>
        <v>-177.85</v>
      </c>
      <c r="E97" s="2"/>
      <c r="F97" s="19"/>
      <c r="G97" s="2"/>
      <c r="H97" s="2">
        <f>-424.7</f>
        <v>-424.7</v>
      </c>
      <c r="I97" s="2"/>
      <c r="J97" s="19"/>
      <c r="K97" s="2"/>
      <c r="L97" s="2">
        <f t="shared" si="0"/>
        <v>246.85</v>
      </c>
      <c r="M97" s="2"/>
      <c r="N97" s="19">
        <f t="shared" si="1"/>
        <v>-0.58123381210266067</v>
      </c>
      <c r="O97" s="11"/>
      <c r="P97" s="2">
        <f>-1432.36</f>
        <v>-1432.36</v>
      </c>
      <c r="Q97" s="2"/>
      <c r="R97" s="19"/>
      <c r="S97" s="2"/>
      <c r="T97" s="2">
        <f>-2448.06</f>
        <v>-2448.06</v>
      </c>
      <c r="U97" s="2"/>
      <c r="V97" s="19"/>
      <c r="W97" s="2"/>
      <c r="X97" s="2">
        <f t="shared" si="2"/>
        <v>1015.7</v>
      </c>
      <c r="Y97" s="2"/>
      <c r="Z97" s="19">
        <f t="shared" si="3"/>
        <v>-0.41489996160224835</v>
      </c>
    </row>
    <row r="98" spans="1:26" s="24" customFormat="1" hidden="1" outlineLevel="1" x14ac:dyDescent="0.25">
      <c r="A98" s="44"/>
      <c r="B98" s="11" t="str">
        <f>CONCATENATE("          ", "4245", " - ", "SALES RETURN TAXABLE-SPECIAL O")</f>
        <v xml:space="preserve">          4245 - SALES RETURN TAXABLE-SPECIAL O</v>
      </c>
      <c r="C98" s="11"/>
      <c r="D98" s="2">
        <f>0</f>
        <v>0</v>
      </c>
      <c r="E98" s="2"/>
      <c r="F98" s="19"/>
      <c r="G98" s="2"/>
      <c r="H98" s="2">
        <f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-91.96</f>
        <v>-91.96</v>
      </c>
      <c r="Q98" s="2"/>
      <c r="R98" s="19"/>
      <c r="S98" s="2"/>
      <c r="T98" s="2">
        <f>-174.85</f>
        <v>-174.85</v>
      </c>
      <c r="U98" s="2"/>
      <c r="V98" s="19"/>
      <c r="W98" s="2"/>
      <c r="X98" s="2">
        <f t="shared" si="2"/>
        <v>82.89</v>
      </c>
      <c r="Y98" s="2"/>
      <c r="Z98" s="19">
        <f t="shared" si="3"/>
        <v>-0.47406348298541606</v>
      </c>
    </row>
    <row r="99" spans="1:26" s="24" customFormat="1" hidden="1" outlineLevel="1" x14ac:dyDescent="0.25">
      <c r="A99" s="44"/>
      <c r="B99" s="11" t="str">
        <f>CONCATENATE("          ", "4281", " - ", "SALES RETURN TAXABLE-ELECTRONI")</f>
        <v xml:space="preserve">          4281 - SALES RETURN TAXABLE-ELECTRONI</v>
      </c>
      <c r="C99" s="11"/>
      <c r="D99" s="2">
        <f>-1301.67</f>
        <v>-1301.67</v>
      </c>
      <c r="E99" s="2"/>
      <c r="F99" s="19"/>
      <c r="G99" s="2"/>
      <c r="H99" s="2">
        <f>-1409.89</f>
        <v>-1409.89</v>
      </c>
      <c r="I99" s="2"/>
      <c r="J99" s="19"/>
      <c r="K99" s="2"/>
      <c r="L99" s="2">
        <f t="shared" si="0"/>
        <v>108.22000000000003</v>
      </c>
      <c r="M99" s="2"/>
      <c r="N99" s="19">
        <f t="shared" si="1"/>
        <v>-7.6757761243784986E-2</v>
      </c>
      <c r="O99" s="11"/>
      <c r="P99" s="2">
        <f>-4601.13</f>
        <v>-4601.13</v>
      </c>
      <c r="Q99" s="2"/>
      <c r="R99" s="19"/>
      <c r="S99" s="2"/>
      <c r="T99" s="2">
        <f>-3866.17</f>
        <v>-3866.17</v>
      </c>
      <c r="U99" s="2"/>
      <c r="V99" s="19"/>
      <c r="W99" s="2"/>
      <c r="X99" s="2">
        <f t="shared" si="2"/>
        <v>-734.96</v>
      </c>
      <c r="Y99" s="2"/>
      <c r="Z99" s="19">
        <f t="shared" si="3"/>
        <v>0.1901002801221881</v>
      </c>
    </row>
    <row r="100" spans="1:26" s="24" customFormat="1" hidden="1" outlineLevel="1" x14ac:dyDescent="0.25">
      <c r="A100" s="44"/>
      <c r="B100" s="11" t="str">
        <f>CONCATENATE("          ", "4282", " - ", "SALES RETURN TAXABLE-COMPUTER")</f>
        <v xml:space="preserve">          4282 - SALES RETURN TAXABLE-COMPUTER</v>
      </c>
      <c r="C100" s="11"/>
      <c r="D100" s="2">
        <f>-22491.01</f>
        <v>-22491.01</v>
      </c>
      <c r="E100" s="2"/>
      <c r="F100" s="19"/>
      <c r="G100" s="2"/>
      <c r="H100" s="2">
        <f>-2483.83</f>
        <v>-2483.83</v>
      </c>
      <c r="I100" s="2"/>
      <c r="J100" s="19"/>
      <c r="K100" s="2"/>
      <c r="L100" s="2">
        <f t="shared" si="0"/>
        <v>-20007.18</v>
      </c>
      <c r="M100" s="2"/>
      <c r="N100" s="19">
        <f t="shared" si="1"/>
        <v>8.0549715560243662</v>
      </c>
      <c r="O100" s="11"/>
      <c r="P100" s="2">
        <f>-170137.86</f>
        <v>-170137.86</v>
      </c>
      <c r="Q100" s="2"/>
      <c r="R100" s="19"/>
      <c r="S100" s="2"/>
      <c r="T100" s="2">
        <f>-32775.27</f>
        <v>-32775.269999999997</v>
      </c>
      <c r="U100" s="2"/>
      <c r="V100" s="19"/>
      <c r="W100" s="2"/>
      <c r="X100" s="2">
        <f t="shared" si="2"/>
        <v>-137362.59</v>
      </c>
      <c r="Y100" s="2"/>
      <c r="Z100" s="19">
        <f t="shared" si="3"/>
        <v>4.1910437351088188</v>
      </c>
    </row>
    <row r="101" spans="1:26" s="24" customFormat="1" hidden="1" outlineLevel="1" x14ac:dyDescent="0.25">
      <c r="A101" s="44"/>
      <c r="B101" s="11" t="str">
        <f>CONCATENATE("          ", "4283", " - ", "SALES RETURN TAXABLE-COMPUTER")</f>
        <v xml:space="preserve">          4283 - SALES RETURN TAXABLE-COMPUTER</v>
      </c>
      <c r="C101" s="11"/>
      <c r="D101" s="2">
        <f>-1247.85</f>
        <v>-1247.8499999999999</v>
      </c>
      <c r="E101" s="2"/>
      <c r="F101" s="19"/>
      <c r="G101" s="2"/>
      <c r="H101" s="2">
        <f>-616.78</f>
        <v>-616.78</v>
      </c>
      <c r="I101" s="2"/>
      <c r="J101" s="19"/>
      <c r="K101" s="2"/>
      <c r="L101" s="2">
        <f t="shared" si="0"/>
        <v>-631.06999999999994</v>
      </c>
      <c r="M101" s="2"/>
      <c r="N101" s="19">
        <f t="shared" si="1"/>
        <v>1.023168714938876</v>
      </c>
      <c r="O101" s="11"/>
      <c r="P101" s="2">
        <f>-2532.33</f>
        <v>-2532.33</v>
      </c>
      <c r="Q101" s="2"/>
      <c r="R101" s="19"/>
      <c r="S101" s="2"/>
      <c r="T101" s="2">
        <f>-3204.82</f>
        <v>-3204.82</v>
      </c>
      <c r="U101" s="2"/>
      <c r="V101" s="19"/>
      <c r="W101" s="2"/>
      <c r="X101" s="2">
        <f t="shared" si="2"/>
        <v>672.49000000000024</v>
      </c>
      <c r="Y101" s="2"/>
      <c r="Z101" s="19">
        <f t="shared" si="3"/>
        <v>-0.20983705793149077</v>
      </c>
    </row>
    <row r="102" spans="1:26" s="24" customFormat="1" hidden="1" outlineLevel="1" x14ac:dyDescent="0.25">
      <c r="A102" s="44"/>
      <c r="B102" s="11" t="str">
        <f>CONCATENATE("          ", "4284", " - ", "SALES RETURN TAXABLE-SOFTWARE")</f>
        <v xml:space="preserve">          4284 - SALES RETURN TAXABLE-SOFTWARE</v>
      </c>
      <c r="C102" s="11"/>
      <c r="D102" s="2">
        <f>0</f>
        <v>0</v>
      </c>
      <c r="E102" s="2"/>
      <c r="F102" s="19"/>
      <c r="G102" s="2"/>
      <c r="H102" s="2">
        <f t="shared" ref="H102:H103" si="7"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-129</f>
        <v>-129</v>
      </c>
      <c r="Q102" s="2"/>
      <c r="R102" s="19"/>
      <c r="S102" s="2"/>
      <c r="T102" s="2">
        <f t="shared" ref="T102:T103" si="8">0</f>
        <v>0</v>
      </c>
      <c r="U102" s="2"/>
      <c r="V102" s="19"/>
      <c r="W102" s="2"/>
      <c r="X102" s="2">
        <f t="shared" si="2"/>
        <v>-129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"4285", " - ", "SALES RETURN TAXABLE-SOFTWARE")</f>
        <v xml:space="preserve">          4285 - SALES RETURN TAXABLE-SOFTWARE</v>
      </c>
      <c r="C103" s="11"/>
      <c r="D103" s="2">
        <f>-248.99</f>
        <v>-248.99</v>
      </c>
      <c r="E103" s="2"/>
      <c r="F103" s="19"/>
      <c r="G103" s="2"/>
      <c r="H103" s="2">
        <f t="shared" si="7"/>
        <v>0</v>
      </c>
      <c r="I103" s="2"/>
      <c r="J103" s="19"/>
      <c r="K103" s="2"/>
      <c r="L103" s="2">
        <f t="shared" si="0"/>
        <v>-248.99</v>
      </c>
      <c r="M103" s="2"/>
      <c r="N103" s="19">
        <f t="shared" si="1"/>
        <v>0</v>
      </c>
      <c r="O103" s="11"/>
      <c r="P103" s="2">
        <f>-655.98</f>
        <v>-655.98</v>
      </c>
      <c r="Q103" s="2"/>
      <c r="R103" s="19"/>
      <c r="S103" s="2"/>
      <c r="T103" s="2">
        <f t="shared" si="8"/>
        <v>0</v>
      </c>
      <c r="U103" s="2"/>
      <c r="V103" s="19"/>
      <c r="W103" s="2"/>
      <c r="X103" s="2">
        <f t="shared" si="2"/>
        <v>-655.98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"4286", " - ", "SALES RETURN TAXABLE-COMPUTER")</f>
        <v xml:space="preserve">          4286 - SALES RETURN TAXABLE-COMPUTER</v>
      </c>
      <c r="C104" s="11"/>
      <c r="D104" s="2">
        <f>-307.86</f>
        <v>-307.86</v>
      </c>
      <c r="E104" s="2"/>
      <c r="F104" s="19"/>
      <c r="G104" s="2"/>
      <c r="H104" s="2">
        <f>-413.58</f>
        <v>-413.58</v>
      </c>
      <c r="I104" s="2"/>
      <c r="J104" s="19"/>
      <c r="K104" s="2"/>
      <c r="L104" s="2">
        <f t="shared" si="0"/>
        <v>105.71999999999997</v>
      </c>
      <c r="M104" s="2"/>
      <c r="N104" s="19">
        <f t="shared" si="1"/>
        <v>-0.25562164514725078</v>
      </c>
      <c r="O104" s="11"/>
      <c r="P104" s="2">
        <f>-2451.6</f>
        <v>-2451.6</v>
      </c>
      <c r="Q104" s="2"/>
      <c r="R104" s="19"/>
      <c r="S104" s="2"/>
      <c r="T104" s="2">
        <f>-2182.56</f>
        <v>-2182.56</v>
      </c>
      <c r="U104" s="2"/>
      <c r="V104" s="19"/>
      <c r="W104" s="2"/>
      <c r="X104" s="2">
        <f t="shared" si="2"/>
        <v>-269.03999999999996</v>
      </c>
      <c r="Y104" s="2"/>
      <c r="Z104" s="19">
        <f t="shared" si="3"/>
        <v>0.12326808884979105</v>
      </c>
    </row>
    <row r="105" spans="1:26" s="24" customFormat="1" hidden="1" outlineLevel="1" x14ac:dyDescent="0.25">
      <c r="A105" s="44"/>
      <c r="B105" s="11" t="str">
        <f>CONCATENATE("          ", "4288", " - ", "TAXABLE SALES RETURN-MUSIC")</f>
        <v xml:space="preserve">          4288 - TAXABLE SALES RETURN-MUSIC</v>
      </c>
      <c r="C105" s="11"/>
      <c r="D105" s="2">
        <f>-3.99</f>
        <v>-3.99</v>
      </c>
      <c r="E105" s="2"/>
      <c r="F105" s="19"/>
      <c r="G105" s="2"/>
      <c r="H105" s="2">
        <f t="shared" ref="H105:H107" si="9">0</f>
        <v>0</v>
      </c>
      <c r="I105" s="2"/>
      <c r="J105" s="19"/>
      <c r="K105" s="2"/>
      <c r="L105" s="2">
        <f t="shared" si="0"/>
        <v>-3.99</v>
      </c>
      <c r="M105" s="2"/>
      <c r="N105" s="19">
        <f t="shared" si="1"/>
        <v>0</v>
      </c>
      <c r="O105" s="11"/>
      <c r="P105" s="2">
        <f>-3.99</f>
        <v>-3.99</v>
      </c>
      <c r="Q105" s="2"/>
      <c r="R105" s="19"/>
      <c r="S105" s="2"/>
      <c r="T105" s="2">
        <f>0</f>
        <v>0</v>
      </c>
      <c r="U105" s="2"/>
      <c r="V105" s="19"/>
      <c r="W105" s="2"/>
      <c r="X105" s="2">
        <f t="shared" si="2"/>
        <v>-3.99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"4292", " - ", "SALES RETURN TAXABLE-GRAD MERC")</f>
        <v xml:space="preserve">          4292 - SALES RETURN TAXABLE-GRAD MERC</v>
      </c>
      <c r="C106" s="11"/>
      <c r="D106" s="2">
        <f>-39.95</f>
        <v>-39.950000000000003</v>
      </c>
      <c r="E106" s="2"/>
      <c r="F106" s="19"/>
      <c r="G106" s="2"/>
      <c r="H106" s="2">
        <f t="shared" si="9"/>
        <v>0</v>
      </c>
      <c r="I106" s="2"/>
      <c r="J106" s="19"/>
      <c r="K106" s="2"/>
      <c r="L106" s="2">
        <f t="shared" si="0"/>
        <v>-39.950000000000003</v>
      </c>
      <c r="M106" s="2"/>
      <c r="N106" s="19">
        <f t="shared" si="1"/>
        <v>0</v>
      </c>
      <c r="O106" s="11"/>
      <c r="P106" s="2">
        <f>-409.1</f>
        <v>-409.1</v>
      </c>
      <c r="Q106" s="2"/>
      <c r="R106" s="19"/>
      <c r="S106" s="2"/>
      <c r="T106" s="2">
        <f>-478.25</f>
        <v>-478.25</v>
      </c>
      <c r="U106" s="2"/>
      <c r="V106" s="19"/>
      <c r="W106" s="2"/>
      <c r="X106" s="2">
        <f t="shared" si="2"/>
        <v>69.149999999999977</v>
      </c>
      <c r="Y106" s="2"/>
      <c r="Z106" s="19">
        <f t="shared" si="3"/>
        <v>-0.14458964976476735</v>
      </c>
    </row>
    <row r="107" spans="1:26" s="24" customFormat="1" hidden="1" outlineLevel="1" x14ac:dyDescent="0.25">
      <c r="A107" s="44"/>
      <c r="B107" s="11" t="str">
        <f>CONCATENATE("          ", "4295", " - ", "SALES RETURN TAXABLE-CUSTOMER")</f>
        <v xml:space="preserve">          4295 - SALES RETURN TAXABLE-CUSTOMER</v>
      </c>
      <c r="C107" s="11"/>
      <c r="D107" s="2">
        <f>0</f>
        <v>0</v>
      </c>
      <c r="E107" s="2"/>
      <c r="F107" s="19"/>
      <c r="G107" s="2"/>
      <c r="H107" s="2">
        <f t="shared" si="9"/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--0.99</f>
        <v>0.99</v>
      </c>
      <c r="Q107" s="2"/>
      <c r="R107" s="19"/>
      <c r="S107" s="2"/>
      <c r="T107" s="2">
        <f>-99</f>
        <v>-99</v>
      </c>
      <c r="U107" s="2"/>
      <c r="V107" s="19"/>
      <c r="W107" s="2"/>
      <c r="X107" s="2">
        <f t="shared" si="2"/>
        <v>99.99</v>
      </c>
      <c r="Y107" s="2"/>
      <c r="Z107" s="19">
        <f t="shared" si="3"/>
        <v>-1.01</v>
      </c>
    </row>
    <row r="108" spans="1:26" s="24" customFormat="1" hidden="1" outlineLevel="1" x14ac:dyDescent="0.25">
      <c r="A108" s="44"/>
      <c r="B108" s="11" t="str">
        <f>CONCATENATE("          ", "4301", " - ", "SALES RETURN NON TAXABLE-NEW T")</f>
        <v xml:space="preserve">          4301 - SALES RETURN NON TAXABLE-NEW T</v>
      </c>
      <c r="C108" s="11"/>
      <c r="D108" s="2">
        <f>-5585.76</f>
        <v>-5585.76</v>
      </c>
      <c r="E108" s="2"/>
      <c r="F108" s="19"/>
      <c r="G108" s="2"/>
      <c r="H108" s="2">
        <f>-3879.18</f>
        <v>-3879.18</v>
      </c>
      <c r="I108" s="2"/>
      <c r="J108" s="19"/>
      <c r="K108" s="2"/>
      <c r="L108" s="2">
        <f t="shared" si="0"/>
        <v>-1706.5800000000004</v>
      </c>
      <c r="M108" s="2"/>
      <c r="N108" s="19">
        <f t="shared" si="1"/>
        <v>0.43993318175490709</v>
      </c>
      <c r="O108" s="11"/>
      <c r="P108" s="2">
        <f>-12310.98</f>
        <v>-12310.98</v>
      </c>
      <c r="Q108" s="2"/>
      <c r="R108" s="19"/>
      <c r="S108" s="2"/>
      <c r="T108" s="2">
        <f>-24921.37</f>
        <v>-24921.37</v>
      </c>
      <c r="U108" s="2"/>
      <c r="V108" s="19"/>
      <c r="W108" s="2"/>
      <c r="X108" s="2">
        <f t="shared" si="2"/>
        <v>12610.39</v>
      </c>
      <c r="Y108" s="2"/>
      <c r="Z108" s="19">
        <f t="shared" si="3"/>
        <v>-0.50600709351050921</v>
      </c>
    </row>
    <row r="109" spans="1:26" s="24" customFormat="1" hidden="1" outlineLevel="1" x14ac:dyDescent="0.25">
      <c r="A109" s="44"/>
      <c r="B109" s="11" t="str">
        <f>CONCATENATE("          ", "4302", " - ", "SALES RETURN NON TAXABLE-TEXT")</f>
        <v xml:space="preserve">          4302 - SALES RETURN NON TAXABLE-TEXT</v>
      </c>
      <c r="C109" s="11"/>
      <c r="D109" s="2">
        <f>-35.1</f>
        <v>-35.1</v>
      </c>
      <c r="E109" s="2"/>
      <c r="F109" s="19"/>
      <c r="G109" s="2"/>
      <c r="H109" s="2">
        <f>-60</f>
        <v>-60</v>
      </c>
      <c r="I109" s="2"/>
      <c r="J109" s="19"/>
      <c r="K109" s="2"/>
      <c r="L109" s="2">
        <f t="shared" si="0"/>
        <v>24.9</v>
      </c>
      <c r="M109" s="2"/>
      <c r="N109" s="19">
        <f t="shared" si="1"/>
        <v>-0.41499999999999998</v>
      </c>
      <c r="O109" s="11"/>
      <c r="P109" s="2">
        <f>-683.8</f>
        <v>-683.8</v>
      </c>
      <c r="Q109" s="2"/>
      <c r="R109" s="19"/>
      <c r="S109" s="2"/>
      <c r="T109" s="2">
        <f>-2152.04</f>
        <v>-2152.04</v>
      </c>
      <c r="U109" s="2"/>
      <c r="V109" s="19"/>
      <c r="W109" s="2"/>
      <c r="X109" s="2">
        <f t="shared" si="2"/>
        <v>1468.24</v>
      </c>
      <c r="Y109" s="2"/>
      <c r="Z109" s="19">
        <f t="shared" si="3"/>
        <v>-0.68225497667329604</v>
      </c>
    </row>
    <row r="110" spans="1:26" s="24" customFormat="1" hidden="1" outlineLevel="1" x14ac:dyDescent="0.25">
      <c r="A110" s="44"/>
      <c r="B110" s="11" t="str">
        <f>CONCATENATE("          ", "4303", " - ", "SALES RETURN NON-TAXABLE-RENTA")</f>
        <v xml:space="preserve">          4303 - SALES RETURN NON-TAXABLE-RENTA</v>
      </c>
      <c r="C110" s="11"/>
      <c r="D110" s="2">
        <f>0</f>
        <v>0</v>
      </c>
      <c r="E110" s="2"/>
      <c r="F110" s="19"/>
      <c r="G110" s="2"/>
      <c r="H110" s="2">
        <f t="shared" ref="H110:H111" si="10">0</f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-184.99</f>
        <v>-184.99</v>
      </c>
      <c r="Q110" s="2"/>
      <c r="R110" s="19"/>
      <c r="S110" s="2"/>
      <c r="T110" s="2">
        <f>-509.85</f>
        <v>-509.85</v>
      </c>
      <c r="U110" s="2"/>
      <c r="V110" s="19"/>
      <c r="W110" s="2"/>
      <c r="X110" s="2">
        <f t="shared" si="2"/>
        <v>324.86</v>
      </c>
      <c r="Y110" s="2"/>
      <c r="Z110" s="19">
        <f t="shared" si="3"/>
        <v>-0.63716779444934779</v>
      </c>
    </row>
    <row r="111" spans="1:26" s="24" customFormat="1" hidden="1" outlineLevel="1" x14ac:dyDescent="0.25">
      <c r="A111" s="44"/>
      <c r="B111" s="11" t="str">
        <f>CONCATENATE("          ", "4304", " - ", "SALES RETURN NON TAXABLE-DIGIT")</f>
        <v xml:space="preserve">          4304 - SALES RETURN NON TAXABLE-DIGIT</v>
      </c>
      <c r="C111" s="11"/>
      <c r="D111" s="2">
        <f>-617.98</f>
        <v>-617.98</v>
      </c>
      <c r="E111" s="2"/>
      <c r="F111" s="19"/>
      <c r="G111" s="2"/>
      <c r="H111" s="2">
        <f t="shared" si="10"/>
        <v>0</v>
      </c>
      <c r="I111" s="2"/>
      <c r="J111" s="19"/>
      <c r="K111" s="2"/>
      <c r="L111" s="2">
        <f t="shared" si="0"/>
        <v>-617.98</v>
      </c>
      <c r="M111" s="2"/>
      <c r="N111" s="19">
        <f t="shared" si="1"/>
        <v>0</v>
      </c>
      <c r="O111" s="11"/>
      <c r="P111" s="2">
        <f>-13133.29</f>
        <v>-13133.29</v>
      </c>
      <c r="Q111" s="2"/>
      <c r="R111" s="19"/>
      <c r="S111" s="2"/>
      <c r="T111" s="2">
        <f>-3743.75</f>
        <v>-3743.75</v>
      </c>
      <c r="U111" s="2"/>
      <c r="V111" s="19"/>
      <c r="W111" s="2"/>
      <c r="X111" s="2">
        <f t="shared" si="2"/>
        <v>-9389.5400000000009</v>
      </c>
      <c r="Y111" s="2"/>
      <c r="Z111" s="19">
        <f t="shared" si="3"/>
        <v>2.5080574290484141</v>
      </c>
    </row>
    <row r="112" spans="1:26" s="24" customFormat="1" hidden="1" outlineLevel="1" x14ac:dyDescent="0.25">
      <c r="A112" s="44"/>
      <c r="B112" s="11" t="str">
        <f>CONCATENATE("          ", "4311", " - ", "SALES RETURN NON TAXABLE-NO VA")</f>
        <v xml:space="preserve">          4311 - SALES RETURN NON TAXABLE-NO VA</v>
      </c>
      <c r="C112" s="11"/>
      <c r="D112" s="2">
        <f>-0.02</f>
        <v>-0.02</v>
      </c>
      <c r="E112" s="2"/>
      <c r="F112" s="19"/>
      <c r="G112" s="2"/>
      <c r="H112" s="2">
        <f>-228.36</f>
        <v>-228.36</v>
      </c>
      <c r="I112" s="2"/>
      <c r="J112" s="19"/>
      <c r="K112" s="2"/>
      <c r="L112" s="2">
        <f t="shared" si="0"/>
        <v>228.34</v>
      </c>
      <c r="M112" s="2"/>
      <c r="N112" s="19">
        <f t="shared" si="1"/>
        <v>-0.99991241898756344</v>
      </c>
      <c r="O112" s="11"/>
      <c r="P112" s="2">
        <f>-387.96</f>
        <v>-387.96</v>
      </c>
      <c r="Q112" s="2"/>
      <c r="R112" s="19"/>
      <c r="S112" s="2"/>
      <c r="T112" s="2">
        <f>-586.28</f>
        <v>-586.28</v>
      </c>
      <c r="U112" s="2"/>
      <c r="V112" s="19"/>
      <c r="W112" s="2"/>
      <c r="X112" s="2">
        <f t="shared" si="2"/>
        <v>198.32</v>
      </c>
      <c r="Y112" s="2"/>
      <c r="Z112" s="19">
        <f t="shared" si="3"/>
        <v>-0.33826840417547932</v>
      </c>
    </row>
    <row r="113" spans="1:26" s="24" customFormat="1" hidden="1" outlineLevel="1" x14ac:dyDescent="0.25">
      <c r="A113" s="44"/>
      <c r="B113" s="11" t="str">
        <f>CONCATENATE("          ", "4326", " - ", "SALES RETURN NON TAXABLE-WRITI")</f>
        <v xml:space="preserve">          4326 - SALES RETURN NON TAXABLE-WRITI</v>
      </c>
      <c r="C113" s="11"/>
      <c r="D113" s="2">
        <f t="shared" ref="D113:D115" si="11">0</f>
        <v>0</v>
      </c>
      <c r="E113" s="2"/>
      <c r="F113" s="19"/>
      <c r="G113" s="2"/>
      <c r="H113" s="2">
        <f>-2.5</f>
        <v>-2.5</v>
      </c>
      <c r="I113" s="2"/>
      <c r="J113" s="19"/>
      <c r="K113" s="2"/>
      <c r="L113" s="2">
        <f t="shared" si="0"/>
        <v>2.5</v>
      </c>
      <c r="M113" s="2"/>
      <c r="N113" s="19">
        <f t="shared" si="1"/>
        <v>-1</v>
      </c>
      <c r="O113" s="11"/>
      <c r="P113" s="2">
        <f>0</f>
        <v>0</v>
      </c>
      <c r="Q113" s="2"/>
      <c r="R113" s="19"/>
      <c r="S113" s="2"/>
      <c r="T113" s="2">
        <f>-8.08</f>
        <v>-8.08</v>
      </c>
      <c r="U113" s="2"/>
      <c r="V113" s="19"/>
      <c r="W113" s="2"/>
      <c r="X113" s="2">
        <f t="shared" si="2"/>
        <v>8.08</v>
      </c>
      <c r="Y113" s="2"/>
      <c r="Z113" s="19">
        <f t="shared" si="3"/>
        <v>-1</v>
      </c>
    </row>
    <row r="114" spans="1:26" s="24" customFormat="1" hidden="1" outlineLevel="1" x14ac:dyDescent="0.25">
      <c r="A114" s="44"/>
      <c r="B114" s="11" t="str">
        <f>CONCATENATE("          ", "4327", " - ", "SALES RETURN NON TAXABLE-SCHOO")</f>
        <v xml:space="preserve">          4327 - SALES RETURN NON TAXABLE-SCHOO</v>
      </c>
      <c r="C114" s="11"/>
      <c r="D114" s="2">
        <f t="shared" si="11"/>
        <v>0</v>
      </c>
      <c r="E114" s="2"/>
      <c r="F114" s="19"/>
      <c r="G114" s="2"/>
      <c r="H114" s="2">
        <f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-21.87</f>
        <v>-21.87</v>
      </c>
      <c r="Q114" s="2"/>
      <c r="R114" s="19"/>
      <c r="S114" s="2"/>
      <c r="T114" s="2">
        <f>0</f>
        <v>0</v>
      </c>
      <c r="U114" s="2"/>
      <c r="V114" s="19"/>
      <c r="W114" s="2"/>
      <c r="X114" s="2">
        <f t="shared" si="2"/>
        <v>-21.87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"4340", " - ", "SALES RETURN NON TAXABLE-LOGO")</f>
        <v xml:space="preserve">          4340 - SALES RETURN NON TAXABLE-LOGO</v>
      </c>
      <c r="C115" s="11"/>
      <c r="D115" s="2">
        <f t="shared" si="11"/>
        <v>0</v>
      </c>
      <c r="E115" s="2"/>
      <c r="F115" s="19"/>
      <c r="G115" s="2"/>
      <c r="H115" s="2">
        <f>-39.95</f>
        <v>-39.950000000000003</v>
      </c>
      <c r="I115" s="2"/>
      <c r="J115" s="19"/>
      <c r="K115" s="2"/>
      <c r="L115" s="2">
        <f t="shared" si="0"/>
        <v>39.950000000000003</v>
      </c>
      <c r="M115" s="2"/>
      <c r="N115" s="19">
        <f t="shared" si="1"/>
        <v>-1</v>
      </c>
      <c r="O115" s="11"/>
      <c r="P115" s="2">
        <f>-293.45</f>
        <v>-293.45</v>
      </c>
      <c r="Q115" s="2"/>
      <c r="R115" s="19"/>
      <c r="S115" s="2"/>
      <c r="T115" s="2">
        <f>-266.64</f>
        <v>-266.64</v>
      </c>
      <c r="U115" s="2"/>
      <c r="V115" s="19"/>
      <c r="W115" s="2"/>
      <c r="X115" s="2">
        <f t="shared" si="2"/>
        <v>-26.810000000000002</v>
      </c>
      <c r="Y115" s="2"/>
      <c r="Z115" s="19">
        <f t="shared" si="3"/>
        <v>0.10054755475547555</v>
      </c>
    </row>
    <row r="116" spans="1:26" s="24" customFormat="1" hidden="1" outlineLevel="1" x14ac:dyDescent="0.25">
      <c r="A116" s="44"/>
      <c r="B116" s="11" t="str">
        <f>CONCATENATE("          ", "4341", " - ", "SALES RETURN NON TAXABLE-LOGO")</f>
        <v xml:space="preserve">          4341 - SALES RETURN NON TAXABLE-LOGO</v>
      </c>
      <c r="C116" s="11"/>
      <c r="D116" s="2">
        <f>-6.95</f>
        <v>-6.95</v>
      </c>
      <c r="E116" s="2"/>
      <c r="F116" s="19"/>
      <c r="G116" s="2"/>
      <c r="H116" s="2">
        <f>-11.9</f>
        <v>-11.9</v>
      </c>
      <c r="I116" s="2"/>
      <c r="J116" s="19"/>
      <c r="K116" s="2"/>
      <c r="L116" s="2">
        <f t="shared" si="0"/>
        <v>4.95</v>
      </c>
      <c r="M116" s="2"/>
      <c r="N116" s="19">
        <f t="shared" si="1"/>
        <v>-0.41596638655462187</v>
      </c>
      <c r="O116" s="11"/>
      <c r="P116" s="2">
        <f>-10.9</f>
        <v>-10.9</v>
      </c>
      <c r="Q116" s="2"/>
      <c r="R116" s="19"/>
      <c r="S116" s="2"/>
      <c r="T116" s="2">
        <f>-60</f>
        <v>-60</v>
      </c>
      <c r="U116" s="2"/>
      <c r="V116" s="19"/>
      <c r="W116" s="2"/>
      <c r="X116" s="2">
        <f t="shared" si="2"/>
        <v>49.1</v>
      </c>
      <c r="Y116" s="2"/>
      <c r="Z116" s="19">
        <f t="shared" si="3"/>
        <v>-0.81833333333333336</v>
      </c>
    </row>
    <row r="117" spans="1:26" s="24" customFormat="1" hidden="1" outlineLevel="1" x14ac:dyDescent="0.25">
      <c r="A117" s="44"/>
      <c r="B117" s="11" t="str">
        <f>CONCATENATE("          ", "4342", " - ", "SALES RETURN NON TAXABLE-EVERY")</f>
        <v xml:space="preserve">          4342 - SALES RETURN NON TAXABLE-EVERY</v>
      </c>
      <c r="C117" s="11"/>
      <c r="D117" s="2">
        <f>-92.85</f>
        <v>-92.85</v>
      </c>
      <c r="E117" s="2"/>
      <c r="F117" s="19"/>
      <c r="G117" s="2"/>
      <c r="H117" s="2">
        <f t="shared" ref="H117:H119" si="12">0</f>
        <v>0</v>
      </c>
      <c r="I117" s="2"/>
      <c r="J117" s="19"/>
      <c r="K117" s="2"/>
      <c r="L117" s="2">
        <f t="shared" si="0"/>
        <v>-92.85</v>
      </c>
      <c r="M117" s="2"/>
      <c r="N117" s="19">
        <f t="shared" si="1"/>
        <v>0</v>
      </c>
      <c r="O117" s="11"/>
      <c r="P117" s="2">
        <f>-102.85</f>
        <v>-102.85</v>
      </c>
      <c r="Q117" s="2"/>
      <c r="R117" s="19"/>
      <c r="S117" s="2"/>
      <c r="T117" s="2">
        <f t="shared" ref="T117:T119" si="13">0</f>
        <v>0</v>
      </c>
      <c r="U117" s="2"/>
      <c r="V117" s="19"/>
      <c r="W117" s="2"/>
      <c r="X117" s="2">
        <f t="shared" si="2"/>
        <v>-102.85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"4346", " - ", "SALES RETURN NON TAXABLE-COIN-")</f>
        <v xml:space="preserve">          4346 - SALES RETURN NON TAXABLE-COIN-</v>
      </c>
      <c r="C118" s="11"/>
      <c r="D118" s="2">
        <f t="shared" ref="D118:D119" si="14">0</f>
        <v>0</v>
      </c>
      <c r="E118" s="2"/>
      <c r="F118" s="19"/>
      <c r="G118" s="2"/>
      <c r="H118" s="2">
        <f t="shared" si="12"/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-8.15</f>
        <v>-8.15</v>
      </c>
      <c r="Q118" s="2"/>
      <c r="R118" s="19"/>
      <c r="S118" s="2"/>
      <c r="T118" s="2">
        <f t="shared" si="13"/>
        <v>0</v>
      </c>
      <c r="U118" s="2"/>
      <c r="V118" s="19"/>
      <c r="W118" s="2"/>
      <c r="X118" s="2">
        <f t="shared" si="2"/>
        <v>-8.15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"4381", " - ", "SALES RETURN NON TAXABLE-ELECT")</f>
        <v xml:space="preserve">          4381 - SALES RETURN NON TAXABLE-ELECT</v>
      </c>
      <c r="C119" s="11"/>
      <c r="D119" s="2">
        <f t="shared" si="14"/>
        <v>0</v>
      </c>
      <c r="E119" s="2"/>
      <c r="F119" s="19"/>
      <c r="G119" s="2"/>
      <c r="H119" s="2">
        <f t="shared" si="12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-1279.84</f>
        <v>-1279.8399999999999</v>
      </c>
      <c r="Q119" s="2"/>
      <c r="R119" s="19"/>
      <c r="S119" s="2"/>
      <c r="T119" s="2">
        <f t="shared" si="13"/>
        <v>0</v>
      </c>
      <c r="U119" s="2"/>
      <c r="V119" s="19"/>
      <c r="W119" s="2"/>
      <c r="X119" s="2">
        <f t="shared" si="2"/>
        <v>-1279.8399999999999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"4383", " - ", "SALES RETURN NON TAXABLE-COMPU")</f>
        <v xml:space="preserve">          4383 - SALES RETURN NON TAXABLE-COMPU</v>
      </c>
      <c r="C120" s="11"/>
      <c r="D120" s="2">
        <f>-24.99</f>
        <v>-24.99</v>
      </c>
      <c r="E120" s="2"/>
      <c r="F120" s="19"/>
      <c r="G120" s="2"/>
      <c r="H120" s="2">
        <f>-13.99</f>
        <v>-13.99</v>
      </c>
      <c r="I120" s="2"/>
      <c r="J120" s="19"/>
      <c r="K120" s="2"/>
      <c r="L120" s="2">
        <f t="shared" si="0"/>
        <v>-10.999999999999998</v>
      </c>
      <c r="M120" s="2"/>
      <c r="N120" s="19">
        <f t="shared" si="1"/>
        <v>0.78627591136526076</v>
      </c>
      <c r="O120" s="11"/>
      <c r="P120" s="2">
        <f>-49.98</f>
        <v>-49.98</v>
      </c>
      <c r="Q120" s="2"/>
      <c r="R120" s="19"/>
      <c r="S120" s="2"/>
      <c r="T120" s="2">
        <f>-13.99</f>
        <v>-13.99</v>
      </c>
      <c r="U120" s="2"/>
      <c r="V120" s="19"/>
      <c r="W120" s="2"/>
      <c r="X120" s="2">
        <f t="shared" si="2"/>
        <v>-35.989999999999995</v>
      </c>
      <c r="Y120" s="2"/>
      <c r="Z120" s="19">
        <f t="shared" si="3"/>
        <v>2.5725518227305213</v>
      </c>
    </row>
    <row r="121" spans="1:26" s="24" customFormat="1" hidden="1" outlineLevel="1" x14ac:dyDescent="0.25">
      <c r="A121" s="44"/>
      <c r="B121" s="11" t="str">
        <f>CONCATENATE("          ", "4386", " - ", "SALES RETURN NON TAXABLE-COMPU")</f>
        <v xml:space="preserve">          4386 - SALES RETURN NON TAXABLE-COMPU</v>
      </c>
      <c r="C121" s="11"/>
      <c r="D121" s="2">
        <f>-34.98</f>
        <v>-34.979999999999997</v>
      </c>
      <c r="E121" s="2"/>
      <c r="F121" s="19"/>
      <c r="G121" s="2"/>
      <c r="H121" s="2">
        <f>0</f>
        <v>0</v>
      </c>
      <c r="I121" s="2"/>
      <c r="J121" s="19"/>
      <c r="K121" s="2"/>
      <c r="L121" s="2">
        <f t="shared" si="0"/>
        <v>-34.979999999999997</v>
      </c>
      <c r="M121" s="2"/>
      <c r="N121" s="19">
        <f t="shared" si="1"/>
        <v>0</v>
      </c>
      <c r="O121" s="11"/>
      <c r="P121" s="2">
        <f>-54.97</f>
        <v>-54.97</v>
      </c>
      <c r="Q121" s="2"/>
      <c r="R121" s="19"/>
      <c r="S121" s="2"/>
      <c r="T121" s="2">
        <f>0</f>
        <v>0</v>
      </c>
      <c r="U121" s="2"/>
      <c r="V121" s="19"/>
      <c r="W121" s="2"/>
      <c r="X121" s="2">
        <f t="shared" si="2"/>
        <v>-54.97</v>
      </c>
      <c r="Y121" s="2"/>
      <c r="Z121" s="19">
        <f t="shared" si="3"/>
        <v>0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collapsed="1" x14ac:dyDescent="0.25">
      <c r="A123" s="10"/>
      <c r="B123" s="29" t="s">
        <v>8</v>
      </c>
      <c r="C123" s="10"/>
      <c r="D123" s="4">
        <f>SUM(OSRRefD16x_0)</f>
        <v>337011.44999999995</v>
      </c>
      <c r="E123" s="4"/>
      <c r="F123" s="12">
        <f t="shared" ref="F123:F179" si="15">IF(D$12=0,0,D123/D$12)</f>
        <v>0.53918427806141977</v>
      </c>
      <c r="G123" s="4"/>
      <c r="H123" s="4">
        <f>SUM(OSRRefH16x_0)</f>
        <v>365095.67999999999</v>
      </c>
      <c r="I123" s="4"/>
      <c r="J123" s="12">
        <f t="shared" ref="J123:J179" si="16">IF(H$12=0,0,H123/H$12)</f>
        <v>0.56030257617926238</v>
      </c>
      <c r="K123" s="4"/>
      <c r="L123" s="4">
        <f t="shared" ref="L123:L179" si="17">+D123-H123</f>
        <v>-28084.23000000004</v>
      </c>
      <c r="M123" s="4"/>
      <c r="N123" s="12">
        <f t="shared" ref="N123:N179" si="18">IF(H123=0,0,L123/H123)</f>
        <v>-7.6922931544958412E-2</v>
      </c>
      <c r="O123" s="10"/>
      <c r="P123" s="4">
        <f>SUM(OSRRefP16x_0)</f>
        <v>4015274.2199999988</v>
      </c>
      <c r="Q123" s="4"/>
      <c r="R123" s="12">
        <f t="shared" ref="R123:R179" si="19">IF(P$12=0,0,P123/P$12)</f>
        <v>0.67379181063983618</v>
      </c>
      <c r="S123" s="4"/>
      <c r="T123" s="4">
        <f>SUM(OSRRefT16x_0)</f>
        <v>4174260.2799999993</v>
      </c>
      <c r="U123" s="4"/>
      <c r="V123" s="12">
        <f t="shared" ref="V123:V179" si="20">IF(T$12=0,0,T123/T$12)</f>
        <v>0.67311475879903704</v>
      </c>
      <c r="W123" s="4"/>
      <c r="X123" s="4">
        <f t="shared" ref="X123:X179" si="21">+P123-T123</f>
        <v>-158986.06000000052</v>
      </c>
      <c r="Y123" s="4"/>
      <c r="Z123" s="12">
        <f t="shared" ref="Z123:Z179" si="22">IF(T123=0,0,X123/T123)</f>
        <v>-3.808724165135207E-2</v>
      </c>
    </row>
    <row r="124" spans="1:26" s="24" customFormat="1" hidden="1" outlineLevel="1" x14ac:dyDescent="0.25">
      <c r="A124" s="44"/>
      <c r="B124" s="11" t="str">
        <f>CONCATENATE("          ", "5001", " - ", "PURCHASES @ COST-NEW TEXT")</f>
        <v xml:space="preserve">          5001 - PURCHASES @ COST-NEW TEXT</v>
      </c>
      <c r="C124" s="11"/>
      <c r="D124" s="2">
        <v>-175502.53</v>
      </c>
      <c r="E124" s="2"/>
      <c r="F124" s="19">
        <f t="shared" si="15"/>
        <v>-0.28078632027488287</v>
      </c>
      <c r="G124" s="2"/>
      <c r="H124" s="2">
        <v>-327927.62</v>
      </c>
      <c r="I124" s="2"/>
      <c r="J124" s="19">
        <f t="shared" si="16"/>
        <v>-0.50326174849928162</v>
      </c>
      <c r="K124" s="2"/>
      <c r="L124" s="2">
        <f t="shared" si="17"/>
        <v>152425.09</v>
      </c>
      <c r="M124" s="2"/>
      <c r="N124" s="19">
        <f t="shared" si="18"/>
        <v>-0.46481321091526234</v>
      </c>
      <c r="O124" s="11"/>
      <c r="P124" s="2">
        <v>1757148.42</v>
      </c>
      <c r="Q124" s="2"/>
      <c r="R124" s="19">
        <f t="shared" si="19"/>
        <v>0.29486210669684415</v>
      </c>
      <c r="S124" s="2"/>
      <c r="T124" s="2">
        <v>1724550.02</v>
      </c>
      <c r="U124" s="2"/>
      <c r="V124" s="19">
        <f t="shared" si="20"/>
        <v>0.27809000706328135</v>
      </c>
      <c r="W124" s="2"/>
      <c r="X124" s="2">
        <f t="shared" si="21"/>
        <v>32598.399999999907</v>
      </c>
      <c r="Y124" s="2"/>
      <c r="Z124" s="19">
        <f t="shared" si="22"/>
        <v>1.8902554070307515E-2</v>
      </c>
    </row>
    <row r="125" spans="1:26" s="24" customFormat="1" hidden="1" outlineLevel="1" x14ac:dyDescent="0.25">
      <c r="A125" s="44"/>
      <c r="B125" s="11" t="str">
        <f>CONCATENATE("          ", "5002", " - ", "PURCHASES @ COST-USED TEXT")</f>
        <v xml:space="preserve">          5002 - PURCHASES @ COST-USED TEXT</v>
      </c>
      <c r="C125" s="11"/>
      <c r="D125" s="2">
        <v>14221.93</v>
      </c>
      <c r="E125" s="2"/>
      <c r="F125" s="19">
        <f t="shared" si="15"/>
        <v>2.2753651425463584E-2</v>
      </c>
      <c r="G125" s="2"/>
      <c r="H125" s="2">
        <v>1917.24</v>
      </c>
      <c r="I125" s="2"/>
      <c r="J125" s="19">
        <f t="shared" si="16"/>
        <v>2.9423369543948837E-3</v>
      </c>
      <c r="K125" s="2"/>
      <c r="L125" s="2">
        <f t="shared" si="17"/>
        <v>12304.69</v>
      </c>
      <c r="M125" s="2"/>
      <c r="N125" s="19">
        <f t="shared" si="18"/>
        <v>6.417918466128393</v>
      </c>
      <c r="O125" s="11"/>
      <c r="P125" s="2">
        <v>368033.17</v>
      </c>
      <c r="Q125" s="2"/>
      <c r="R125" s="19">
        <f t="shared" si="19"/>
        <v>6.1758605366140772E-2</v>
      </c>
      <c r="S125" s="2"/>
      <c r="T125" s="2">
        <v>316967.42000000004</v>
      </c>
      <c r="U125" s="2"/>
      <c r="V125" s="19">
        <f t="shared" si="20"/>
        <v>5.1112157400125785E-2</v>
      </c>
      <c r="W125" s="2"/>
      <c r="X125" s="2">
        <f t="shared" si="21"/>
        <v>51065.749999999942</v>
      </c>
      <c r="Y125" s="2"/>
      <c r="Z125" s="19">
        <f t="shared" si="22"/>
        <v>0.16110725196930314</v>
      </c>
    </row>
    <row r="126" spans="1:26" s="24" customFormat="1" hidden="1" outlineLevel="1" x14ac:dyDescent="0.25">
      <c r="A126" s="44"/>
      <c r="B126" s="11" t="str">
        <f>CONCATENATE("          ", "5003", " - ", "PURCHASES @ COST-RENTAL TEXT")</f>
        <v xml:space="preserve">          5003 - PURCHASES @ COST-RENTAL TEXT</v>
      </c>
      <c r="C126" s="11"/>
      <c r="D126" s="2"/>
      <c r="E126" s="2"/>
      <c r="F126" s="19">
        <f t="shared" si="15"/>
        <v>0</v>
      </c>
      <c r="G126" s="2"/>
      <c r="H126" s="2">
        <v>707.2</v>
      </c>
      <c r="I126" s="2"/>
      <c r="J126" s="19">
        <f t="shared" si="16"/>
        <v>1.0853209270347279E-3</v>
      </c>
      <c r="K126" s="2"/>
      <c r="L126" s="2">
        <f t="shared" si="17"/>
        <v>-707.2</v>
      </c>
      <c r="M126" s="2"/>
      <c r="N126" s="19">
        <f t="shared" si="18"/>
        <v>-1</v>
      </c>
      <c r="O126" s="11"/>
      <c r="P126" s="2">
        <v>-78.400000000000006</v>
      </c>
      <c r="Q126" s="2"/>
      <c r="R126" s="19">
        <f t="shared" si="19"/>
        <v>-1.3156082264828024E-5</v>
      </c>
      <c r="S126" s="2"/>
      <c r="T126" s="2">
        <v>185.1</v>
      </c>
      <c r="U126" s="2"/>
      <c r="V126" s="19">
        <f t="shared" si="20"/>
        <v>2.9848052947407912E-5</v>
      </c>
      <c r="W126" s="2"/>
      <c r="X126" s="2">
        <f t="shared" si="21"/>
        <v>-263.5</v>
      </c>
      <c r="Y126" s="2"/>
      <c r="Z126" s="19">
        <f t="shared" si="22"/>
        <v>-1.4235548352242031</v>
      </c>
    </row>
    <row r="127" spans="1:26" s="24" customFormat="1" hidden="1" outlineLevel="1" x14ac:dyDescent="0.25">
      <c r="A127" s="44"/>
      <c r="B127" s="11" t="str">
        <f>CONCATENATE("          ", "5004", " - ", "PURCHASES @ COST-DIGITAL TEXT")</f>
        <v xml:space="preserve">          5004 - PURCHASES @ COST-DIGITAL TEXT</v>
      </c>
      <c r="C127" s="11"/>
      <c r="D127" s="2">
        <v>-30949.360000000001</v>
      </c>
      <c r="E127" s="2"/>
      <c r="F127" s="19">
        <f t="shared" si="15"/>
        <v>-4.951584976730905E-2</v>
      </c>
      <c r="G127" s="2"/>
      <c r="H127" s="2">
        <v>51916.84</v>
      </c>
      <c r="I127" s="2"/>
      <c r="J127" s="19">
        <f t="shared" si="16"/>
        <v>7.9675385912773816E-2</v>
      </c>
      <c r="K127" s="2"/>
      <c r="L127" s="2">
        <f t="shared" si="17"/>
        <v>-82866.2</v>
      </c>
      <c r="M127" s="2"/>
      <c r="N127" s="19">
        <f t="shared" si="18"/>
        <v>-1.5961333548035668</v>
      </c>
      <c r="O127" s="11"/>
      <c r="P127" s="2">
        <v>322779.02999999997</v>
      </c>
      <c r="Q127" s="2"/>
      <c r="R127" s="19">
        <f t="shared" si="19"/>
        <v>5.4164636122976936E-2</v>
      </c>
      <c r="S127" s="2"/>
      <c r="T127" s="2">
        <v>291596.33</v>
      </c>
      <c r="U127" s="2"/>
      <c r="V127" s="19">
        <f t="shared" si="20"/>
        <v>4.7020976213451277E-2</v>
      </c>
      <c r="W127" s="2"/>
      <c r="X127" s="2">
        <f t="shared" si="21"/>
        <v>31182.699999999953</v>
      </c>
      <c r="Y127" s="2"/>
      <c r="Z127" s="19">
        <f t="shared" si="22"/>
        <v>0.10693790281928429</v>
      </c>
    </row>
    <row r="128" spans="1:26" s="24" customFormat="1" hidden="1" outlineLevel="1" x14ac:dyDescent="0.25">
      <c r="A128" s="44"/>
      <c r="B128" s="11" t="str">
        <f>CONCATENATE("          ", "5011", " - ", "PURCHASES @ COST-NO VALUE TEXT")</f>
        <v xml:space="preserve">          5011 - PURCHASES @ COST-NO VALUE TEXT</v>
      </c>
      <c r="C128" s="11"/>
      <c r="D128" s="2">
        <v>90</v>
      </c>
      <c r="E128" s="2"/>
      <c r="F128" s="19">
        <f t="shared" si="15"/>
        <v>1.4399090898996989E-4</v>
      </c>
      <c r="G128" s="2"/>
      <c r="H128" s="2">
        <v>1692</v>
      </c>
      <c r="I128" s="2"/>
      <c r="J128" s="19">
        <f t="shared" si="16"/>
        <v>2.5966671500887439E-3</v>
      </c>
      <c r="K128" s="2"/>
      <c r="L128" s="2">
        <f t="shared" si="17"/>
        <v>-1602</v>
      </c>
      <c r="M128" s="2"/>
      <c r="N128" s="19">
        <f t="shared" si="18"/>
        <v>-0.94680851063829785</v>
      </c>
      <c r="O128" s="11"/>
      <c r="P128" s="2">
        <v>3675</v>
      </c>
      <c r="Q128" s="2"/>
      <c r="R128" s="19">
        <f t="shared" si="19"/>
        <v>6.1669135616381355E-4</v>
      </c>
      <c r="S128" s="2"/>
      <c r="T128" s="2">
        <v>2775</v>
      </c>
      <c r="U128" s="2"/>
      <c r="V128" s="19">
        <f t="shared" si="20"/>
        <v>4.4747891371721752E-4</v>
      </c>
      <c r="W128" s="2"/>
      <c r="X128" s="2">
        <f t="shared" si="21"/>
        <v>900</v>
      </c>
      <c r="Y128" s="2"/>
      <c r="Z128" s="19">
        <f t="shared" si="22"/>
        <v>0.32432432432432434</v>
      </c>
    </row>
    <row r="129" spans="1:26" s="24" customFormat="1" hidden="1" outlineLevel="1" x14ac:dyDescent="0.25">
      <c r="A129" s="44"/>
      <c r="B129" s="11" t="str">
        <f>CONCATENATE("          ", "5013", " - ", "PURCHASES @ COST-TRADE BOOKS")</f>
        <v xml:space="preserve">          5013 - PURCHASES @ COST-TRADE BOOKS</v>
      </c>
      <c r="C129" s="11"/>
      <c r="D129" s="2">
        <v>212.56</v>
      </c>
      <c r="E129" s="2"/>
      <c r="F129" s="19">
        <f t="shared" si="15"/>
        <v>3.4007452905453331E-4</v>
      </c>
      <c r="G129" s="2"/>
      <c r="H129" s="2">
        <v>557.55999999999995</v>
      </c>
      <c r="I129" s="2"/>
      <c r="J129" s="19">
        <f t="shared" si="16"/>
        <v>8.556724209240425E-4</v>
      </c>
      <c r="K129" s="2"/>
      <c r="L129" s="2">
        <f t="shared" si="17"/>
        <v>-344.99999999999994</v>
      </c>
      <c r="M129" s="2"/>
      <c r="N129" s="19">
        <f t="shared" si="18"/>
        <v>-0.6187674869072386</v>
      </c>
      <c r="O129" s="11"/>
      <c r="P129" s="2">
        <v>687.35</v>
      </c>
      <c r="Q129" s="2"/>
      <c r="R129" s="19">
        <f t="shared" si="19"/>
        <v>1.1534225949910131E-4</v>
      </c>
      <c r="S129" s="2"/>
      <c r="T129" s="2">
        <v>1136.94</v>
      </c>
      <c r="U129" s="2"/>
      <c r="V129" s="19">
        <f t="shared" si="20"/>
        <v>1.8333573915735253E-4</v>
      </c>
      <c r="W129" s="2"/>
      <c r="X129" s="2">
        <f t="shared" si="21"/>
        <v>-449.59000000000003</v>
      </c>
      <c r="Y129" s="2"/>
      <c r="Z129" s="19">
        <f t="shared" si="22"/>
        <v>-0.39543863352507608</v>
      </c>
    </row>
    <row r="130" spans="1:26" s="24" customFormat="1" hidden="1" outlineLevel="1" x14ac:dyDescent="0.25">
      <c r="A130" s="44"/>
      <c r="B130" s="11" t="str">
        <f>CONCATENATE("          ", "5014", " - ", "PURCHASES @ COST-REMAINDERS")</f>
        <v xml:space="preserve">          5014 - PURCHASES @ COST-REMAINDERS</v>
      </c>
      <c r="C130" s="11"/>
      <c r="D130" s="2">
        <v>52</v>
      </c>
      <c r="E130" s="2"/>
      <c r="F130" s="19">
        <f t="shared" si="15"/>
        <v>8.3194747416427038E-5</v>
      </c>
      <c r="G130" s="2"/>
      <c r="H130" s="2">
        <v>87.6</v>
      </c>
      <c r="I130" s="2"/>
      <c r="J130" s="19">
        <f t="shared" si="16"/>
        <v>1.3443737727409808E-4</v>
      </c>
      <c r="K130" s="2"/>
      <c r="L130" s="2">
        <f t="shared" si="17"/>
        <v>-35.599999999999994</v>
      </c>
      <c r="M130" s="2"/>
      <c r="N130" s="19">
        <f t="shared" si="18"/>
        <v>-0.40639269406392692</v>
      </c>
      <c r="O130" s="11"/>
      <c r="P130" s="2">
        <v>341.97</v>
      </c>
      <c r="Q130" s="2"/>
      <c r="R130" s="19">
        <f t="shared" si="19"/>
        <v>5.7385018521724993E-5</v>
      </c>
      <c r="S130" s="2"/>
      <c r="T130" s="2">
        <v>488.86</v>
      </c>
      <c r="U130" s="2"/>
      <c r="V130" s="19">
        <f t="shared" si="20"/>
        <v>7.8830465499026643E-5</v>
      </c>
      <c r="W130" s="2"/>
      <c r="X130" s="2">
        <f t="shared" si="21"/>
        <v>-146.88999999999999</v>
      </c>
      <c r="Y130" s="2"/>
      <c r="Z130" s="19">
        <f t="shared" si="22"/>
        <v>-0.30047457349752482</v>
      </c>
    </row>
    <row r="131" spans="1:26" s="24" customFormat="1" hidden="1" outlineLevel="1" x14ac:dyDescent="0.25">
      <c r="A131" s="44"/>
      <c r="B131" s="11" t="str">
        <f>CONCATENATE("          ", "5017", " - ", "PURCHASES @ COST-DORM/HOUSEWAR")</f>
        <v xml:space="preserve">          5017 - PURCHASES @ COST-DORM/HOUSEWAR</v>
      </c>
      <c r="C131" s="11"/>
      <c r="D131" s="2"/>
      <c r="E131" s="2"/>
      <c r="F131" s="19">
        <f t="shared" si="15"/>
        <v>0</v>
      </c>
      <c r="G131" s="2"/>
      <c r="H131" s="2">
        <v>239.9</v>
      </c>
      <c r="I131" s="2"/>
      <c r="J131" s="19">
        <f t="shared" si="16"/>
        <v>3.6816811424721611E-4</v>
      </c>
      <c r="K131" s="2"/>
      <c r="L131" s="2">
        <f t="shared" si="17"/>
        <v>-239.9</v>
      </c>
      <c r="M131" s="2"/>
      <c r="N131" s="19">
        <f t="shared" si="18"/>
        <v>-1</v>
      </c>
      <c r="O131" s="11"/>
      <c r="P131" s="2">
        <v>0</v>
      </c>
      <c r="Q131" s="2"/>
      <c r="R131" s="19">
        <f t="shared" si="19"/>
        <v>0</v>
      </c>
      <c r="S131" s="2"/>
      <c r="T131" s="2">
        <v>239.9</v>
      </c>
      <c r="U131" s="2"/>
      <c r="V131" s="19">
        <f t="shared" si="20"/>
        <v>3.8684753657931708E-5</v>
      </c>
      <c r="W131" s="2"/>
      <c r="X131" s="2">
        <f t="shared" si="21"/>
        <v>-239.9</v>
      </c>
      <c r="Y131" s="2"/>
      <c r="Z131" s="19">
        <f t="shared" si="22"/>
        <v>-1</v>
      </c>
    </row>
    <row r="132" spans="1:26" s="24" customFormat="1" hidden="1" outlineLevel="1" x14ac:dyDescent="0.25">
      <c r="A132" s="44"/>
      <c r="B132" s="11" t="str">
        <f>CONCATENATE("          ", "5018", " - ", "PURCHASES @ COST-STUDY GUIDES")</f>
        <v xml:space="preserve">          5018 - PURCHASES @ COST-STUDY GUIDES</v>
      </c>
      <c r="C132" s="11"/>
      <c r="D132" s="2">
        <v>298.16000000000003</v>
      </c>
      <c r="E132" s="2"/>
      <c r="F132" s="19">
        <f t="shared" si="15"/>
        <v>4.770258824938825E-4</v>
      </c>
      <c r="G132" s="2"/>
      <c r="H132" s="2">
        <v>-0.12</v>
      </c>
      <c r="I132" s="2"/>
      <c r="J132" s="19">
        <f t="shared" si="16"/>
        <v>-1.8416079078643572E-7</v>
      </c>
      <c r="K132" s="2"/>
      <c r="L132" s="2">
        <f t="shared" si="17"/>
        <v>298.28000000000003</v>
      </c>
      <c r="M132" s="2"/>
      <c r="N132" s="19">
        <f t="shared" si="18"/>
        <v>-2485.666666666667</v>
      </c>
      <c r="O132" s="11"/>
      <c r="P132" s="2">
        <v>802.09</v>
      </c>
      <c r="Q132" s="2"/>
      <c r="R132" s="19">
        <f t="shared" si="19"/>
        <v>1.3459645438515191E-4</v>
      </c>
      <c r="S132" s="2"/>
      <c r="T132" s="2">
        <v>1034.55</v>
      </c>
      <c r="U132" s="2"/>
      <c r="V132" s="19">
        <f t="shared" si="20"/>
        <v>1.6682497664365669E-4</v>
      </c>
      <c r="W132" s="2"/>
      <c r="X132" s="2">
        <f t="shared" si="21"/>
        <v>-232.45999999999992</v>
      </c>
      <c r="Y132" s="2"/>
      <c r="Z132" s="19">
        <f t="shared" si="22"/>
        <v>-0.22469672804601029</v>
      </c>
    </row>
    <row r="133" spans="1:26" s="24" customFormat="1" hidden="1" outlineLevel="1" x14ac:dyDescent="0.25">
      <c r="A133" s="44"/>
      <c r="B133" s="11" t="str">
        <f>CONCATENATE("          ", "5025", " - ", "PURCHASES @ COST-TEST FORMS")</f>
        <v xml:space="preserve">          5025 - PURCHASES @ COST-TEST FORMS</v>
      </c>
      <c r="C133" s="11"/>
      <c r="D133" s="2">
        <v>0</v>
      </c>
      <c r="E133" s="2"/>
      <c r="F133" s="19">
        <f t="shared" si="15"/>
        <v>0</v>
      </c>
      <c r="G133" s="2"/>
      <c r="H133" s="2">
        <v>0</v>
      </c>
      <c r="I133" s="2"/>
      <c r="J133" s="19">
        <f t="shared" si="16"/>
        <v>0</v>
      </c>
      <c r="K133" s="2"/>
      <c r="L133" s="2">
        <f t="shared" si="17"/>
        <v>0</v>
      </c>
      <c r="M133" s="2"/>
      <c r="N133" s="19">
        <f t="shared" si="18"/>
        <v>0</v>
      </c>
      <c r="O133" s="11"/>
      <c r="P133" s="2">
        <v>3252.39</v>
      </c>
      <c r="Q133" s="2"/>
      <c r="R133" s="19">
        <f t="shared" si="19"/>
        <v>5.4577436731255121E-4</v>
      </c>
      <c r="S133" s="2"/>
      <c r="T133" s="2">
        <v>1050</v>
      </c>
      <c r="U133" s="2"/>
      <c r="V133" s="19">
        <f t="shared" si="20"/>
        <v>1.6931634573083906E-4</v>
      </c>
      <c r="W133" s="2"/>
      <c r="X133" s="2">
        <f t="shared" si="21"/>
        <v>2202.39</v>
      </c>
      <c r="Y133" s="2"/>
      <c r="Z133" s="19">
        <f t="shared" si="22"/>
        <v>2.0975142857142854</v>
      </c>
    </row>
    <row r="134" spans="1:26" s="24" customFormat="1" hidden="1" outlineLevel="1" x14ac:dyDescent="0.25">
      <c r="A134" s="44"/>
      <c r="B134" s="11" t="str">
        <f>CONCATENATE("          ", "5026", " - ", "PURCHASES @ COST-WRITING INSTR")</f>
        <v xml:space="preserve">          5026 - PURCHASES @ COST-WRITING INSTR</v>
      </c>
      <c r="C134" s="11"/>
      <c r="D134" s="2">
        <v>10530.19</v>
      </c>
      <c r="E134" s="2"/>
      <c r="F134" s="19">
        <f t="shared" si="15"/>
        <v>1.6847240332634347E-2</v>
      </c>
      <c r="G134" s="2"/>
      <c r="H134" s="2">
        <v>4384.4399999999996</v>
      </c>
      <c r="I134" s="2"/>
      <c r="J134" s="19">
        <f t="shared" si="16"/>
        <v>6.7286828129640023E-3</v>
      </c>
      <c r="K134" s="2"/>
      <c r="L134" s="2">
        <f t="shared" si="17"/>
        <v>6145.7500000000009</v>
      </c>
      <c r="M134" s="2"/>
      <c r="N134" s="19">
        <f t="shared" si="18"/>
        <v>1.4017183494357321</v>
      </c>
      <c r="O134" s="11"/>
      <c r="P134" s="2">
        <v>25317.57</v>
      </c>
      <c r="Q134" s="2"/>
      <c r="R134" s="19">
        <f t="shared" si="19"/>
        <v>4.2484698171625255E-3</v>
      </c>
      <c r="S134" s="2"/>
      <c r="T134" s="2">
        <v>27224.929999999997</v>
      </c>
      <c r="U134" s="2"/>
      <c r="V134" s="19">
        <f t="shared" si="20"/>
        <v>4.3901196765503726E-3</v>
      </c>
      <c r="W134" s="2"/>
      <c r="X134" s="2">
        <f t="shared" si="21"/>
        <v>-1907.3599999999969</v>
      </c>
      <c r="Y134" s="2"/>
      <c r="Z134" s="19">
        <f t="shared" si="22"/>
        <v>-7.0059316956921372E-2</v>
      </c>
    </row>
    <row r="135" spans="1:26" s="24" customFormat="1" hidden="1" outlineLevel="1" x14ac:dyDescent="0.25">
      <c r="A135" s="44"/>
      <c r="B135" s="11" t="str">
        <f>CONCATENATE("          ", "5027", " - ", "PURCHASES @ COST-SCHOOL SUPPLI")</f>
        <v xml:space="preserve">          5027 - PURCHASES @ COST-SCHOOL SUPPLI</v>
      </c>
      <c r="C135" s="11"/>
      <c r="D135" s="2">
        <v>9839.7000000000007</v>
      </c>
      <c r="E135" s="2"/>
      <c r="F135" s="19">
        <f t="shared" si="15"/>
        <v>1.574252607987341E-2</v>
      </c>
      <c r="G135" s="2"/>
      <c r="H135" s="2">
        <v>15846.8</v>
      </c>
      <c r="I135" s="2"/>
      <c r="J135" s="19">
        <f t="shared" si="16"/>
        <v>2.4319660161954082E-2</v>
      </c>
      <c r="K135" s="2"/>
      <c r="L135" s="2">
        <f t="shared" si="17"/>
        <v>-6007.0999999999985</v>
      </c>
      <c r="M135" s="2"/>
      <c r="N135" s="19">
        <f t="shared" si="18"/>
        <v>-0.37907337759042825</v>
      </c>
      <c r="O135" s="11"/>
      <c r="P135" s="2">
        <v>72022.38</v>
      </c>
      <c r="Q135" s="2"/>
      <c r="R135" s="19">
        <f t="shared" si="19"/>
        <v>1.2085871890162048E-2</v>
      </c>
      <c r="S135" s="2"/>
      <c r="T135" s="2">
        <v>74579.03</v>
      </c>
      <c r="U135" s="2"/>
      <c r="V135" s="19">
        <f t="shared" si="20"/>
        <v>1.2026141740714874E-2</v>
      </c>
      <c r="W135" s="2"/>
      <c r="X135" s="2">
        <f t="shared" si="21"/>
        <v>-2556.6499999999942</v>
      </c>
      <c r="Y135" s="2"/>
      <c r="Z135" s="19">
        <f t="shared" si="22"/>
        <v>-3.4281084106349925E-2</v>
      </c>
    </row>
    <row r="136" spans="1:26" s="24" customFormat="1" hidden="1" outlineLevel="1" x14ac:dyDescent="0.25">
      <c r="A136" s="44"/>
      <c r="B136" s="11" t="str">
        <f>CONCATENATE("          ", "5028", " - ", "PURCHASES @ COST-ART/TECH")</f>
        <v xml:space="preserve">          5028 - PURCHASES @ COST-ART/TECH</v>
      </c>
      <c r="C136" s="11"/>
      <c r="D136" s="2">
        <v>19494.289999999997</v>
      </c>
      <c r="E136" s="2"/>
      <c r="F136" s="19">
        <f t="shared" si="15"/>
        <v>3.1188894857934218E-2</v>
      </c>
      <c r="G136" s="2"/>
      <c r="H136" s="2">
        <v>29619.939999999995</v>
      </c>
      <c r="I136" s="2"/>
      <c r="J136" s="19">
        <f t="shared" si="16"/>
        <v>4.5456929778723155E-2</v>
      </c>
      <c r="K136" s="2"/>
      <c r="L136" s="2">
        <f t="shared" si="17"/>
        <v>-10125.649999999998</v>
      </c>
      <c r="M136" s="2"/>
      <c r="N136" s="19">
        <f t="shared" si="18"/>
        <v>-0.34185248180786321</v>
      </c>
      <c r="O136" s="11"/>
      <c r="P136" s="2">
        <v>90339.069999999992</v>
      </c>
      <c r="Q136" s="2"/>
      <c r="R136" s="19">
        <f t="shared" si="19"/>
        <v>1.5159543834796648E-2</v>
      </c>
      <c r="S136" s="2"/>
      <c r="T136" s="2">
        <v>82795.509999999995</v>
      </c>
      <c r="U136" s="2"/>
      <c r="V136" s="19">
        <f t="shared" si="20"/>
        <v>1.3351079234401087E-2</v>
      </c>
      <c r="W136" s="2"/>
      <c r="X136" s="2">
        <f t="shared" si="21"/>
        <v>7543.5599999999977</v>
      </c>
      <c r="Y136" s="2"/>
      <c r="Z136" s="19">
        <f t="shared" si="22"/>
        <v>9.1110737768267849E-2</v>
      </c>
    </row>
    <row r="137" spans="1:26" s="24" customFormat="1" hidden="1" outlineLevel="1" x14ac:dyDescent="0.25">
      <c r="A137" s="44"/>
      <c r="B137" s="11" t="str">
        <f>CONCATENATE("          ", "5031", " - ", "PURCHASES @ COST-FOOD")</f>
        <v xml:space="preserve">          5031 - PURCHASES @ COST-FOOD</v>
      </c>
      <c r="C137" s="11"/>
      <c r="D137" s="2">
        <v>7839.04</v>
      </c>
      <c r="E137" s="2"/>
      <c r="F137" s="19">
        <f t="shared" si="15"/>
        <v>1.2541672168985928E-2</v>
      </c>
      <c r="G137" s="2"/>
      <c r="H137" s="2">
        <v>6328.18</v>
      </c>
      <c r="I137" s="2"/>
      <c r="J137" s="19">
        <f t="shared" si="16"/>
        <v>9.711688608657558E-3</v>
      </c>
      <c r="K137" s="2"/>
      <c r="L137" s="2">
        <f t="shared" si="17"/>
        <v>1510.8599999999997</v>
      </c>
      <c r="M137" s="2"/>
      <c r="N137" s="19">
        <f t="shared" si="18"/>
        <v>0.23875111011380834</v>
      </c>
      <c r="O137" s="11"/>
      <c r="P137" s="2">
        <v>15989.089999999998</v>
      </c>
      <c r="Q137" s="2"/>
      <c r="R137" s="19">
        <f t="shared" si="19"/>
        <v>2.6830839716803453E-3</v>
      </c>
      <c r="S137" s="2"/>
      <c r="T137" s="2">
        <v>13421.61</v>
      </c>
      <c r="U137" s="2"/>
      <c r="V137" s="19">
        <f t="shared" si="20"/>
        <v>2.1642837704995113E-3</v>
      </c>
      <c r="W137" s="2"/>
      <c r="X137" s="2">
        <f t="shared" si="21"/>
        <v>2567.4799999999977</v>
      </c>
      <c r="Y137" s="2"/>
      <c r="Z137" s="19">
        <f t="shared" si="22"/>
        <v>0.19129448702502885</v>
      </c>
    </row>
    <row r="138" spans="1:26" s="24" customFormat="1" hidden="1" outlineLevel="1" x14ac:dyDescent="0.25">
      <c r="A138" s="44"/>
      <c r="B138" s="11" t="str">
        <f>CONCATENATE("          ", "5032", " - ", "PURCHASES @ COST-JUICE")</f>
        <v xml:space="preserve">          5032 - PURCHASES @ COST-JUICE</v>
      </c>
      <c r="C138" s="11"/>
      <c r="D138" s="2">
        <v>2565.13</v>
      </c>
      <c r="E138" s="2"/>
      <c r="F138" s="19">
        <f t="shared" si="15"/>
        <v>4.103948893082683E-3</v>
      </c>
      <c r="G138" s="2"/>
      <c r="H138" s="2">
        <v>1808.19</v>
      </c>
      <c r="I138" s="2"/>
      <c r="J138" s="19">
        <f t="shared" si="16"/>
        <v>2.7749808357677105E-3</v>
      </c>
      <c r="K138" s="2"/>
      <c r="L138" s="2">
        <f t="shared" si="17"/>
        <v>756.94</v>
      </c>
      <c r="M138" s="2"/>
      <c r="N138" s="19">
        <f t="shared" si="18"/>
        <v>0.41861751254016449</v>
      </c>
      <c r="O138" s="11"/>
      <c r="P138" s="2">
        <v>3384.28</v>
      </c>
      <c r="Q138" s="2"/>
      <c r="R138" s="19">
        <f t="shared" si="19"/>
        <v>5.6790645519403293E-4</v>
      </c>
      <c r="S138" s="2"/>
      <c r="T138" s="2">
        <v>3835.77</v>
      </c>
      <c r="U138" s="2"/>
      <c r="V138" s="19">
        <f t="shared" si="20"/>
        <v>6.1853196139426711E-4</v>
      </c>
      <c r="W138" s="2"/>
      <c r="X138" s="2">
        <f t="shared" si="21"/>
        <v>-451.48999999999978</v>
      </c>
      <c r="Y138" s="2"/>
      <c r="Z138" s="19">
        <f t="shared" si="22"/>
        <v>-0.11770518044616851</v>
      </c>
    </row>
    <row r="139" spans="1:26" s="24" customFormat="1" hidden="1" outlineLevel="1" x14ac:dyDescent="0.25">
      <c r="A139" s="44"/>
      <c r="B139" s="11" t="str">
        <f>CONCATENATE("          ", "5033", " - ", "PURCHASES @ COST-CANDY")</f>
        <v xml:space="preserve">          5033 - PURCHASES @ COST-CANDY</v>
      </c>
      <c r="C139" s="11"/>
      <c r="D139" s="2">
        <v>2102.09</v>
      </c>
      <c r="E139" s="2"/>
      <c r="F139" s="19">
        <f t="shared" si="15"/>
        <v>3.3631316653191757E-3</v>
      </c>
      <c r="G139" s="2"/>
      <c r="H139" s="2">
        <v>1794.06</v>
      </c>
      <c r="I139" s="2"/>
      <c r="J139" s="19">
        <f t="shared" si="16"/>
        <v>2.7532959026526074E-3</v>
      </c>
      <c r="K139" s="2"/>
      <c r="L139" s="2">
        <f t="shared" si="17"/>
        <v>308.0300000000002</v>
      </c>
      <c r="M139" s="2"/>
      <c r="N139" s="19">
        <f t="shared" si="18"/>
        <v>0.1716943691961251</v>
      </c>
      <c r="O139" s="11"/>
      <c r="P139" s="2">
        <v>4455.2</v>
      </c>
      <c r="Q139" s="2"/>
      <c r="R139" s="19">
        <f t="shared" si="19"/>
        <v>7.4761451155946185E-4</v>
      </c>
      <c r="S139" s="2"/>
      <c r="T139" s="2">
        <v>3566.92</v>
      </c>
      <c r="U139" s="2"/>
      <c r="V139" s="19">
        <f t="shared" si="20"/>
        <v>5.751789142040423E-4</v>
      </c>
      <c r="W139" s="2"/>
      <c r="X139" s="2">
        <f t="shared" si="21"/>
        <v>888.27999999999975</v>
      </c>
      <c r="Y139" s="2"/>
      <c r="Z139" s="19">
        <f t="shared" si="22"/>
        <v>0.2490327789801845</v>
      </c>
    </row>
    <row r="140" spans="1:26" s="24" customFormat="1" hidden="1" outlineLevel="1" x14ac:dyDescent="0.25">
      <c r="A140" s="44"/>
      <c r="B140" s="11" t="str">
        <f>CONCATENATE("          ", "5034", " - ", "PURCHASES @ COST-SODA")</f>
        <v xml:space="preserve">          5034 - PURCHASES @ COST-SODA</v>
      </c>
      <c r="C140" s="11"/>
      <c r="D140" s="2">
        <v>876</v>
      </c>
      <c r="E140" s="2"/>
      <c r="F140" s="19">
        <f t="shared" si="15"/>
        <v>1.4015115141690403E-3</v>
      </c>
      <c r="G140" s="2"/>
      <c r="H140" s="2">
        <v>570.59</v>
      </c>
      <c r="I140" s="2"/>
      <c r="J140" s="19">
        <f t="shared" si="16"/>
        <v>8.7566921345693641E-4</v>
      </c>
      <c r="K140" s="2"/>
      <c r="L140" s="2">
        <f t="shared" si="17"/>
        <v>305.40999999999997</v>
      </c>
      <c r="M140" s="2"/>
      <c r="N140" s="19">
        <f t="shared" si="18"/>
        <v>0.53525298375365837</v>
      </c>
      <c r="O140" s="11"/>
      <c r="P140" s="2">
        <v>1494.54</v>
      </c>
      <c r="Q140" s="2"/>
      <c r="R140" s="19">
        <f t="shared" si="19"/>
        <v>2.5079453046015398E-4</v>
      </c>
      <c r="S140" s="2"/>
      <c r="T140" s="2">
        <v>1257.75</v>
      </c>
      <c r="U140" s="2"/>
      <c r="V140" s="19">
        <f t="shared" si="20"/>
        <v>2.0281679413615506E-4</v>
      </c>
      <c r="W140" s="2"/>
      <c r="X140" s="2">
        <f t="shared" si="21"/>
        <v>236.78999999999996</v>
      </c>
      <c r="Y140" s="2"/>
      <c r="Z140" s="19">
        <f t="shared" si="22"/>
        <v>0.18826475849731661</v>
      </c>
    </row>
    <row r="141" spans="1:26" s="24" customFormat="1" hidden="1" outlineLevel="1" x14ac:dyDescent="0.25">
      <c r="A141" s="44"/>
      <c r="B141" s="11" t="str">
        <f>CONCATENATE("          ", "5035", " - ", "PURCHASES @ COST-HEALTH &amp; BEAU")</f>
        <v xml:space="preserve">          5035 - PURCHASES @ COST-HEALTH &amp; BEAU</v>
      </c>
      <c r="C141" s="11"/>
      <c r="D141" s="2">
        <v>291.13</v>
      </c>
      <c r="E141" s="2"/>
      <c r="F141" s="19">
        <f t="shared" si="15"/>
        <v>4.6577859260277704E-4</v>
      </c>
      <c r="G141" s="2"/>
      <c r="H141" s="2">
        <v>343.81</v>
      </c>
      <c r="I141" s="2"/>
      <c r="J141" s="19">
        <f t="shared" si="16"/>
        <v>5.2763601233570391E-4</v>
      </c>
      <c r="K141" s="2"/>
      <c r="L141" s="2">
        <f t="shared" si="17"/>
        <v>-52.680000000000007</v>
      </c>
      <c r="M141" s="2"/>
      <c r="N141" s="19">
        <f t="shared" si="18"/>
        <v>-0.15322416450946746</v>
      </c>
      <c r="O141" s="11"/>
      <c r="P141" s="2">
        <v>578.69000000000005</v>
      </c>
      <c r="Q141" s="2"/>
      <c r="R141" s="19">
        <f t="shared" si="19"/>
        <v>9.7108332217261858E-5</v>
      </c>
      <c r="S141" s="2"/>
      <c r="T141" s="2">
        <v>469.33</v>
      </c>
      <c r="U141" s="2"/>
      <c r="V141" s="19">
        <f t="shared" si="20"/>
        <v>7.5681181468433036E-5</v>
      </c>
      <c r="W141" s="2"/>
      <c r="X141" s="2">
        <f t="shared" si="21"/>
        <v>109.36000000000007</v>
      </c>
      <c r="Y141" s="2"/>
      <c r="Z141" s="19">
        <f t="shared" si="22"/>
        <v>0.23301301855837059</v>
      </c>
    </row>
    <row r="142" spans="1:26" s="24" customFormat="1" hidden="1" outlineLevel="1" x14ac:dyDescent="0.25">
      <c r="A142" s="44"/>
      <c r="B142" s="11" t="str">
        <f>CONCATENATE("          ", "5037", " - ", "PURCHASES @ COST-WATER")</f>
        <v xml:space="preserve">          5037 - PURCHASES @ COST-WATER</v>
      </c>
      <c r="C142" s="11"/>
      <c r="D142" s="2">
        <v>1463.27</v>
      </c>
      <c r="E142" s="2"/>
      <c r="F142" s="19">
        <f t="shared" si="15"/>
        <v>2.3410841933083691E-3</v>
      </c>
      <c r="G142" s="2"/>
      <c r="H142" s="2">
        <v>1459.34</v>
      </c>
      <c r="I142" s="2"/>
      <c r="J142" s="19">
        <f t="shared" si="16"/>
        <v>2.239610070218976E-3</v>
      </c>
      <c r="K142" s="2"/>
      <c r="L142" s="2">
        <f t="shared" si="17"/>
        <v>3.9300000000000637</v>
      </c>
      <c r="M142" s="2"/>
      <c r="N142" s="19">
        <f t="shared" si="18"/>
        <v>2.6929982046679075E-3</v>
      </c>
      <c r="O142" s="11"/>
      <c r="P142" s="2">
        <v>2855.85</v>
      </c>
      <c r="Q142" s="2"/>
      <c r="R142" s="19">
        <f t="shared" si="19"/>
        <v>4.7923211142868763E-4</v>
      </c>
      <c r="S142" s="2"/>
      <c r="T142" s="2">
        <v>2666.08</v>
      </c>
      <c r="U142" s="2"/>
      <c r="V142" s="19">
        <f t="shared" si="20"/>
        <v>4.2991516478673846E-4</v>
      </c>
      <c r="W142" s="2"/>
      <c r="X142" s="2">
        <f t="shared" si="21"/>
        <v>189.76999999999998</v>
      </c>
      <c r="Y142" s="2"/>
      <c r="Z142" s="19">
        <f t="shared" si="22"/>
        <v>7.1179409470083416E-2</v>
      </c>
    </row>
    <row r="143" spans="1:26" s="24" customFormat="1" hidden="1" outlineLevel="1" x14ac:dyDescent="0.25">
      <c r="A143" s="44"/>
      <c r="B143" s="11" t="str">
        <f>CONCATENATE("          ", "5040", " - ", "PURCHASES @ COST-LOGO CLOTHING")</f>
        <v xml:space="preserve">          5040 - PURCHASES @ COST-LOGO CLOTHING</v>
      </c>
      <c r="C143" s="11"/>
      <c r="D143" s="2">
        <v>176749.05</v>
      </c>
      <c r="E143" s="2"/>
      <c r="F143" s="19">
        <f t="shared" si="15"/>
        <v>0.28278062636237372</v>
      </c>
      <c r="G143" s="2"/>
      <c r="H143" s="2">
        <v>148087.87</v>
      </c>
      <c r="I143" s="2"/>
      <c r="J143" s="19">
        <f t="shared" si="16"/>
        <v>0.22726649370899077</v>
      </c>
      <c r="K143" s="2"/>
      <c r="L143" s="2">
        <f t="shared" si="17"/>
        <v>28661.179999999993</v>
      </c>
      <c r="M143" s="2"/>
      <c r="N143" s="19">
        <f t="shared" si="18"/>
        <v>0.19354171276823681</v>
      </c>
      <c r="O143" s="11"/>
      <c r="P143" s="2">
        <v>512600.91000000003</v>
      </c>
      <c r="Q143" s="2"/>
      <c r="R143" s="19">
        <f t="shared" si="19"/>
        <v>8.6018108941144214E-2</v>
      </c>
      <c r="S143" s="2"/>
      <c r="T143" s="2">
        <v>443210.29</v>
      </c>
      <c r="U143" s="2"/>
      <c r="V143" s="19">
        <f t="shared" si="20"/>
        <v>7.1469282564862319E-2</v>
      </c>
      <c r="W143" s="2"/>
      <c r="X143" s="2">
        <f t="shared" si="21"/>
        <v>69390.620000000054</v>
      </c>
      <c r="Y143" s="2"/>
      <c r="Z143" s="19">
        <f t="shared" si="22"/>
        <v>0.15656364837558273</v>
      </c>
    </row>
    <row r="144" spans="1:26" s="24" customFormat="1" hidden="1" outlineLevel="1" x14ac:dyDescent="0.25">
      <c r="A144" s="44"/>
      <c r="B144" s="11" t="str">
        <f>CONCATENATE("          ", "5041", " - ", "PURCHASES @ COST-LOGO GIFTS")</f>
        <v xml:space="preserve">          5041 - PURCHASES @ COST-LOGO GIFTS</v>
      </c>
      <c r="C144" s="11"/>
      <c r="D144" s="2">
        <v>27759.98</v>
      </c>
      <c r="E144" s="2"/>
      <c r="F144" s="19">
        <f t="shared" si="15"/>
        <v>4.4413163930482044E-2</v>
      </c>
      <c r="G144" s="2"/>
      <c r="H144" s="2">
        <v>39602.310000000005</v>
      </c>
      <c r="I144" s="2"/>
      <c r="J144" s="19">
        <f t="shared" si="16"/>
        <v>6.077660605474644E-2</v>
      </c>
      <c r="K144" s="2"/>
      <c r="L144" s="2">
        <f t="shared" si="17"/>
        <v>-11842.330000000005</v>
      </c>
      <c r="M144" s="2"/>
      <c r="N144" s="19">
        <f t="shared" si="18"/>
        <v>-0.29903129388159438</v>
      </c>
      <c r="O144" s="11"/>
      <c r="P144" s="2">
        <v>70456.460000000006</v>
      </c>
      <c r="Q144" s="2"/>
      <c r="R144" s="19">
        <f t="shared" si="19"/>
        <v>1.1823099283782718E-2</v>
      </c>
      <c r="S144" s="2"/>
      <c r="T144" s="2">
        <v>83100.850000000006</v>
      </c>
      <c r="U144" s="2"/>
      <c r="V144" s="19">
        <f t="shared" si="20"/>
        <v>1.3400316427739617E-2</v>
      </c>
      <c r="W144" s="2"/>
      <c r="X144" s="2">
        <f t="shared" si="21"/>
        <v>-12644.39</v>
      </c>
      <c r="Y144" s="2"/>
      <c r="Z144" s="19">
        <f t="shared" si="22"/>
        <v>-0.15215716806747462</v>
      </c>
    </row>
    <row r="145" spans="1:26" s="24" customFormat="1" hidden="1" outlineLevel="1" x14ac:dyDescent="0.25">
      <c r="A145" s="44"/>
      <c r="B145" s="11" t="str">
        <f>CONCATENATE("          ", "5042", " - ", "PURCHASES @ COST-EVERYDAY GIFT")</f>
        <v xml:space="preserve">          5042 - PURCHASES @ COST-EVERYDAY GIFT</v>
      </c>
      <c r="C145" s="11"/>
      <c r="D145" s="2">
        <v>13956.79</v>
      </c>
      <c r="E145" s="2"/>
      <c r="F145" s="19">
        <f t="shared" si="15"/>
        <v>2.2329454207579133E-2</v>
      </c>
      <c r="G145" s="2"/>
      <c r="H145" s="2">
        <v>25064.3</v>
      </c>
      <c r="I145" s="2"/>
      <c r="J145" s="19">
        <f t="shared" si="16"/>
        <v>3.8465510904237173E-2</v>
      </c>
      <c r="K145" s="2"/>
      <c r="L145" s="2">
        <f t="shared" si="17"/>
        <v>-11107.509999999998</v>
      </c>
      <c r="M145" s="2"/>
      <c r="N145" s="19">
        <f t="shared" si="18"/>
        <v>-0.44316059096005067</v>
      </c>
      <c r="O145" s="11"/>
      <c r="P145" s="2">
        <v>49248.47</v>
      </c>
      <c r="Q145" s="2"/>
      <c r="R145" s="19">
        <f t="shared" si="19"/>
        <v>8.2642464634810585E-3</v>
      </c>
      <c r="S145" s="2"/>
      <c r="T145" s="2">
        <v>60335.35</v>
      </c>
      <c r="U145" s="2"/>
      <c r="V145" s="19">
        <f t="shared" si="20"/>
        <v>9.7292961718011238E-3</v>
      </c>
      <c r="W145" s="2"/>
      <c r="X145" s="2">
        <f t="shared" si="21"/>
        <v>-11086.879999999997</v>
      </c>
      <c r="Y145" s="2"/>
      <c r="Z145" s="19">
        <f t="shared" si="22"/>
        <v>-0.18375429992533396</v>
      </c>
    </row>
    <row r="146" spans="1:26" s="24" customFormat="1" hidden="1" outlineLevel="1" x14ac:dyDescent="0.25">
      <c r="A146" s="44"/>
      <c r="B146" s="11" t="str">
        <f>CONCATENATE("          ", "5043", " - ", "PURCHASES @ COST-CARDS")</f>
        <v xml:space="preserve">          5043 - PURCHASES @ COST-CARDS</v>
      </c>
      <c r="C146" s="11"/>
      <c r="D146" s="2">
        <v>331.09</v>
      </c>
      <c r="E146" s="2"/>
      <c r="F146" s="19">
        <f t="shared" si="15"/>
        <v>5.2971055619432364E-4</v>
      </c>
      <c r="G146" s="2"/>
      <c r="H146" s="2">
        <v>670.29</v>
      </c>
      <c r="I146" s="2"/>
      <c r="J146" s="19">
        <f t="shared" si="16"/>
        <v>1.0286761371353333E-3</v>
      </c>
      <c r="K146" s="2"/>
      <c r="L146" s="2">
        <f t="shared" si="17"/>
        <v>-339.2</v>
      </c>
      <c r="M146" s="2"/>
      <c r="N146" s="19">
        <f t="shared" si="18"/>
        <v>-0.50604962031359557</v>
      </c>
      <c r="O146" s="11"/>
      <c r="P146" s="2">
        <v>1340.08</v>
      </c>
      <c r="Q146" s="2"/>
      <c r="R146" s="19">
        <f t="shared" si="19"/>
        <v>2.2487503471238184E-4</v>
      </c>
      <c r="S146" s="2"/>
      <c r="T146" s="2">
        <v>1808.34</v>
      </c>
      <c r="U146" s="2"/>
      <c r="V146" s="19">
        <f t="shared" si="20"/>
        <v>2.9160144822752904E-4</v>
      </c>
      <c r="W146" s="2"/>
      <c r="X146" s="2">
        <f t="shared" si="21"/>
        <v>-468.26</v>
      </c>
      <c r="Y146" s="2"/>
      <c r="Z146" s="19">
        <f t="shared" si="22"/>
        <v>-0.25894466748509681</v>
      </c>
    </row>
    <row r="147" spans="1:26" s="24" customFormat="1" hidden="1" outlineLevel="1" x14ac:dyDescent="0.25">
      <c r="A147" s="44"/>
      <c r="B147" s="11" t="str">
        <f>CONCATENATE("          ", "5044", " - ", "PURCHASES @ COST-ACCESSORIES")</f>
        <v xml:space="preserve">          5044 - PURCHASES @ COST-ACCESSORIES</v>
      </c>
      <c r="C147" s="11"/>
      <c r="D147" s="2">
        <v>3747.48</v>
      </c>
      <c r="E147" s="2"/>
      <c r="F147" s="19">
        <f t="shared" si="15"/>
        <v>5.9955894624636923E-3</v>
      </c>
      <c r="G147" s="2"/>
      <c r="H147" s="2">
        <v>5410.78</v>
      </c>
      <c r="I147" s="2"/>
      <c r="J147" s="19">
        <f t="shared" si="16"/>
        <v>8.303779363095256E-3</v>
      </c>
      <c r="K147" s="2"/>
      <c r="L147" s="2">
        <f t="shared" si="17"/>
        <v>-1663.2999999999997</v>
      </c>
      <c r="M147" s="2"/>
      <c r="N147" s="19">
        <f t="shared" si="18"/>
        <v>-0.30740484736026963</v>
      </c>
      <c r="O147" s="11"/>
      <c r="P147" s="2">
        <v>24151.129999999997</v>
      </c>
      <c r="Q147" s="2"/>
      <c r="R147" s="19">
        <f t="shared" si="19"/>
        <v>4.0527328197519892E-3</v>
      </c>
      <c r="S147" s="2"/>
      <c r="T147" s="2">
        <v>18947.070000000003</v>
      </c>
      <c r="U147" s="2"/>
      <c r="V147" s="19">
        <f t="shared" si="20"/>
        <v>3.0552844330537232E-3</v>
      </c>
      <c r="W147" s="2"/>
      <c r="X147" s="2">
        <f t="shared" si="21"/>
        <v>5204.059999999994</v>
      </c>
      <c r="Y147" s="2"/>
      <c r="Z147" s="19">
        <f t="shared" si="22"/>
        <v>0.27466304816523046</v>
      </c>
    </row>
    <row r="148" spans="1:26" s="24" customFormat="1" hidden="1" outlineLevel="1" x14ac:dyDescent="0.25">
      <c r="A148" s="44"/>
      <c r="B148" s="11" t="str">
        <f>CONCATENATE("          ", "5045", " - ", "PURCHASES @ COST-SPECIAL ORDER")</f>
        <v xml:space="preserve">          5045 - PURCHASES @ COST-SPECIAL ORDER</v>
      </c>
      <c r="C148" s="11"/>
      <c r="D148" s="2">
        <v>3599.17</v>
      </c>
      <c r="E148" s="2"/>
      <c r="F148" s="19">
        <f t="shared" si="15"/>
        <v>5.7583084434381102E-3</v>
      </c>
      <c r="G148" s="2"/>
      <c r="H148" s="2">
        <v>8833.39</v>
      </c>
      <c r="I148" s="2"/>
      <c r="J148" s="19">
        <f t="shared" si="16"/>
        <v>1.3556367397708279E-2</v>
      </c>
      <c r="K148" s="2"/>
      <c r="L148" s="2">
        <f t="shared" si="17"/>
        <v>-5234.2199999999993</v>
      </c>
      <c r="M148" s="2"/>
      <c r="N148" s="19">
        <f t="shared" si="18"/>
        <v>-0.59254940628682751</v>
      </c>
      <c r="O148" s="11"/>
      <c r="P148" s="2">
        <v>28063.200000000001</v>
      </c>
      <c r="Q148" s="2"/>
      <c r="R148" s="19">
        <f t="shared" si="19"/>
        <v>4.7092062221214511E-3</v>
      </c>
      <c r="S148" s="2"/>
      <c r="T148" s="2">
        <v>41970.42</v>
      </c>
      <c r="U148" s="2"/>
      <c r="V148" s="19">
        <f t="shared" si="20"/>
        <v>6.76788394589383E-3</v>
      </c>
      <c r="W148" s="2"/>
      <c r="X148" s="2">
        <f t="shared" si="21"/>
        <v>-13907.219999999998</v>
      </c>
      <c r="Y148" s="2"/>
      <c r="Z148" s="19">
        <f t="shared" si="22"/>
        <v>-0.3313576561778509</v>
      </c>
    </row>
    <row r="149" spans="1:26" s="24" customFormat="1" hidden="1" outlineLevel="1" x14ac:dyDescent="0.25">
      <c r="A149" s="44"/>
      <c r="B149" s="11" t="str">
        <f>CONCATENATE("          ", "5081", " - ", "PURCHASES @ COST-ELECTRONICS")</f>
        <v xml:space="preserve">          5081 - PURCHASES @ COST-ELECTRONICS</v>
      </c>
      <c r="C149" s="11"/>
      <c r="D149" s="2">
        <v>18978.52</v>
      </c>
      <c r="E149" s="2"/>
      <c r="F149" s="19">
        <f t="shared" si="15"/>
        <v>3.0363714956492482E-2</v>
      </c>
      <c r="G149" s="2"/>
      <c r="H149" s="2">
        <v>13584.7</v>
      </c>
      <c r="I149" s="2"/>
      <c r="J149" s="19">
        <f t="shared" si="16"/>
        <v>2.0848075788304114E-2</v>
      </c>
      <c r="K149" s="2"/>
      <c r="L149" s="2">
        <f t="shared" si="17"/>
        <v>5393.82</v>
      </c>
      <c r="M149" s="2"/>
      <c r="N149" s="19">
        <f t="shared" si="18"/>
        <v>0.39705109424573226</v>
      </c>
      <c r="O149" s="11"/>
      <c r="P149" s="2">
        <v>169136.69</v>
      </c>
      <c r="Q149" s="2"/>
      <c r="R149" s="19">
        <f t="shared" si="19"/>
        <v>2.8382349587254021E-2</v>
      </c>
      <c r="S149" s="2"/>
      <c r="T149" s="2">
        <v>146129.32</v>
      </c>
      <c r="U149" s="2"/>
      <c r="V149" s="19">
        <f t="shared" si="20"/>
        <v>2.3563888063364204E-2</v>
      </c>
      <c r="W149" s="2"/>
      <c r="X149" s="2">
        <f t="shared" si="21"/>
        <v>23007.369999999995</v>
      </c>
      <c r="Y149" s="2"/>
      <c r="Z149" s="19">
        <f t="shared" si="22"/>
        <v>0.15744526834176736</v>
      </c>
    </row>
    <row r="150" spans="1:26" s="24" customFormat="1" hidden="1" outlineLevel="1" x14ac:dyDescent="0.25">
      <c r="A150" s="44"/>
      <c r="B150" s="11" t="str">
        <f>CONCATENATE("          ", "5082", " - ", "PURCHASES @ COST-COMPUTER HARD")</f>
        <v xml:space="preserve">          5082 - PURCHASES @ COST-COMPUTER HARD</v>
      </c>
      <c r="C150" s="11"/>
      <c r="D150" s="2">
        <v>94594.73</v>
      </c>
      <c r="E150" s="2"/>
      <c r="F150" s="19">
        <f t="shared" si="15"/>
        <v>0.15134201287067525</v>
      </c>
      <c r="G150" s="2"/>
      <c r="H150" s="2">
        <v>54674.52</v>
      </c>
      <c r="I150" s="2"/>
      <c r="J150" s="19">
        <f t="shared" si="16"/>
        <v>8.3907523658906635E-2</v>
      </c>
      <c r="K150" s="2"/>
      <c r="L150" s="2">
        <f t="shared" si="17"/>
        <v>39920.21</v>
      </c>
      <c r="M150" s="2"/>
      <c r="N150" s="19">
        <f t="shared" si="18"/>
        <v>0.73014285264872925</v>
      </c>
      <c r="O150" s="11"/>
      <c r="P150" s="2">
        <v>895787.3</v>
      </c>
      <c r="Q150" s="2"/>
      <c r="R150" s="19">
        <f t="shared" si="19"/>
        <v>0.15031953329831862</v>
      </c>
      <c r="S150" s="2"/>
      <c r="T150" s="2">
        <v>635280.40999999992</v>
      </c>
      <c r="U150" s="2"/>
      <c r="V150" s="19">
        <f t="shared" si="20"/>
        <v>0.1024412928910373</v>
      </c>
      <c r="W150" s="2"/>
      <c r="X150" s="2">
        <f t="shared" si="21"/>
        <v>260506.89000000013</v>
      </c>
      <c r="Y150" s="2"/>
      <c r="Z150" s="19">
        <f t="shared" si="22"/>
        <v>0.41006598959977403</v>
      </c>
    </row>
    <row r="151" spans="1:26" s="24" customFormat="1" hidden="1" outlineLevel="1" x14ac:dyDescent="0.25">
      <c r="A151" s="44"/>
      <c r="B151" s="11" t="str">
        <f>CONCATENATE("          ", "5083", " - ", "PURCHASES @ COST-COMPUTER EQUI")</f>
        <v xml:space="preserve">          5083 - PURCHASES @ COST-COMPUTER EQUI</v>
      </c>
      <c r="C151" s="11"/>
      <c r="D151" s="2">
        <v>14172.43</v>
      </c>
      <c r="E151" s="2"/>
      <c r="F151" s="19">
        <f t="shared" si="15"/>
        <v>2.2674456425519098E-2</v>
      </c>
      <c r="G151" s="2"/>
      <c r="H151" s="2">
        <v>13373.97</v>
      </c>
      <c r="I151" s="2"/>
      <c r="J151" s="19">
        <f t="shared" si="16"/>
        <v>2.0524674092950564E-2</v>
      </c>
      <c r="K151" s="2"/>
      <c r="L151" s="2">
        <f t="shared" si="17"/>
        <v>798.46000000000095</v>
      </c>
      <c r="M151" s="2"/>
      <c r="N151" s="19">
        <f t="shared" si="18"/>
        <v>5.9702541578902972E-2</v>
      </c>
      <c r="O151" s="11"/>
      <c r="P151" s="2">
        <v>42040.84</v>
      </c>
      <c r="Q151" s="2"/>
      <c r="R151" s="19">
        <f t="shared" si="19"/>
        <v>7.0547544581948023E-3</v>
      </c>
      <c r="S151" s="2"/>
      <c r="T151" s="2">
        <v>44346.44</v>
      </c>
      <c r="U151" s="2"/>
      <c r="V151" s="19">
        <f t="shared" si="20"/>
        <v>7.1510258733065817E-3</v>
      </c>
      <c r="W151" s="2"/>
      <c r="X151" s="2">
        <f t="shared" si="21"/>
        <v>-2305.6000000000058</v>
      </c>
      <c r="Y151" s="2"/>
      <c r="Z151" s="19">
        <f t="shared" si="22"/>
        <v>-5.1990644570342193E-2</v>
      </c>
    </row>
    <row r="152" spans="1:26" s="24" customFormat="1" hidden="1" outlineLevel="1" x14ac:dyDescent="0.25">
      <c r="A152" s="44"/>
      <c r="B152" s="11" t="str">
        <f>CONCATENATE("          ", "5084", " - ", "PURCHASES @ COST-SOFTWARE LICE")</f>
        <v xml:space="preserve">          5084 - PURCHASES @ COST-SOFTWARE LICE</v>
      </c>
      <c r="C152" s="11"/>
      <c r="D152" s="2">
        <v>1206</v>
      </c>
      <c r="E152" s="2"/>
      <c r="F152" s="19">
        <f t="shared" si="15"/>
        <v>1.9294781804655963E-3</v>
      </c>
      <c r="G152" s="2"/>
      <c r="H152" s="2">
        <v>129</v>
      </c>
      <c r="I152" s="2"/>
      <c r="J152" s="19">
        <f t="shared" si="16"/>
        <v>1.9797285009541841E-4</v>
      </c>
      <c r="K152" s="2"/>
      <c r="L152" s="2">
        <f t="shared" si="17"/>
        <v>1077</v>
      </c>
      <c r="M152" s="2"/>
      <c r="N152" s="19">
        <f t="shared" si="18"/>
        <v>8.3488372093023262</v>
      </c>
      <c r="O152" s="11"/>
      <c r="P152" s="2">
        <v>2728</v>
      </c>
      <c r="Q152" s="2"/>
      <c r="R152" s="19">
        <f t="shared" si="19"/>
        <v>4.5777796452105675E-4</v>
      </c>
      <c r="S152" s="2"/>
      <c r="T152" s="2">
        <v>228</v>
      </c>
      <c r="U152" s="2"/>
      <c r="V152" s="19">
        <f t="shared" si="20"/>
        <v>3.6765835072982197E-5</v>
      </c>
      <c r="W152" s="2"/>
      <c r="X152" s="2">
        <f t="shared" si="21"/>
        <v>2500</v>
      </c>
      <c r="Y152" s="2"/>
      <c r="Z152" s="19">
        <f t="shared" si="22"/>
        <v>10.964912280701755</v>
      </c>
    </row>
    <row r="153" spans="1:26" s="24" customFormat="1" hidden="1" outlineLevel="1" x14ac:dyDescent="0.25">
      <c r="A153" s="44"/>
      <c r="B153" s="11" t="str">
        <f>CONCATENATE("          ", "5085", " - ", "PURCHASES @ COST-SOFTWARE")</f>
        <v xml:space="preserve">          5085 - PURCHASES @ COST-SOFTWARE</v>
      </c>
      <c r="C153" s="11"/>
      <c r="D153" s="2">
        <v>506.04</v>
      </c>
      <c r="E153" s="2"/>
      <c r="F153" s="19">
        <f t="shared" si="15"/>
        <v>8.0961288428093735E-4</v>
      </c>
      <c r="G153" s="2"/>
      <c r="H153" s="2">
        <v>1943.84</v>
      </c>
      <c r="I153" s="2"/>
      <c r="J153" s="19">
        <f t="shared" si="16"/>
        <v>2.9831592630192101E-3</v>
      </c>
      <c r="K153" s="2"/>
      <c r="L153" s="2">
        <f t="shared" si="17"/>
        <v>-1437.8</v>
      </c>
      <c r="M153" s="2"/>
      <c r="N153" s="19">
        <f t="shared" si="18"/>
        <v>-0.73966993168161987</v>
      </c>
      <c r="O153" s="11"/>
      <c r="P153" s="2">
        <v>6932.04</v>
      </c>
      <c r="Q153" s="2"/>
      <c r="R153" s="19">
        <f t="shared" si="19"/>
        <v>1.1632460268249803E-3</v>
      </c>
      <c r="S153" s="2"/>
      <c r="T153" s="2">
        <v>6563.47</v>
      </c>
      <c r="U153" s="2"/>
      <c r="V153" s="19">
        <f t="shared" si="20"/>
        <v>1.058383576870467E-3</v>
      </c>
      <c r="W153" s="2"/>
      <c r="X153" s="2">
        <f t="shared" si="21"/>
        <v>368.56999999999971</v>
      </c>
      <c r="Y153" s="2"/>
      <c r="Z153" s="19">
        <f t="shared" si="22"/>
        <v>5.6154747412572877E-2</v>
      </c>
    </row>
    <row r="154" spans="1:26" s="24" customFormat="1" hidden="1" outlineLevel="1" x14ac:dyDescent="0.25">
      <c r="A154" s="44"/>
      <c r="B154" s="11" t="str">
        <f>CONCATENATE("          ", "5086", " - ", "PURCHASES @ COST-COMPUTER SUPP")</f>
        <v xml:space="preserve">          5086 - PURCHASES @ COST-COMPUTER SUPP</v>
      </c>
      <c r="C154" s="11"/>
      <c r="D154" s="2">
        <v>5942.35</v>
      </c>
      <c r="E154" s="2"/>
      <c r="F154" s="19">
        <f t="shared" si="15"/>
        <v>9.5071597559616399E-3</v>
      </c>
      <c r="G154" s="2"/>
      <c r="H154" s="2">
        <v>3521.84</v>
      </c>
      <c r="I154" s="2"/>
      <c r="J154" s="19">
        <f t="shared" si="16"/>
        <v>5.4048736618608406E-3</v>
      </c>
      <c r="K154" s="2"/>
      <c r="L154" s="2">
        <f t="shared" si="17"/>
        <v>2420.5100000000002</v>
      </c>
      <c r="M154" s="2"/>
      <c r="N154" s="19">
        <f t="shared" si="18"/>
        <v>0.68728562342411925</v>
      </c>
      <c r="O154" s="11"/>
      <c r="P154" s="2">
        <v>18509.099999999999</v>
      </c>
      <c r="Q154" s="2"/>
      <c r="R154" s="19">
        <f t="shared" si="19"/>
        <v>3.1059597225501063E-3</v>
      </c>
      <c r="S154" s="2"/>
      <c r="T154" s="2">
        <v>17680.47</v>
      </c>
      <c r="U154" s="2"/>
      <c r="V154" s="19">
        <f t="shared" si="20"/>
        <v>2.8510405440035505E-3</v>
      </c>
      <c r="W154" s="2"/>
      <c r="X154" s="2">
        <f t="shared" si="21"/>
        <v>828.62999999999738</v>
      </c>
      <c r="Y154" s="2"/>
      <c r="Z154" s="19">
        <f t="shared" si="22"/>
        <v>4.6866966771810778E-2</v>
      </c>
    </row>
    <row r="155" spans="1:26" s="24" customFormat="1" hidden="1" outlineLevel="1" x14ac:dyDescent="0.25">
      <c r="A155" s="44"/>
      <c r="B155" s="11" t="str">
        <f>CONCATENATE("          ", "5088", " - ", "PURCHASES @ COST-MUSIC")</f>
        <v xml:space="preserve">          5088 - PURCHASES @ COST-MUSIC</v>
      </c>
      <c r="C155" s="11"/>
      <c r="D155" s="2"/>
      <c r="E155" s="2"/>
      <c r="F155" s="19">
        <f t="shared" si="15"/>
        <v>0</v>
      </c>
      <c r="G155" s="2"/>
      <c r="H155" s="2"/>
      <c r="I155" s="2"/>
      <c r="J155" s="19">
        <f t="shared" si="16"/>
        <v>0</v>
      </c>
      <c r="K155" s="2"/>
      <c r="L155" s="2">
        <f t="shared" si="17"/>
        <v>0</v>
      </c>
      <c r="M155" s="2"/>
      <c r="N155" s="19">
        <f t="shared" si="18"/>
        <v>0</v>
      </c>
      <c r="O155" s="11"/>
      <c r="P155" s="2">
        <v>88.75</v>
      </c>
      <c r="Q155" s="2"/>
      <c r="R155" s="19">
        <f t="shared" si="19"/>
        <v>1.4892886492391417E-5</v>
      </c>
      <c r="S155" s="2"/>
      <c r="T155" s="2">
        <v>0</v>
      </c>
      <c r="U155" s="2"/>
      <c r="V155" s="19">
        <f t="shared" si="20"/>
        <v>0</v>
      </c>
      <c r="W155" s="2"/>
      <c r="X155" s="2">
        <f t="shared" si="21"/>
        <v>88.75</v>
      </c>
      <c r="Y155" s="2"/>
      <c r="Z155" s="19">
        <f t="shared" si="22"/>
        <v>0</v>
      </c>
    </row>
    <row r="156" spans="1:26" s="24" customFormat="1" hidden="1" outlineLevel="1" x14ac:dyDescent="0.25">
      <c r="A156" s="44"/>
      <c r="B156" s="11" t="str">
        <f>CONCATENATE("          ", "5092", " - ", "PURCHASES @ COST-GRAD MERCH")</f>
        <v xml:space="preserve">          5092 - PURCHASES @ COST-GRAD MERCH</v>
      </c>
      <c r="C156" s="11"/>
      <c r="D156" s="2">
        <v>1296.1400000000001</v>
      </c>
      <c r="E156" s="2"/>
      <c r="F156" s="19">
        <f t="shared" si="15"/>
        <v>2.0736930753139952E-3</v>
      </c>
      <c r="G156" s="2"/>
      <c r="H156" s="2">
        <v>572.4</v>
      </c>
      <c r="I156" s="2"/>
      <c r="J156" s="19">
        <f t="shared" si="16"/>
        <v>8.7844697205129846E-4</v>
      </c>
      <c r="K156" s="2"/>
      <c r="L156" s="2">
        <f t="shared" si="17"/>
        <v>723.74000000000012</v>
      </c>
      <c r="M156" s="2"/>
      <c r="N156" s="19">
        <f t="shared" si="18"/>
        <v>1.2643955276030749</v>
      </c>
      <c r="O156" s="11"/>
      <c r="P156" s="2">
        <v>1296.1400000000001</v>
      </c>
      <c r="Q156" s="2"/>
      <c r="R156" s="19">
        <f t="shared" si="19"/>
        <v>2.1750158758589535E-4</v>
      </c>
      <c r="S156" s="2"/>
      <c r="T156" s="2">
        <v>-2698.04</v>
      </c>
      <c r="U156" s="2"/>
      <c r="V156" s="19">
        <f t="shared" si="20"/>
        <v>-4.3506883184345999E-4</v>
      </c>
      <c r="W156" s="2"/>
      <c r="X156" s="2">
        <f t="shared" si="21"/>
        <v>3994.1800000000003</v>
      </c>
      <c r="Y156" s="2"/>
      <c r="Z156" s="19">
        <f t="shared" si="22"/>
        <v>-1.4804005870928527</v>
      </c>
    </row>
    <row r="157" spans="1:26" s="24" customFormat="1" hidden="1" outlineLevel="1" x14ac:dyDescent="0.25">
      <c r="A157" s="44"/>
      <c r="B157" s="11" t="str">
        <f>CONCATENATE("          ", "5095", " - ", "PURCHASES @ COST-CUSTOMER SERV")</f>
        <v xml:space="preserve">          5095 - PURCHASES @ COST-CUSTOMER SERV</v>
      </c>
      <c r="C157" s="11"/>
      <c r="D157" s="2"/>
      <c r="E157" s="2"/>
      <c r="F157" s="19">
        <f t="shared" si="15"/>
        <v>0</v>
      </c>
      <c r="G157" s="2"/>
      <c r="H157" s="2">
        <v>0</v>
      </c>
      <c r="I157" s="2"/>
      <c r="J157" s="19">
        <f t="shared" si="16"/>
        <v>0</v>
      </c>
      <c r="K157" s="2"/>
      <c r="L157" s="2">
        <f t="shared" si="17"/>
        <v>0</v>
      </c>
      <c r="M157" s="2"/>
      <c r="N157" s="19">
        <f t="shared" si="18"/>
        <v>0</v>
      </c>
      <c r="O157" s="11"/>
      <c r="P157" s="2">
        <v>0</v>
      </c>
      <c r="Q157" s="2"/>
      <c r="R157" s="19">
        <f t="shared" si="19"/>
        <v>0</v>
      </c>
      <c r="S157" s="2"/>
      <c r="T157" s="2">
        <v>0</v>
      </c>
      <c r="U157" s="2"/>
      <c r="V157" s="19">
        <f t="shared" si="20"/>
        <v>0</v>
      </c>
      <c r="W157" s="2"/>
      <c r="X157" s="2">
        <f t="shared" si="21"/>
        <v>0</v>
      </c>
      <c r="Y157" s="2"/>
      <c r="Z157" s="19">
        <f t="shared" si="22"/>
        <v>0</v>
      </c>
    </row>
    <row r="158" spans="1:26" s="24" customFormat="1" hidden="1" outlineLevel="1" x14ac:dyDescent="0.25">
      <c r="A158" s="44"/>
      <c r="B158" s="11" t="str">
        <f>CONCATENATE("          ", "5200", " - ", "PURCHASES OFFSET")</f>
        <v xml:space="preserve">          5200 - PURCHASES OFFSET</v>
      </c>
      <c r="C158" s="11"/>
      <c r="D158" s="2">
        <v>-237338.99999999997</v>
      </c>
      <c r="E158" s="2"/>
      <c r="F158" s="19">
        <f t="shared" si="15"/>
        <v>-0.37971842609744955</v>
      </c>
      <c r="G158" s="2"/>
      <c r="H158" s="2">
        <v>-114031</v>
      </c>
      <c r="I158" s="2"/>
      <c r="J158" s="19">
        <f t="shared" si="16"/>
        <v>-0.17500032611806712</v>
      </c>
      <c r="K158" s="2"/>
      <c r="L158" s="2">
        <f t="shared" si="17"/>
        <v>-123307.99999999997</v>
      </c>
      <c r="M158" s="2"/>
      <c r="N158" s="19">
        <f t="shared" si="18"/>
        <v>1.081355070112513</v>
      </c>
      <c r="O158" s="11"/>
      <c r="P158" s="2">
        <v>-3872821</v>
      </c>
      <c r="Q158" s="2"/>
      <c r="R158" s="19">
        <f t="shared" si="19"/>
        <v>-0.64988713868563175</v>
      </c>
      <c r="S158" s="2"/>
      <c r="T158" s="2">
        <v>-3311705</v>
      </c>
      <c r="U158" s="2"/>
      <c r="V158" s="19">
        <f t="shared" si="20"/>
        <v>-0.53402456070337934</v>
      </c>
      <c r="W158" s="2"/>
      <c r="X158" s="2">
        <f t="shared" si="21"/>
        <v>-561116</v>
      </c>
      <c r="Y158" s="2"/>
      <c r="Z158" s="19">
        <f t="shared" si="22"/>
        <v>0.16943417363563482</v>
      </c>
    </row>
    <row r="159" spans="1:26" s="24" customFormat="1" hidden="1" outlineLevel="1" x14ac:dyDescent="0.25">
      <c r="A159" s="44"/>
      <c r="B159" s="11" t="str">
        <f>CONCATENATE("          ", "5300", " - ", "COG$ OFFSET")</f>
        <v xml:space="preserve">          5300 - COG$ OFFSET</v>
      </c>
      <c r="C159" s="11"/>
      <c r="D159" s="2">
        <v>328565</v>
      </c>
      <c r="E159" s="2"/>
      <c r="F159" s="19">
        <f t="shared" si="15"/>
        <v>0.52567081124766057</v>
      </c>
      <c r="G159" s="2"/>
      <c r="H159" s="2">
        <v>354227</v>
      </c>
      <c r="I159" s="2"/>
      <c r="J159" s="19">
        <f t="shared" si="16"/>
        <v>0.54362270364922305</v>
      </c>
      <c r="K159" s="2"/>
      <c r="L159" s="2">
        <f t="shared" si="17"/>
        <v>-25662</v>
      </c>
      <c r="M159" s="2"/>
      <c r="N159" s="19">
        <f t="shared" si="18"/>
        <v>-7.2445070533866701E-2</v>
      </c>
      <c r="O159" s="11"/>
      <c r="P159" s="2">
        <v>3332472</v>
      </c>
      <c r="Q159" s="2"/>
      <c r="R159" s="19">
        <f t="shared" si="19"/>
        <v>0.55921270124025479</v>
      </c>
      <c r="S159" s="2"/>
      <c r="T159" s="2">
        <v>3376577</v>
      </c>
      <c r="U159" s="2"/>
      <c r="V159" s="19">
        <f t="shared" si="20"/>
        <v>0.54448540830361847</v>
      </c>
      <c r="W159" s="2"/>
      <c r="X159" s="2">
        <f t="shared" si="21"/>
        <v>-44105</v>
      </c>
      <c r="Y159" s="2"/>
      <c r="Z159" s="19">
        <f t="shared" si="22"/>
        <v>-1.3062044786776668E-2</v>
      </c>
    </row>
    <row r="160" spans="1:26" s="24" customFormat="1" hidden="1" outlineLevel="1" x14ac:dyDescent="0.25">
      <c r="A160" s="44"/>
      <c r="B160" s="11" t="str">
        <f>CONCATENATE("          ", "5500", " - ", "FREIGHT-IN")</f>
        <v xml:space="preserve">          5500 - FREIGHT-IN</v>
      </c>
      <c r="C160" s="11"/>
      <c r="D160" s="2">
        <v>35.229999999999997</v>
      </c>
      <c r="E160" s="2"/>
      <c r="F160" s="19">
        <f t="shared" si="15"/>
        <v>5.6364441374629314E-5</v>
      </c>
      <c r="G160" s="2"/>
      <c r="H160" s="2">
        <v>-317.36</v>
      </c>
      <c r="I160" s="2"/>
      <c r="J160" s="19">
        <f t="shared" si="16"/>
        <v>-4.8704390469986037E-4</v>
      </c>
      <c r="K160" s="2"/>
      <c r="L160" s="2">
        <f t="shared" si="17"/>
        <v>352.59000000000003</v>
      </c>
      <c r="M160" s="2"/>
      <c r="N160" s="19">
        <f t="shared" si="18"/>
        <v>-1.1110095790269725</v>
      </c>
      <c r="O160" s="11"/>
      <c r="P160" s="2">
        <v>35.229999999999997</v>
      </c>
      <c r="Q160" s="2"/>
      <c r="R160" s="19">
        <f t="shared" si="19"/>
        <v>5.9118466605853474E-6</v>
      </c>
      <c r="S160" s="2"/>
      <c r="T160" s="2">
        <v>0</v>
      </c>
      <c r="U160" s="2"/>
      <c r="V160" s="19">
        <f t="shared" si="20"/>
        <v>0</v>
      </c>
      <c r="W160" s="2"/>
      <c r="X160" s="2">
        <f t="shared" si="21"/>
        <v>35.229999999999997</v>
      </c>
      <c r="Y160" s="2"/>
      <c r="Z160" s="19">
        <f t="shared" si="22"/>
        <v>0</v>
      </c>
    </row>
    <row r="161" spans="1:26" s="24" customFormat="1" hidden="1" outlineLevel="1" x14ac:dyDescent="0.25">
      <c r="A161" s="44"/>
      <c r="B161" s="11" t="str">
        <f>CONCATENATE("          ", "5501", " - ", "FREIGHT-IN-NEW TEXT")</f>
        <v xml:space="preserve">          5501 - FREIGHT-IN-NEW TEXT</v>
      </c>
      <c r="C161" s="11"/>
      <c r="D161" s="2">
        <v>7434.02</v>
      </c>
      <c r="E161" s="2"/>
      <c r="F161" s="19">
        <f t="shared" si="15"/>
        <v>1.1893681080551289E-2</v>
      </c>
      <c r="G161" s="2"/>
      <c r="H161" s="2">
        <v>9955.06</v>
      </c>
      <c r="I161" s="2"/>
      <c r="J161" s="19">
        <f t="shared" si="16"/>
        <v>1.527776434938679E-2</v>
      </c>
      <c r="K161" s="2"/>
      <c r="L161" s="2">
        <f t="shared" si="17"/>
        <v>-2521.0399999999991</v>
      </c>
      <c r="M161" s="2"/>
      <c r="N161" s="19">
        <f t="shared" si="18"/>
        <v>-0.25324206986195957</v>
      </c>
      <c r="O161" s="11"/>
      <c r="P161" s="2">
        <v>34017.480000000003</v>
      </c>
      <c r="Q161" s="2"/>
      <c r="R161" s="19">
        <f t="shared" si="19"/>
        <v>5.7083771087007911E-3</v>
      </c>
      <c r="S161" s="2"/>
      <c r="T161" s="2">
        <v>36210.86</v>
      </c>
      <c r="U161" s="2"/>
      <c r="V161" s="19">
        <f t="shared" si="20"/>
        <v>5.8391338009247725E-3</v>
      </c>
      <c r="W161" s="2"/>
      <c r="X161" s="2">
        <f t="shared" si="21"/>
        <v>-2193.3799999999974</v>
      </c>
      <c r="Y161" s="2"/>
      <c r="Z161" s="19">
        <f t="shared" si="22"/>
        <v>-6.0572436004005352E-2</v>
      </c>
    </row>
    <row r="162" spans="1:26" s="24" customFormat="1" hidden="1" outlineLevel="1" x14ac:dyDescent="0.25">
      <c r="A162" s="44"/>
      <c r="B162" s="11" t="str">
        <f>CONCATENATE("          ", "5502", " - ", "FREIGHT-IN-USED TEXT")</f>
        <v xml:space="preserve">          5502 - FREIGHT-IN-USED TEXT</v>
      </c>
      <c r="C162" s="11"/>
      <c r="D162" s="2">
        <v>591.29999999999995</v>
      </c>
      <c r="E162" s="2"/>
      <c r="F162" s="19">
        <f t="shared" si="15"/>
        <v>9.4602027206410204E-4</v>
      </c>
      <c r="G162" s="2"/>
      <c r="H162" s="2">
        <v>1475.4</v>
      </c>
      <c r="I162" s="2"/>
      <c r="J162" s="19">
        <f t="shared" si="16"/>
        <v>2.2642569227192275E-3</v>
      </c>
      <c r="K162" s="2"/>
      <c r="L162" s="2">
        <f t="shared" si="17"/>
        <v>-884.10000000000014</v>
      </c>
      <c r="M162" s="2"/>
      <c r="N162" s="19">
        <f t="shared" si="18"/>
        <v>-0.59922732818218793</v>
      </c>
      <c r="O162" s="11"/>
      <c r="P162" s="2">
        <v>6852.47</v>
      </c>
      <c r="Q162" s="2"/>
      <c r="R162" s="19">
        <f t="shared" si="19"/>
        <v>1.1498936101692102E-3</v>
      </c>
      <c r="S162" s="2"/>
      <c r="T162" s="2">
        <v>7732.55</v>
      </c>
      <c r="U162" s="2"/>
      <c r="V162" s="19">
        <f t="shared" si="20"/>
        <v>1.2469020087438091E-3</v>
      </c>
      <c r="W162" s="2"/>
      <c r="X162" s="2">
        <f t="shared" si="21"/>
        <v>-880.07999999999993</v>
      </c>
      <c r="Y162" s="2"/>
      <c r="Z162" s="19">
        <f t="shared" si="22"/>
        <v>-0.11381497694809602</v>
      </c>
    </row>
    <row r="163" spans="1:26" s="24" customFormat="1" hidden="1" outlineLevel="1" x14ac:dyDescent="0.25">
      <c r="A163" s="44"/>
      <c r="B163" s="11" t="str">
        <f>CONCATENATE("          ", "5504", " - ", "FREIGHT-IN-DIGITAL TEXT")</f>
        <v xml:space="preserve">          5504 - FREIGHT-IN-DIGITAL TEXT</v>
      </c>
      <c r="C163" s="11"/>
      <c r="D163" s="2">
        <v>93.94</v>
      </c>
      <c r="E163" s="2"/>
      <c r="F163" s="19">
        <f t="shared" si="15"/>
        <v>1.5029451100575299E-4</v>
      </c>
      <c r="G163" s="2"/>
      <c r="H163" s="2"/>
      <c r="I163" s="2"/>
      <c r="J163" s="19">
        <f t="shared" si="16"/>
        <v>0</v>
      </c>
      <c r="K163" s="2"/>
      <c r="L163" s="2">
        <f t="shared" si="17"/>
        <v>93.94</v>
      </c>
      <c r="M163" s="2"/>
      <c r="N163" s="19">
        <f t="shared" si="18"/>
        <v>0</v>
      </c>
      <c r="O163" s="11"/>
      <c r="P163" s="2">
        <v>100.97</v>
      </c>
      <c r="Q163" s="2"/>
      <c r="R163" s="19">
        <f t="shared" si="19"/>
        <v>1.6943490131118438E-5</v>
      </c>
      <c r="S163" s="2"/>
      <c r="T163" s="2">
        <v>166.22</v>
      </c>
      <c r="U163" s="2"/>
      <c r="V163" s="19">
        <f t="shared" si="20"/>
        <v>2.6803583797504826E-5</v>
      </c>
      <c r="W163" s="2"/>
      <c r="X163" s="2">
        <f t="shared" si="21"/>
        <v>-65.25</v>
      </c>
      <c r="Y163" s="2"/>
      <c r="Z163" s="19">
        <f t="shared" si="22"/>
        <v>-0.39255203946576828</v>
      </c>
    </row>
    <row r="164" spans="1:26" s="24" customFormat="1" hidden="1" outlineLevel="1" x14ac:dyDescent="0.25">
      <c r="A164" s="44"/>
      <c r="B164" s="11" t="str">
        <f>CONCATENATE("          ", "5513", " - ", "FREIGHT-IN-TRADE BOOKS")</f>
        <v xml:space="preserve">          5513 - FREIGHT-IN-TRADE BOOKS</v>
      </c>
      <c r="C164" s="11"/>
      <c r="D164" s="2"/>
      <c r="E164" s="2"/>
      <c r="F164" s="19">
        <f t="shared" si="15"/>
        <v>0</v>
      </c>
      <c r="G164" s="2"/>
      <c r="H164" s="2"/>
      <c r="I164" s="2"/>
      <c r="J164" s="19">
        <f t="shared" si="16"/>
        <v>0</v>
      </c>
      <c r="K164" s="2"/>
      <c r="L164" s="2">
        <f t="shared" si="17"/>
        <v>0</v>
      </c>
      <c r="M164" s="2"/>
      <c r="N164" s="19">
        <f t="shared" si="18"/>
        <v>0</v>
      </c>
      <c r="O164" s="11"/>
      <c r="P164" s="2"/>
      <c r="Q164" s="2"/>
      <c r="R164" s="19">
        <f t="shared" si="19"/>
        <v>0</v>
      </c>
      <c r="S164" s="2"/>
      <c r="T164" s="2">
        <v>12.22</v>
      </c>
      <c r="U164" s="2"/>
      <c r="V164" s="19">
        <f t="shared" si="20"/>
        <v>1.9705197569817651E-6</v>
      </c>
      <c r="W164" s="2"/>
      <c r="X164" s="2">
        <f t="shared" si="21"/>
        <v>-12.22</v>
      </c>
      <c r="Y164" s="2"/>
      <c r="Z164" s="19">
        <f t="shared" si="22"/>
        <v>-1</v>
      </c>
    </row>
    <row r="165" spans="1:26" s="24" customFormat="1" hidden="1" outlineLevel="1" x14ac:dyDescent="0.25">
      <c r="A165" s="44"/>
      <c r="B165" s="11" t="str">
        <f>CONCATENATE("          ", "5525", " - ", "FREIGHT-IN-TEST FORMS")</f>
        <v xml:space="preserve">          5525 - FREIGHT-IN-TEST FORMS</v>
      </c>
      <c r="C165" s="11"/>
      <c r="D165" s="2">
        <v>39.22</v>
      </c>
      <c r="E165" s="2"/>
      <c r="F165" s="19">
        <f t="shared" si="15"/>
        <v>6.2748038339851316E-5</v>
      </c>
      <c r="G165" s="2"/>
      <c r="H165" s="2">
        <v>50.92</v>
      </c>
      <c r="I165" s="2"/>
      <c r="J165" s="19">
        <f t="shared" si="16"/>
        <v>7.8145562223710897E-5</v>
      </c>
      <c r="K165" s="2"/>
      <c r="L165" s="2">
        <f t="shared" si="17"/>
        <v>-11.700000000000003</v>
      </c>
      <c r="M165" s="2"/>
      <c r="N165" s="19">
        <f t="shared" si="18"/>
        <v>-0.22977219167321294</v>
      </c>
      <c r="O165" s="11"/>
      <c r="P165" s="2">
        <v>39.22</v>
      </c>
      <c r="Q165" s="2"/>
      <c r="R165" s="19">
        <f t="shared" si="19"/>
        <v>6.5813972758489165E-6</v>
      </c>
      <c r="S165" s="2"/>
      <c r="T165" s="2">
        <v>50.92</v>
      </c>
      <c r="U165" s="2"/>
      <c r="V165" s="19">
        <f t="shared" si="20"/>
        <v>8.2110364996326906E-6</v>
      </c>
      <c r="W165" s="2"/>
      <c r="X165" s="2">
        <f t="shared" si="21"/>
        <v>-11.700000000000003</v>
      </c>
      <c r="Y165" s="2"/>
      <c r="Z165" s="19">
        <f t="shared" si="22"/>
        <v>-0.22977219167321294</v>
      </c>
    </row>
    <row r="166" spans="1:26" s="24" customFormat="1" hidden="1" outlineLevel="1" x14ac:dyDescent="0.25">
      <c r="A166" s="44"/>
      <c r="B166" s="11" t="str">
        <f>CONCATENATE("          ", "5526", " - ", "FREIGHT-IN-WRITING INSTRUMENTS")</f>
        <v xml:space="preserve">          5526 - FREIGHT-IN-WRITING INSTRUMENTS</v>
      </c>
      <c r="C166" s="11"/>
      <c r="D166" s="2"/>
      <c r="E166" s="2"/>
      <c r="F166" s="19">
        <f t="shared" si="15"/>
        <v>0</v>
      </c>
      <c r="G166" s="2"/>
      <c r="H166" s="2">
        <v>23.74</v>
      </c>
      <c r="I166" s="2"/>
      <c r="J166" s="19">
        <f t="shared" si="16"/>
        <v>3.64331431105832E-5</v>
      </c>
      <c r="K166" s="2"/>
      <c r="L166" s="2">
        <f t="shared" si="17"/>
        <v>-23.74</v>
      </c>
      <c r="M166" s="2"/>
      <c r="N166" s="19">
        <f t="shared" si="18"/>
        <v>-1</v>
      </c>
      <c r="O166" s="11"/>
      <c r="P166" s="2">
        <v>56.57</v>
      </c>
      <c r="Q166" s="2"/>
      <c r="R166" s="19">
        <f t="shared" si="19"/>
        <v>9.4928517056290971E-6</v>
      </c>
      <c r="S166" s="2"/>
      <c r="T166" s="2">
        <v>66.48</v>
      </c>
      <c r="U166" s="2"/>
      <c r="V166" s="19">
        <f t="shared" si="20"/>
        <v>1.0720143489701124E-5</v>
      </c>
      <c r="W166" s="2"/>
      <c r="X166" s="2">
        <f t="shared" si="21"/>
        <v>-9.9100000000000037</v>
      </c>
      <c r="Y166" s="2"/>
      <c r="Z166" s="19">
        <f t="shared" si="22"/>
        <v>-0.14906738868832736</v>
      </c>
    </row>
    <row r="167" spans="1:26" s="24" customFormat="1" hidden="1" outlineLevel="1" x14ac:dyDescent="0.25">
      <c r="A167" s="44"/>
      <c r="B167" s="11" t="str">
        <f>CONCATENATE("          ", "5527", " - ", "FREIGHT-IN-SCHOOL SUPPLIES")</f>
        <v xml:space="preserve">          5527 - FREIGHT-IN-SCHOOL SUPPLIES</v>
      </c>
      <c r="C167" s="11"/>
      <c r="D167" s="2">
        <v>344.59</v>
      </c>
      <c r="E167" s="2"/>
      <c r="F167" s="19">
        <f t="shared" si="15"/>
        <v>5.5130919254281908E-4</v>
      </c>
      <c r="G167" s="2"/>
      <c r="H167" s="2">
        <v>207.6</v>
      </c>
      <c r="I167" s="2"/>
      <c r="J167" s="19">
        <f t="shared" si="16"/>
        <v>3.1859816806053382E-4</v>
      </c>
      <c r="K167" s="2"/>
      <c r="L167" s="2">
        <f t="shared" si="17"/>
        <v>136.98999999999998</v>
      </c>
      <c r="M167" s="2"/>
      <c r="N167" s="19">
        <f t="shared" si="18"/>
        <v>0.65987475915221572</v>
      </c>
      <c r="O167" s="11"/>
      <c r="P167" s="2">
        <v>738.49</v>
      </c>
      <c r="Q167" s="2"/>
      <c r="R167" s="19">
        <f t="shared" si="19"/>
        <v>1.2392391826215367E-4</v>
      </c>
      <c r="S167" s="2"/>
      <c r="T167" s="2">
        <v>932.7</v>
      </c>
      <c r="U167" s="2"/>
      <c r="V167" s="19">
        <f t="shared" si="20"/>
        <v>1.5040129110776532E-4</v>
      </c>
      <c r="W167" s="2"/>
      <c r="X167" s="2">
        <f t="shared" si="21"/>
        <v>-194.21000000000004</v>
      </c>
      <c r="Y167" s="2"/>
      <c r="Z167" s="19">
        <f t="shared" si="22"/>
        <v>-0.20822343733247564</v>
      </c>
    </row>
    <row r="168" spans="1:26" s="24" customFormat="1" hidden="1" outlineLevel="1" x14ac:dyDescent="0.25">
      <c r="A168" s="44"/>
      <c r="B168" s="11" t="str">
        <f>CONCATENATE("          ", "5528", " - ", "FREIGHT-IN-ART/TECH")</f>
        <v xml:space="preserve">          5528 - FREIGHT-IN-ART/TECH</v>
      </c>
      <c r="C168" s="11"/>
      <c r="D168" s="2">
        <v>185.67</v>
      </c>
      <c r="E168" s="2"/>
      <c r="F168" s="19">
        <f t="shared" si="15"/>
        <v>2.9705324524630783E-4</v>
      </c>
      <c r="G168" s="2"/>
      <c r="H168" s="2">
        <v>546.16999999999996</v>
      </c>
      <c r="I168" s="2"/>
      <c r="J168" s="19">
        <f t="shared" si="16"/>
        <v>8.3819249253189664E-4</v>
      </c>
      <c r="K168" s="2"/>
      <c r="L168" s="2">
        <f t="shared" si="17"/>
        <v>-360.5</v>
      </c>
      <c r="M168" s="2"/>
      <c r="N168" s="19">
        <f t="shared" si="18"/>
        <v>-0.66005089990296062</v>
      </c>
      <c r="O168" s="11"/>
      <c r="P168" s="2">
        <v>818.44</v>
      </c>
      <c r="Q168" s="2"/>
      <c r="R168" s="19">
        <f t="shared" si="19"/>
        <v>1.3734010164318682E-4</v>
      </c>
      <c r="S168" s="2"/>
      <c r="T168" s="2">
        <v>1103.95</v>
      </c>
      <c r="U168" s="2"/>
      <c r="V168" s="19">
        <f t="shared" si="20"/>
        <v>1.7801598082815216E-4</v>
      </c>
      <c r="W168" s="2"/>
      <c r="X168" s="2">
        <f t="shared" si="21"/>
        <v>-285.51</v>
      </c>
      <c r="Y168" s="2"/>
      <c r="Z168" s="19">
        <f t="shared" si="22"/>
        <v>-0.2586258435617555</v>
      </c>
    </row>
    <row r="169" spans="1:26" s="24" customFormat="1" hidden="1" outlineLevel="1" x14ac:dyDescent="0.25">
      <c r="A169" s="44"/>
      <c r="B169" s="11" t="str">
        <f>CONCATENATE("          ", "5540", " - ", "FREIGHT-IN-LOGO CLOTHING")</f>
        <v xml:space="preserve">          5540 - FREIGHT-IN-LOGO CLOTHING</v>
      </c>
      <c r="C169" s="11"/>
      <c r="D169" s="2">
        <v>9102.58</v>
      </c>
      <c r="E169" s="2"/>
      <c r="F169" s="19">
        <f t="shared" si="15"/>
        <v>1.4563208537265778E-2</v>
      </c>
      <c r="G169" s="2"/>
      <c r="H169" s="2">
        <v>4650.07</v>
      </c>
      <c r="I169" s="2"/>
      <c r="J169" s="19">
        <f t="shared" si="16"/>
        <v>7.1363380701023431E-3</v>
      </c>
      <c r="K169" s="2"/>
      <c r="L169" s="2">
        <f t="shared" si="17"/>
        <v>4452.51</v>
      </c>
      <c r="M169" s="2"/>
      <c r="N169" s="19">
        <f t="shared" si="18"/>
        <v>0.95751461805951321</v>
      </c>
      <c r="O169" s="11"/>
      <c r="P169" s="2">
        <v>14107.44</v>
      </c>
      <c r="Q169" s="2"/>
      <c r="R169" s="19">
        <f t="shared" si="19"/>
        <v>2.367329606965886E-3</v>
      </c>
      <c r="S169" s="2"/>
      <c r="T169" s="2">
        <v>10343.31</v>
      </c>
      <c r="U169" s="2"/>
      <c r="V169" s="19">
        <f t="shared" si="20"/>
        <v>1.6678966209154713E-3</v>
      </c>
      <c r="W169" s="2"/>
      <c r="X169" s="2">
        <f t="shared" si="21"/>
        <v>3764.130000000001</v>
      </c>
      <c r="Y169" s="2"/>
      <c r="Z169" s="19">
        <f t="shared" si="22"/>
        <v>0.36391928695939707</v>
      </c>
    </row>
    <row r="170" spans="1:26" s="24" customFormat="1" hidden="1" outlineLevel="1" x14ac:dyDescent="0.25">
      <c r="A170" s="44"/>
      <c r="B170" s="11" t="str">
        <f>CONCATENATE("          ", "5541", " - ", "FREIGHT-IN-LOGO GIFTS")</f>
        <v xml:space="preserve">          5541 - FREIGHT-IN-LOGO GIFTS</v>
      </c>
      <c r="C170" s="11"/>
      <c r="D170" s="2">
        <v>718.84</v>
      </c>
      <c r="E170" s="2"/>
      <c r="F170" s="19">
        <f t="shared" si="15"/>
        <v>1.1500713890927772E-3</v>
      </c>
      <c r="G170" s="2"/>
      <c r="H170" s="2">
        <v>953.44</v>
      </c>
      <c r="I170" s="2"/>
      <c r="J170" s="19">
        <f t="shared" si="16"/>
        <v>1.4632188697284942E-3</v>
      </c>
      <c r="K170" s="2"/>
      <c r="L170" s="2">
        <f t="shared" si="17"/>
        <v>-234.60000000000002</v>
      </c>
      <c r="M170" s="2"/>
      <c r="N170" s="19">
        <f t="shared" si="18"/>
        <v>-0.2460563852995469</v>
      </c>
      <c r="O170" s="11"/>
      <c r="P170" s="2">
        <v>1536.85</v>
      </c>
      <c r="Q170" s="2"/>
      <c r="R170" s="19">
        <f t="shared" si="19"/>
        <v>2.5789445189669573E-4</v>
      </c>
      <c r="S170" s="2"/>
      <c r="T170" s="2">
        <v>3124.56</v>
      </c>
      <c r="U170" s="2"/>
      <c r="V170" s="19">
        <f t="shared" si="20"/>
        <v>5.0384674401595286E-4</v>
      </c>
      <c r="W170" s="2"/>
      <c r="X170" s="2">
        <f t="shared" si="21"/>
        <v>-1587.71</v>
      </c>
      <c r="Y170" s="2"/>
      <c r="Z170" s="19">
        <f t="shared" si="22"/>
        <v>-0.50813874593542774</v>
      </c>
    </row>
    <row r="171" spans="1:26" s="24" customFormat="1" hidden="1" outlineLevel="1" x14ac:dyDescent="0.25">
      <c r="A171" s="44"/>
      <c r="B171" s="11" t="str">
        <f>CONCATENATE("          ", "5542", " - ", "FREIGHT-IN-EVERYDAY GIFTS")</f>
        <v xml:space="preserve">          5542 - FREIGHT-IN-EVERYDAY GIFTS</v>
      </c>
      <c r="C171" s="11"/>
      <c r="D171" s="2">
        <v>596.04999999999995</v>
      </c>
      <c r="E171" s="2"/>
      <c r="F171" s="19">
        <f t="shared" si="15"/>
        <v>9.536197922607949E-4</v>
      </c>
      <c r="G171" s="2"/>
      <c r="H171" s="2">
        <v>315.79000000000002</v>
      </c>
      <c r="I171" s="2"/>
      <c r="J171" s="19">
        <f t="shared" si="16"/>
        <v>4.8463446768707121E-4</v>
      </c>
      <c r="K171" s="2"/>
      <c r="L171" s="2">
        <f t="shared" si="17"/>
        <v>280.25999999999993</v>
      </c>
      <c r="M171" s="2"/>
      <c r="N171" s="19">
        <f t="shared" si="18"/>
        <v>0.88748852085246499</v>
      </c>
      <c r="O171" s="11"/>
      <c r="P171" s="2">
        <v>767.73</v>
      </c>
      <c r="Q171" s="2"/>
      <c r="R171" s="19">
        <f t="shared" si="19"/>
        <v>1.2883059996398493E-4</v>
      </c>
      <c r="S171" s="2"/>
      <c r="T171" s="2">
        <v>793.32</v>
      </c>
      <c r="U171" s="2"/>
      <c r="V171" s="19">
        <f t="shared" si="20"/>
        <v>1.2792575561446594E-4</v>
      </c>
      <c r="W171" s="2"/>
      <c r="X171" s="2">
        <f t="shared" si="21"/>
        <v>-25.590000000000032</v>
      </c>
      <c r="Y171" s="2"/>
      <c r="Z171" s="19">
        <f t="shared" si="22"/>
        <v>-3.2256844652851349E-2</v>
      </c>
    </row>
    <row r="172" spans="1:26" s="24" customFormat="1" hidden="1" outlineLevel="1" x14ac:dyDescent="0.25">
      <c r="A172" s="44"/>
      <c r="B172" s="11" t="str">
        <f>CONCATENATE("          ", "5543", " - ", "FREIGHT-IN-CARDS")</f>
        <v xml:space="preserve">          5543 - FREIGHT-IN-CARDS</v>
      </c>
      <c r="C172" s="11"/>
      <c r="D172" s="2"/>
      <c r="E172" s="2"/>
      <c r="F172" s="19">
        <f t="shared" si="15"/>
        <v>0</v>
      </c>
      <c r="G172" s="2"/>
      <c r="H172" s="2"/>
      <c r="I172" s="2"/>
      <c r="J172" s="19">
        <f t="shared" si="16"/>
        <v>0</v>
      </c>
      <c r="K172" s="2"/>
      <c r="L172" s="2">
        <f t="shared" si="17"/>
        <v>0</v>
      </c>
      <c r="M172" s="2"/>
      <c r="N172" s="19">
        <f t="shared" si="18"/>
        <v>0</v>
      </c>
      <c r="O172" s="11"/>
      <c r="P172" s="2">
        <v>4.58</v>
      </c>
      <c r="Q172" s="2"/>
      <c r="R172" s="19">
        <f t="shared" si="19"/>
        <v>7.685568465932697E-7</v>
      </c>
      <c r="S172" s="2"/>
      <c r="T172" s="2"/>
      <c r="U172" s="2"/>
      <c r="V172" s="19">
        <f t="shared" si="20"/>
        <v>0</v>
      </c>
      <c r="W172" s="2"/>
      <c r="X172" s="2">
        <f t="shared" si="21"/>
        <v>4.58</v>
      </c>
      <c r="Y172" s="2"/>
      <c r="Z172" s="19">
        <f t="shared" si="22"/>
        <v>0</v>
      </c>
    </row>
    <row r="173" spans="1:26" s="24" customFormat="1" hidden="1" outlineLevel="1" x14ac:dyDescent="0.25">
      <c r="A173" s="44"/>
      <c r="B173" s="11" t="str">
        <f>CONCATENATE("          ", "5544", " - ", "FREIGHT-IN-ACCESSORIES")</f>
        <v xml:space="preserve">          5544 - FREIGHT-IN-ACCESSORIES</v>
      </c>
      <c r="C173" s="11"/>
      <c r="D173" s="2">
        <v>223.25</v>
      </c>
      <c r="E173" s="2"/>
      <c r="F173" s="19">
        <f t="shared" si="15"/>
        <v>3.5717744924456421E-4</v>
      </c>
      <c r="G173" s="2"/>
      <c r="H173" s="2">
        <v>107.33</v>
      </c>
      <c r="I173" s="2"/>
      <c r="J173" s="19">
        <f t="shared" si="16"/>
        <v>1.6471648062590122E-4</v>
      </c>
      <c r="K173" s="2"/>
      <c r="L173" s="2">
        <f t="shared" si="17"/>
        <v>115.92</v>
      </c>
      <c r="M173" s="2"/>
      <c r="N173" s="19">
        <f t="shared" si="18"/>
        <v>1.0800335414143296</v>
      </c>
      <c r="O173" s="11"/>
      <c r="P173" s="2">
        <v>359.09</v>
      </c>
      <c r="Q173" s="2"/>
      <c r="R173" s="19">
        <f t="shared" si="19"/>
        <v>6.0257877302003758E-5</v>
      </c>
      <c r="S173" s="2"/>
      <c r="T173" s="2">
        <v>577.97</v>
      </c>
      <c r="U173" s="2"/>
      <c r="V173" s="19">
        <f t="shared" si="20"/>
        <v>9.3199779373383864E-5</v>
      </c>
      <c r="W173" s="2"/>
      <c r="X173" s="2">
        <f t="shared" si="21"/>
        <v>-218.88000000000005</v>
      </c>
      <c r="Y173" s="2"/>
      <c r="Z173" s="19">
        <f t="shared" si="22"/>
        <v>-0.37870477706455358</v>
      </c>
    </row>
    <row r="174" spans="1:26" s="24" customFormat="1" hidden="1" outlineLevel="1" x14ac:dyDescent="0.25">
      <c r="A174" s="44"/>
      <c r="B174" s="11" t="str">
        <f>CONCATENATE("          ", "5545", " - ", "FREIGHT-IN-SPECIAL ORDERS")</f>
        <v xml:space="preserve">          5545 - FREIGHT-IN-SPECIAL ORDERS</v>
      </c>
      <c r="C174" s="11"/>
      <c r="D174" s="2">
        <v>84.47</v>
      </c>
      <c r="E174" s="2"/>
      <c r="F174" s="19">
        <f t="shared" si="15"/>
        <v>1.3514346758203063E-4</v>
      </c>
      <c r="G174" s="2"/>
      <c r="H174" s="2">
        <v>74.5</v>
      </c>
      <c r="I174" s="2"/>
      <c r="J174" s="19">
        <f t="shared" si="16"/>
        <v>1.1433315761324553E-4</v>
      </c>
      <c r="K174" s="2"/>
      <c r="L174" s="2">
        <f t="shared" si="17"/>
        <v>9.9699999999999989</v>
      </c>
      <c r="M174" s="2"/>
      <c r="N174" s="19">
        <f t="shared" si="18"/>
        <v>0.13382550335570467</v>
      </c>
      <c r="O174" s="11"/>
      <c r="P174" s="2">
        <v>346.98</v>
      </c>
      <c r="Q174" s="2"/>
      <c r="R174" s="19">
        <f t="shared" si="19"/>
        <v>5.822573245216872E-5</v>
      </c>
      <c r="S174" s="2"/>
      <c r="T174" s="2">
        <v>1261.06</v>
      </c>
      <c r="U174" s="2"/>
      <c r="V174" s="19">
        <f t="shared" si="20"/>
        <v>2.0335054375936369E-4</v>
      </c>
      <c r="W174" s="2"/>
      <c r="X174" s="2">
        <f t="shared" si="21"/>
        <v>-914.07999999999993</v>
      </c>
      <c r="Y174" s="2"/>
      <c r="Z174" s="19">
        <f t="shared" si="22"/>
        <v>-0.72485052257624538</v>
      </c>
    </row>
    <row r="175" spans="1:26" s="24" customFormat="1" hidden="1" outlineLevel="1" x14ac:dyDescent="0.25">
      <c r="A175" s="44"/>
      <c r="B175" s="11" t="str">
        <f>CONCATENATE("          ", "5581", " - ", "FREIGHT-IN-ELECTRONICS")</f>
        <v xml:space="preserve">          5581 - FREIGHT-IN-ELECTRONICS</v>
      </c>
      <c r="C175" s="11"/>
      <c r="D175" s="2">
        <v>12.8</v>
      </c>
      <c r="E175" s="2"/>
      <c r="F175" s="19">
        <f t="shared" si="15"/>
        <v>2.0478707056351272E-5</v>
      </c>
      <c r="G175" s="2"/>
      <c r="H175" s="2"/>
      <c r="I175" s="2"/>
      <c r="J175" s="19">
        <f t="shared" si="16"/>
        <v>0</v>
      </c>
      <c r="K175" s="2"/>
      <c r="L175" s="2">
        <f t="shared" si="17"/>
        <v>12.8</v>
      </c>
      <c r="M175" s="2"/>
      <c r="N175" s="19">
        <f t="shared" si="18"/>
        <v>0</v>
      </c>
      <c r="O175" s="11"/>
      <c r="P175" s="2">
        <v>105.75</v>
      </c>
      <c r="Q175" s="2"/>
      <c r="R175" s="19">
        <f t="shared" si="19"/>
        <v>1.774560841206076E-5</v>
      </c>
      <c r="S175" s="2"/>
      <c r="T175" s="2"/>
      <c r="U175" s="2"/>
      <c r="V175" s="19">
        <f t="shared" si="20"/>
        <v>0</v>
      </c>
      <c r="W175" s="2"/>
      <c r="X175" s="2">
        <f t="shared" si="21"/>
        <v>105.75</v>
      </c>
      <c r="Y175" s="2"/>
      <c r="Z175" s="19">
        <f t="shared" si="22"/>
        <v>0</v>
      </c>
    </row>
    <row r="176" spans="1:26" s="24" customFormat="1" hidden="1" outlineLevel="1" x14ac:dyDescent="0.25">
      <c r="A176" s="44"/>
      <c r="B176" s="11" t="str">
        <f>CONCATENATE("          ", "5582", " - ", "FREIGHT-IN-COMPUTER HARDWARE")</f>
        <v xml:space="preserve">          5582 - FREIGHT-IN-COMPUTER HARDWARE</v>
      </c>
      <c r="C176" s="11"/>
      <c r="D176" s="2"/>
      <c r="E176" s="2"/>
      <c r="F176" s="19">
        <f t="shared" si="15"/>
        <v>0</v>
      </c>
      <c r="G176" s="2"/>
      <c r="H176" s="2"/>
      <c r="I176" s="2"/>
      <c r="J176" s="19">
        <f t="shared" si="16"/>
        <v>0</v>
      </c>
      <c r="K176" s="2"/>
      <c r="L176" s="2">
        <f t="shared" si="17"/>
        <v>0</v>
      </c>
      <c r="M176" s="2"/>
      <c r="N176" s="19">
        <f t="shared" si="18"/>
        <v>0</v>
      </c>
      <c r="O176" s="11"/>
      <c r="P176" s="2">
        <v>4.84</v>
      </c>
      <c r="Q176" s="2"/>
      <c r="R176" s="19">
        <f t="shared" si="19"/>
        <v>8.121867112470361E-7</v>
      </c>
      <c r="S176" s="2"/>
      <c r="T176" s="2"/>
      <c r="U176" s="2"/>
      <c r="V176" s="19">
        <f t="shared" si="20"/>
        <v>0</v>
      </c>
      <c r="W176" s="2"/>
      <c r="X176" s="2">
        <f t="shared" si="21"/>
        <v>4.84</v>
      </c>
      <c r="Y176" s="2"/>
      <c r="Z176" s="19">
        <f t="shared" si="22"/>
        <v>0</v>
      </c>
    </row>
    <row r="177" spans="1:26" s="24" customFormat="1" hidden="1" outlineLevel="1" x14ac:dyDescent="0.25">
      <c r="A177" s="44"/>
      <c r="B177" s="11" t="str">
        <f>CONCATENATE("          ", "5583", " - ", "FREIGHT-IN-COMPUTER EQUIPMENT")</f>
        <v xml:space="preserve">          5583 - FREIGHT-IN-COMPUTER EQUIPMENT</v>
      </c>
      <c r="C177" s="11"/>
      <c r="D177" s="2"/>
      <c r="E177" s="2"/>
      <c r="F177" s="19">
        <f t="shared" si="15"/>
        <v>0</v>
      </c>
      <c r="G177" s="2"/>
      <c r="H177" s="2">
        <v>14.63</v>
      </c>
      <c r="I177" s="2"/>
      <c r="J177" s="19">
        <f t="shared" si="16"/>
        <v>2.2452269743379625E-5</v>
      </c>
      <c r="K177" s="2"/>
      <c r="L177" s="2">
        <f t="shared" si="17"/>
        <v>-14.63</v>
      </c>
      <c r="M177" s="2"/>
      <c r="N177" s="19">
        <f t="shared" si="18"/>
        <v>-1</v>
      </c>
      <c r="O177" s="11"/>
      <c r="P177" s="2">
        <v>41</v>
      </c>
      <c r="Q177" s="2"/>
      <c r="R177" s="19">
        <f t="shared" si="19"/>
        <v>6.8800940415554709E-6</v>
      </c>
      <c r="S177" s="2"/>
      <c r="T177" s="2">
        <v>22.9</v>
      </c>
      <c r="U177" s="2"/>
      <c r="V177" s="19">
        <f t="shared" si="20"/>
        <v>3.692708873558299E-6</v>
      </c>
      <c r="W177" s="2"/>
      <c r="X177" s="2">
        <f t="shared" si="21"/>
        <v>18.100000000000001</v>
      </c>
      <c r="Y177" s="2"/>
      <c r="Z177" s="19">
        <f t="shared" si="22"/>
        <v>0.79039301310043675</v>
      </c>
    </row>
    <row r="178" spans="1:26" s="24" customFormat="1" hidden="1" outlineLevel="1" x14ac:dyDescent="0.25">
      <c r="A178" s="44"/>
      <c r="B178" s="11" t="str">
        <f>CONCATENATE("          ", "5586", " - ", "FREIGHT-IN-COMPUTER SUPPLIES")</f>
        <v xml:space="preserve">          5586 - FREIGHT-IN-COMPUTER SUPPLIES</v>
      </c>
      <c r="C178" s="11"/>
      <c r="D178" s="2">
        <v>60.12</v>
      </c>
      <c r="E178" s="2"/>
      <c r="F178" s="19">
        <f t="shared" si="15"/>
        <v>9.6185927205299872E-5</v>
      </c>
      <c r="G178" s="2"/>
      <c r="H178" s="2">
        <v>27.23</v>
      </c>
      <c r="I178" s="2"/>
      <c r="J178" s="19">
        <f t="shared" si="16"/>
        <v>4.1789152775955375E-5</v>
      </c>
      <c r="K178" s="2"/>
      <c r="L178" s="2">
        <f t="shared" si="17"/>
        <v>32.89</v>
      </c>
      <c r="M178" s="2"/>
      <c r="N178" s="19">
        <f t="shared" si="18"/>
        <v>1.2078589790672052</v>
      </c>
      <c r="O178" s="11"/>
      <c r="P178" s="2">
        <v>162.51</v>
      </c>
      <c r="Q178" s="2"/>
      <c r="R178" s="19">
        <f t="shared" si="19"/>
        <v>2.7270343480321454E-5</v>
      </c>
      <c r="S178" s="2"/>
      <c r="T178" s="2">
        <v>131.52000000000001</v>
      </c>
      <c r="U178" s="2"/>
      <c r="V178" s="19">
        <f t="shared" si="20"/>
        <v>2.12080817052571E-5</v>
      </c>
      <c r="W178" s="2"/>
      <c r="X178" s="2">
        <f t="shared" si="21"/>
        <v>30.989999999999981</v>
      </c>
      <c r="Y178" s="2"/>
      <c r="Z178" s="19">
        <f t="shared" si="22"/>
        <v>0.23562956204379545</v>
      </c>
    </row>
    <row r="179" spans="1:26" s="24" customFormat="1" hidden="1" outlineLevel="1" x14ac:dyDescent="0.25">
      <c r="A179" s="44"/>
      <c r="B179" s="11" t="str">
        <f>CONCATENATE("          ", "5592", " - ", "FREIGHT-IN-GRAD MERCH")</f>
        <v xml:space="preserve">          5592 - FREIGHT-IN-GRAD MERCH</v>
      </c>
      <c r="C179" s="11"/>
      <c r="D179" s="2"/>
      <c r="E179" s="2"/>
      <c r="F179" s="19">
        <f t="shared" si="15"/>
        <v>0</v>
      </c>
      <c r="G179" s="2"/>
      <c r="H179" s="2"/>
      <c r="I179" s="2"/>
      <c r="J179" s="19">
        <f t="shared" si="16"/>
        <v>0</v>
      </c>
      <c r="K179" s="2"/>
      <c r="L179" s="2">
        <f t="shared" si="17"/>
        <v>0</v>
      </c>
      <c r="M179" s="2"/>
      <c r="N179" s="19">
        <f t="shared" si="18"/>
        <v>0</v>
      </c>
      <c r="O179" s="11"/>
      <c r="P179" s="2">
        <v>70.78</v>
      </c>
      <c r="Q179" s="2"/>
      <c r="R179" s="19">
        <f t="shared" si="19"/>
        <v>1.1877391616129177E-5</v>
      </c>
      <c r="S179" s="2"/>
      <c r="T179" s="2">
        <v>114.3</v>
      </c>
      <c r="U179" s="2"/>
      <c r="V179" s="19">
        <f t="shared" si="20"/>
        <v>1.8431293635271338E-5</v>
      </c>
      <c r="W179" s="2"/>
      <c r="X179" s="2">
        <f t="shared" si="21"/>
        <v>-43.519999999999996</v>
      </c>
      <c r="Y179" s="2"/>
      <c r="Z179" s="19">
        <f t="shared" si="22"/>
        <v>-0.3807524059492563</v>
      </c>
    </row>
    <row r="180" spans="1:26" x14ac:dyDescent="0.25">
      <c r="A180" s="9"/>
      <c r="B180" s="10"/>
      <c r="C180" s="10"/>
      <c r="D180" s="3"/>
      <c r="E180" s="3"/>
      <c r="F180" s="8"/>
      <c r="G180" s="3"/>
      <c r="H180" s="3"/>
      <c r="I180" s="3"/>
      <c r="J180" s="8"/>
      <c r="K180" s="3"/>
      <c r="L180" s="3"/>
      <c r="M180" s="3"/>
      <c r="N180" s="8"/>
      <c r="O180" s="10"/>
      <c r="P180" s="3"/>
      <c r="Q180" s="3"/>
      <c r="R180" s="8"/>
      <c r="S180" s="3"/>
      <c r="T180" s="3"/>
      <c r="U180" s="3"/>
      <c r="V180" s="8"/>
      <c r="W180" s="3"/>
      <c r="X180" s="3"/>
      <c r="Y180" s="3"/>
      <c r="Z180" s="8"/>
    </row>
    <row r="181" spans="1:26" s="23" customFormat="1" x14ac:dyDescent="0.25">
      <c r="A181" s="10"/>
      <c r="B181" s="28" t="s">
        <v>6</v>
      </c>
      <c r="C181" s="28"/>
      <c r="D181" s="21">
        <f>D12-D123</f>
        <v>288028.01000000059</v>
      </c>
      <c r="E181" s="14"/>
      <c r="F181" s="22">
        <f>IF(D$12=0,0,D181/D$12)</f>
        <v>0.46081572193858023</v>
      </c>
      <c r="G181" s="14"/>
      <c r="H181" s="21">
        <f>H12-H123</f>
        <v>286508.81999999966</v>
      </c>
      <c r="I181" s="14"/>
      <c r="J181" s="22">
        <f>IF(H$12=0,0,H181/H$12)</f>
        <v>0.43969742382073762</v>
      </c>
      <c r="K181" s="16"/>
      <c r="L181" s="21">
        <f>+D181-H181</f>
        <v>1519.1900000009337</v>
      </c>
      <c r="M181" s="16"/>
      <c r="N181" s="22">
        <f>IF(H181=0,0,L181/H181)</f>
        <v>5.3024196602426948E-3</v>
      </c>
      <c r="O181" s="29"/>
      <c r="P181" s="21">
        <f>P12-P123</f>
        <v>1943946.6499999994</v>
      </c>
      <c r="Q181" s="14"/>
      <c r="R181" s="22">
        <f>IF(P$12=0,0,P181/P$12)</f>
        <v>0.32620818936016377</v>
      </c>
      <c r="S181" s="14"/>
      <c r="T181" s="21">
        <f>T12-T123</f>
        <v>2027149.25</v>
      </c>
      <c r="U181" s="14"/>
      <c r="V181" s="22">
        <f>IF(T$12=0,0,T181/T$12)</f>
        <v>0.32688524120096296</v>
      </c>
      <c r="W181" s="16"/>
      <c r="X181" s="21">
        <f>+P181-T181</f>
        <v>-83202.600000000559</v>
      </c>
      <c r="Y181" s="16"/>
      <c r="Z181" s="22">
        <f>IF(T181=0,0,X181/T181)</f>
        <v>-4.1044141175101224E-2</v>
      </c>
    </row>
    <row r="182" spans="1:26" x14ac:dyDescent="0.25">
      <c r="A182" s="9"/>
      <c r="B182" s="10"/>
      <c r="C182" s="9"/>
      <c r="D182" s="1"/>
      <c r="E182" s="1"/>
      <c r="F182" s="5"/>
      <c r="G182" s="1"/>
      <c r="H182" s="1"/>
      <c r="I182" s="1"/>
      <c r="J182" s="5"/>
      <c r="K182" s="1"/>
      <c r="L182" s="1"/>
      <c r="M182" s="1"/>
      <c r="N182" s="5"/>
      <c r="O182" s="37"/>
      <c r="P182" s="1"/>
      <c r="Q182" s="1"/>
      <c r="R182" s="5"/>
      <c r="S182" s="1"/>
      <c r="T182" s="1"/>
      <c r="U182" s="1"/>
      <c r="V182" s="5"/>
      <c r="W182" s="1"/>
      <c r="X182" s="1"/>
      <c r="Y182" s="1"/>
      <c r="Z182" s="5"/>
    </row>
    <row r="183" spans="1:26" s="23" customFormat="1" x14ac:dyDescent="0.25">
      <c r="A183" s="10"/>
      <c r="B183" s="29" t="s">
        <v>9</v>
      </c>
      <c r="C183" s="10"/>
      <c r="D183" s="20">
        <f>SUM(OSRRefD22x_0)</f>
        <v>420455.72000000009</v>
      </c>
      <c r="E183" s="20"/>
      <c r="F183" s="35">
        <f t="shared" ref="F183:F193" si="23">IF(D$12=0,0,D183/D$12)</f>
        <v>0.67268668125369191</v>
      </c>
      <c r="G183" s="20"/>
      <c r="H183" s="20">
        <f>SUM(OSRRefH22x_0)</f>
        <v>434117.7300000001</v>
      </c>
      <c r="I183" s="20"/>
      <c r="J183" s="35">
        <f t="shared" ref="J183:J193" si="24">IF(H$12=0,0,H183/H$12)</f>
        <v>0.66622887042677015</v>
      </c>
      <c r="K183" s="4"/>
      <c r="L183" s="20">
        <f t="shared" ref="L183:L193" si="25">+D183-H183</f>
        <v>-13662.010000000009</v>
      </c>
      <c r="M183" s="4"/>
      <c r="N183" s="35">
        <f t="shared" ref="N183:N193" si="26">IF(H183=0,0,L183/H183)</f>
        <v>-3.1470748729843415E-2</v>
      </c>
      <c r="O183" s="10"/>
      <c r="P183" s="20">
        <f>SUM(OSRRefP22x_0)</f>
        <v>1642742.5599999994</v>
      </c>
      <c r="Q183" s="20"/>
      <c r="R183" s="35">
        <f t="shared" ref="R183:R193" si="27">IF(P$12=0,0,P183/P$12)</f>
        <v>0.27566398289916039</v>
      </c>
      <c r="S183" s="20"/>
      <c r="T183" s="20">
        <f>SUM(OSRRefT22x_0)</f>
        <v>1752734.2000000002</v>
      </c>
      <c r="U183" s="20"/>
      <c r="V183" s="35">
        <f t="shared" ref="V183:V193" si="28">IF(T$12=0,0,T183/T$12)</f>
        <v>0.28263480931568158</v>
      </c>
      <c r="W183" s="4"/>
      <c r="X183" s="20">
        <f t="shared" ref="X183:X193" si="29">+P183-T183</f>
        <v>-109991.64000000083</v>
      </c>
      <c r="Y183" s="4"/>
      <c r="Z183" s="35">
        <f t="shared" ref="Z183:Z193" si="30">IF(T183=0,0,X183/T183)</f>
        <v>-6.2754318367269163E-2</v>
      </c>
    </row>
    <row r="184" spans="1:26" s="27" customFormat="1" outlineLevel="1" collapsed="1" x14ac:dyDescent="0.25">
      <c r="A184" s="25"/>
      <c r="B184" s="13" t="str">
        <f>CONCATENATE("     ","*Benefits                                         ")</f>
        <v xml:space="preserve">     *Benefits                                         </v>
      </c>
      <c r="C184" s="13"/>
      <c r="D184" s="1">
        <f>SUM(OSRRefD22_0x_0)</f>
        <v>64355.5</v>
      </c>
      <c r="E184" s="1"/>
      <c r="F184" s="5">
        <f t="shared" si="23"/>
        <v>0.10296229937226674</v>
      </c>
      <c r="G184" s="1"/>
      <c r="H184" s="1">
        <f>SUM(OSRRefH22_0x_0)</f>
        <v>72519.840000000011</v>
      </c>
      <c r="I184" s="1"/>
      <c r="J184" s="5">
        <f t="shared" si="24"/>
        <v>0.1112942590175483</v>
      </c>
      <c r="K184" s="1"/>
      <c r="L184" s="1">
        <f t="shared" si="25"/>
        <v>-8164.3400000000111</v>
      </c>
      <c r="M184" s="1"/>
      <c r="N184" s="5">
        <f t="shared" si="26"/>
        <v>-0.11258077789471144</v>
      </c>
      <c r="O184" s="13"/>
      <c r="P184" s="1">
        <f>SUM(OSRRefP22_0x_0)</f>
        <v>229701.74</v>
      </c>
      <c r="Q184" s="1"/>
      <c r="R184" s="5">
        <f t="shared" si="27"/>
        <v>3.8545599334364002E-2</v>
      </c>
      <c r="S184" s="1"/>
      <c r="T184" s="1">
        <f>SUM(OSRRefT22_0x_0)</f>
        <v>228028.04</v>
      </c>
      <c r="U184" s="1"/>
      <c r="V184" s="5">
        <f t="shared" si="28"/>
        <v>3.6770356625681525E-2</v>
      </c>
      <c r="W184" s="1"/>
      <c r="X184" s="1">
        <f t="shared" si="29"/>
        <v>1673.6999999999825</v>
      </c>
      <c r="Y184" s="1"/>
      <c r="Z184" s="5">
        <f t="shared" si="30"/>
        <v>7.3398867963781226E-3</v>
      </c>
    </row>
    <row r="185" spans="1:26" s="24" customFormat="1" hidden="1" outlineLevel="2" x14ac:dyDescent="0.25">
      <c r="A185" s="26"/>
      <c r="B185" s="11" t="str">
        <f>CONCATENATE("          ", "6111", " - ", "F.I.C.A.")</f>
        <v xml:space="preserve">          6111 - F.I.C.A.</v>
      </c>
      <c r="C185" s="11"/>
      <c r="D185" s="6">
        <v>17165.099999999999</v>
      </c>
      <c r="E185" s="2"/>
      <c r="F185" s="7">
        <f t="shared" si="23"/>
        <v>2.7462426132263688E-2</v>
      </c>
      <c r="G185" s="2"/>
      <c r="H185" s="6">
        <v>17461.37</v>
      </c>
      <c r="I185" s="2"/>
      <c r="J185" s="7">
        <f t="shared" si="24"/>
        <v>2.6797497561787877E-2</v>
      </c>
      <c r="K185" s="2"/>
      <c r="L185" s="6">
        <f t="shared" si="25"/>
        <v>-296.27000000000044</v>
      </c>
      <c r="M185" s="2"/>
      <c r="N185" s="7">
        <f t="shared" si="26"/>
        <v>-1.696716809734863E-2</v>
      </c>
      <c r="O185" s="11"/>
      <c r="P185" s="6">
        <v>51335.91</v>
      </c>
      <c r="Q185" s="2"/>
      <c r="R185" s="7">
        <f t="shared" si="27"/>
        <v>8.6145338660689741E-3</v>
      </c>
      <c r="S185" s="2"/>
      <c r="T185" s="6">
        <v>51305.340000000004</v>
      </c>
      <c r="U185" s="2"/>
      <c r="V185" s="7">
        <f t="shared" si="28"/>
        <v>8.2731739859792826E-3</v>
      </c>
      <c r="W185" s="2"/>
      <c r="X185" s="6">
        <f t="shared" si="29"/>
        <v>30.569999999999709</v>
      </c>
      <c r="Y185" s="2"/>
      <c r="Z185" s="7">
        <f t="shared" si="30"/>
        <v>5.9584440917845403E-4</v>
      </c>
    </row>
    <row r="186" spans="1:26" s="24" customFormat="1" hidden="1" outlineLevel="2" x14ac:dyDescent="0.25">
      <c r="A186" s="26"/>
      <c r="B186" s="11" t="str">
        <f>CONCATENATE("          ", "6112", " - ", "COMPENSATION INSURANCE")</f>
        <v xml:space="preserve">          6112 - COMPENSATION INSURANCE</v>
      </c>
      <c r="C186" s="11"/>
      <c r="D186" s="6">
        <v>136.85</v>
      </c>
      <c r="E186" s="2"/>
      <c r="F186" s="7">
        <f t="shared" si="23"/>
        <v>2.1894617661419308E-4</v>
      </c>
      <c r="G186" s="2"/>
      <c r="H186" s="6">
        <v>4219.1400000000003</v>
      </c>
      <c r="I186" s="2"/>
      <c r="J186" s="7">
        <f t="shared" si="24"/>
        <v>6.4750013236556875E-3</v>
      </c>
      <c r="K186" s="2"/>
      <c r="L186" s="6">
        <f t="shared" si="25"/>
        <v>-4082.2900000000004</v>
      </c>
      <c r="M186" s="2"/>
      <c r="N186" s="7">
        <f t="shared" si="26"/>
        <v>-0.96756447996511141</v>
      </c>
      <c r="O186" s="11"/>
      <c r="P186" s="6">
        <v>8760.44</v>
      </c>
      <c r="Q186" s="2"/>
      <c r="R186" s="7">
        <f t="shared" si="27"/>
        <v>1.4700646596440053E-3</v>
      </c>
      <c r="S186" s="2"/>
      <c r="T186" s="6">
        <v>8001.58</v>
      </c>
      <c r="U186" s="2"/>
      <c r="V186" s="7">
        <f t="shared" si="28"/>
        <v>1.290284081593302E-3</v>
      </c>
      <c r="W186" s="2"/>
      <c r="X186" s="6">
        <f t="shared" si="29"/>
        <v>758.86000000000058</v>
      </c>
      <c r="Y186" s="2"/>
      <c r="Z186" s="7">
        <f t="shared" si="30"/>
        <v>9.4838769343054824E-2</v>
      </c>
    </row>
    <row r="187" spans="1:26" s="24" customFormat="1" hidden="1" outlineLevel="2" x14ac:dyDescent="0.25">
      <c r="A187" s="26"/>
      <c r="B187" s="11" t="str">
        <f>CONCATENATE("          ", "6113", " - ", "GROUP INSURANCE")</f>
        <v xml:space="preserve">          6113 - GROUP INSURANCE</v>
      </c>
      <c r="C187" s="11"/>
      <c r="D187" s="6">
        <v>19970.38</v>
      </c>
      <c r="E187" s="2"/>
      <c r="F187" s="7">
        <f t="shared" si="23"/>
        <v>3.1950590767501279E-2</v>
      </c>
      <c r="G187" s="2"/>
      <c r="H187" s="6">
        <v>21759.870000000003</v>
      </c>
      <c r="I187" s="2"/>
      <c r="J187" s="7">
        <f t="shared" si="24"/>
        <v>3.3394290555083667E-2</v>
      </c>
      <c r="K187" s="2"/>
      <c r="L187" s="6">
        <f t="shared" si="25"/>
        <v>-1789.4900000000016</v>
      </c>
      <c r="M187" s="2"/>
      <c r="N187" s="7">
        <f t="shared" si="26"/>
        <v>-8.2238083223842851E-2</v>
      </c>
      <c r="O187" s="11"/>
      <c r="P187" s="6">
        <v>79429.119999999995</v>
      </c>
      <c r="Q187" s="2"/>
      <c r="R187" s="7">
        <f t="shared" si="27"/>
        <v>1.3328775981414499E-2</v>
      </c>
      <c r="S187" s="2"/>
      <c r="T187" s="6">
        <v>73228.22</v>
      </c>
      <c r="U187" s="2"/>
      <c r="V187" s="7">
        <f t="shared" si="28"/>
        <v>1.1808318680737088E-2</v>
      </c>
      <c r="W187" s="2"/>
      <c r="X187" s="6">
        <f t="shared" si="29"/>
        <v>6200.8999999999942</v>
      </c>
      <c r="Y187" s="2"/>
      <c r="Z187" s="7">
        <f t="shared" si="30"/>
        <v>8.4679103220042684E-2</v>
      </c>
    </row>
    <row r="188" spans="1:26" s="24" customFormat="1" hidden="1" outlineLevel="2" x14ac:dyDescent="0.25">
      <c r="A188" s="26"/>
      <c r="B188" s="11" t="str">
        <f>CONCATENATE("          ", "6114", " - ", "STATE UNEMPLOYMENT INSURANCE")</f>
        <v xml:space="preserve">          6114 - STATE UNEMPLOYMENT INSURANCE</v>
      </c>
      <c r="C188" s="11"/>
      <c r="D188" s="6">
        <v>634.78</v>
      </c>
      <c r="E188" s="2"/>
      <c r="F188" s="7">
        <f t="shared" si="23"/>
        <v>1.0155838800961453E-3</v>
      </c>
      <c r="G188" s="2"/>
      <c r="H188" s="6">
        <v>604.54</v>
      </c>
      <c r="I188" s="2"/>
      <c r="J188" s="7">
        <f t="shared" si="24"/>
        <v>9.2777137051693211E-4</v>
      </c>
      <c r="K188" s="2"/>
      <c r="L188" s="6">
        <f t="shared" si="25"/>
        <v>30.240000000000009</v>
      </c>
      <c r="M188" s="2"/>
      <c r="N188" s="7">
        <f t="shared" si="26"/>
        <v>5.0021503953419144E-2</v>
      </c>
      <c r="O188" s="11"/>
      <c r="P188" s="6">
        <v>2102.64</v>
      </c>
      <c r="Q188" s="2"/>
      <c r="R188" s="7">
        <f t="shared" si="27"/>
        <v>3.5283807159844377E-4</v>
      </c>
      <c r="S188" s="2"/>
      <c r="T188" s="6">
        <v>2233.9</v>
      </c>
      <c r="U188" s="2"/>
      <c r="V188" s="7">
        <f t="shared" si="28"/>
        <v>3.6022455688392512E-4</v>
      </c>
      <c r="W188" s="2"/>
      <c r="X188" s="6">
        <f t="shared" si="29"/>
        <v>-131.26000000000022</v>
      </c>
      <c r="Y188" s="2"/>
      <c r="Z188" s="7">
        <f t="shared" si="30"/>
        <v>-5.8758225524866918E-2</v>
      </c>
    </row>
    <row r="189" spans="1:26" s="24" customFormat="1" hidden="1" outlineLevel="2" x14ac:dyDescent="0.25">
      <c r="A189" s="26"/>
      <c r="B189" s="11" t="str">
        <f>CONCATENATE("          ", "6115", " - ", "P.E.R.S.")</f>
        <v xml:space="preserve">          6115 - P.E.R.S.</v>
      </c>
      <c r="C189" s="11"/>
      <c r="D189" s="6">
        <v>11147.32</v>
      </c>
      <c r="E189" s="2"/>
      <c r="F189" s="7">
        <f t="shared" si="23"/>
        <v>1.7834585995578568E-2</v>
      </c>
      <c r="G189" s="2"/>
      <c r="H189" s="6">
        <v>10294.93</v>
      </c>
      <c r="I189" s="2"/>
      <c r="J189" s="7">
        <f t="shared" si="24"/>
        <v>1.5799353749091673E-2</v>
      </c>
      <c r="K189" s="2"/>
      <c r="L189" s="6">
        <f t="shared" si="25"/>
        <v>852.38999999999942</v>
      </c>
      <c r="M189" s="2"/>
      <c r="N189" s="7">
        <f t="shared" si="26"/>
        <v>8.2797066128667163E-2</v>
      </c>
      <c r="O189" s="11"/>
      <c r="P189" s="6">
        <v>30400.329999999998</v>
      </c>
      <c r="Q189" s="2"/>
      <c r="R189" s="7">
        <f t="shared" si="27"/>
        <v>5.1013933974224396E-3</v>
      </c>
      <c r="S189" s="2"/>
      <c r="T189" s="6">
        <v>30406.870000000003</v>
      </c>
      <c r="U189" s="2"/>
      <c r="V189" s="7">
        <f t="shared" si="28"/>
        <v>4.9032191557263601E-3</v>
      </c>
      <c r="W189" s="2"/>
      <c r="X189" s="6">
        <f t="shared" si="29"/>
        <v>-6.5400000000045111</v>
      </c>
      <c r="Y189" s="2"/>
      <c r="Z189" s="7">
        <f t="shared" si="30"/>
        <v>-2.1508297302565211E-4</v>
      </c>
    </row>
    <row r="190" spans="1:26" s="24" customFormat="1" hidden="1" outlineLevel="2" x14ac:dyDescent="0.25">
      <c r="A190" s="26"/>
      <c r="B190" s="11" t="str">
        <f>CONCATENATE("          ", "6117", " - ", "RETIREMENT STAFF HOURLY")</f>
        <v xml:space="preserve">          6117 - RETIREMENT STAFF HOURLY</v>
      </c>
      <c r="C190" s="11"/>
      <c r="D190" s="6">
        <v>237.99</v>
      </c>
      <c r="E190" s="2"/>
      <c r="F190" s="7">
        <f t="shared" si="23"/>
        <v>3.807599603391437E-4</v>
      </c>
      <c r="G190" s="2"/>
      <c r="H190" s="6">
        <v>425.3</v>
      </c>
      <c r="I190" s="2"/>
      <c r="J190" s="7">
        <f t="shared" si="24"/>
        <v>6.5269653601225934E-4</v>
      </c>
      <c r="K190" s="2"/>
      <c r="L190" s="6">
        <f t="shared" si="25"/>
        <v>-187.31</v>
      </c>
      <c r="M190" s="2"/>
      <c r="N190" s="7">
        <f t="shared" si="26"/>
        <v>-0.44041852809781329</v>
      </c>
      <c r="O190" s="11"/>
      <c r="P190" s="6">
        <v>1251.3800000000001</v>
      </c>
      <c r="Q190" s="2"/>
      <c r="R190" s="7">
        <f t="shared" si="27"/>
        <v>2.0999053857857772E-4</v>
      </c>
      <c r="S190" s="2"/>
      <c r="T190" s="6">
        <v>2110.9499999999998</v>
      </c>
      <c r="U190" s="2"/>
      <c r="V190" s="7">
        <f t="shared" si="28"/>
        <v>3.4039841906715685E-4</v>
      </c>
      <c r="W190" s="2"/>
      <c r="X190" s="6">
        <f t="shared" si="29"/>
        <v>-859.56999999999971</v>
      </c>
      <c r="Y190" s="2"/>
      <c r="Z190" s="7">
        <f t="shared" si="30"/>
        <v>-0.40719581231199214</v>
      </c>
    </row>
    <row r="191" spans="1:26" s="24" customFormat="1" hidden="1" outlineLevel="2" x14ac:dyDescent="0.25">
      <c r="A191" s="26"/>
      <c r="B191" s="11" t="str">
        <f>CONCATENATE("          ", "6118", " - ", "VACATION")</f>
        <v xml:space="preserve">          6118 - VACATION</v>
      </c>
      <c r="C191" s="11"/>
      <c r="D191" s="6">
        <v>7486.5</v>
      </c>
      <c r="E191" s="2"/>
      <c r="F191" s="7">
        <f t="shared" si="23"/>
        <v>1.1977643779482329E-2</v>
      </c>
      <c r="G191" s="2"/>
      <c r="H191" s="6">
        <v>8974.07</v>
      </c>
      <c r="I191" s="2"/>
      <c r="J191" s="7">
        <f t="shared" si="24"/>
        <v>1.3772265231440244E-2</v>
      </c>
      <c r="K191" s="2"/>
      <c r="L191" s="6">
        <f t="shared" si="25"/>
        <v>-1487.5699999999997</v>
      </c>
      <c r="M191" s="2"/>
      <c r="N191" s="7">
        <f t="shared" si="26"/>
        <v>-0.16576313757302982</v>
      </c>
      <c r="O191" s="11"/>
      <c r="P191" s="6">
        <v>25988.99</v>
      </c>
      <c r="Q191" s="2"/>
      <c r="R191" s="7">
        <f t="shared" si="27"/>
        <v>4.3611389084157251E-3</v>
      </c>
      <c r="S191" s="2"/>
      <c r="T191" s="6">
        <v>28369.06</v>
      </c>
      <c r="U191" s="2"/>
      <c r="V191" s="7">
        <f t="shared" si="28"/>
        <v>4.5746148295418261E-3</v>
      </c>
      <c r="W191" s="2"/>
      <c r="X191" s="6">
        <f t="shared" si="29"/>
        <v>-2380.0699999999997</v>
      </c>
      <c r="Y191" s="2"/>
      <c r="Z191" s="7">
        <f t="shared" si="30"/>
        <v>-8.3896681807574855E-2</v>
      </c>
    </row>
    <row r="192" spans="1:26" s="24" customFormat="1" hidden="1" outlineLevel="2" x14ac:dyDescent="0.25">
      <c r="A192" s="26"/>
      <c r="B192" s="11" t="str">
        <f>CONCATENATE("          ", "6119", " - ", "SICK LEAVE")</f>
        <v xml:space="preserve">          6119 - SICK LEAVE</v>
      </c>
      <c r="C192" s="11"/>
      <c r="D192" s="6">
        <v>5263.96</v>
      </c>
      <c r="E192" s="2"/>
      <c r="F192" s="7">
        <f t="shared" si="23"/>
        <v>8.4218042809649091E-3</v>
      </c>
      <c r="G192" s="2"/>
      <c r="H192" s="6">
        <v>6510.05</v>
      </c>
      <c r="I192" s="2"/>
      <c r="J192" s="7">
        <f t="shared" si="24"/>
        <v>9.9907996338269665E-3</v>
      </c>
      <c r="K192" s="2"/>
      <c r="L192" s="6">
        <f t="shared" si="25"/>
        <v>-1246.0900000000001</v>
      </c>
      <c r="M192" s="2"/>
      <c r="N192" s="7">
        <f t="shared" si="26"/>
        <v>-0.19141020422270183</v>
      </c>
      <c r="O192" s="11"/>
      <c r="P192" s="6">
        <v>21851.75</v>
      </c>
      <c r="Q192" s="2"/>
      <c r="R192" s="7">
        <f t="shared" si="27"/>
        <v>3.6668803651843849E-3</v>
      </c>
      <c r="S192" s="2"/>
      <c r="T192" s="6">
        <v>23400.68</v>
      </c>
      <c r="U192" s="2"/>
      <c r="V192" s="7">
        <f t="shared" si="28"/>
        <v>3.7734453573492676E-3</v>
      </c>
      <c r="W192" s="2"/>
      <c r="X192" s="6">
        <f t="shared" si="29"/>
        <v>-1548.9300000000003</v>
      </c>
      <c r="Y192" s="2"/>
      <c r="Z192" s="7">
        <f t="shared" si="30"/>
        <v>-6.6191666225084073E-2</v>
      </c>
    </row>
    <row r="193" spans="1:26" s="24" customFormat="1" hidden="1" outlineLevel="2" x14ac:dyDescent="0.25">
      <c r="A193" s="26"/>
      <c r="B193" s="11" t="str">
        <f>CONCATENATE("          ", "6156", " - ", "EMPLOYEE MEALS")</f>
        <v xml:space="preserve">          6156 - EMPLOYEE MEALS</v>
      </c>
      <c r="C193" s="11"/>
      <c r="D193" s="6">
        <v>2312.62</v>
      </c>
      <c r="E193" s="2"/>
      <c r="F193" s="7">
        <f t="shared" si="23"/>
        <v>3.6999583994264903E-3</v>
      </c>
      <c r="G193" s="2"/>
      <c r="H193" s="6">
        <v>2270.5700000000002</v>
      </c>
      <c r="I193" s="2"/>
      <c r="J193" s="7">
        <f t="shared" si="24"/>
        <v>3.4845830561329783E-3</v>
      </c>
      <c r="K193" s="2"/>
      <c r="L193" s="6">
        <f t="shared" si="25"/>
        <v>42.049999999999727</v>
      </c>
      <c r="M193" s="2"/>
      <c r="N193" s="7">
        <f t="shared" si="26"/>
        <v>1.8519578784181825E-2</v>
      </c>
      <c r="O193" s="11"/>
      <c r="P193" s="6">
        <v>8581.18</v>
      </c>
      <c r="Q193" s="2"/>
      <c r="R193" s="7">
        <f t="shared" si="27"/>
        <v>1.4399835460369508E-3</v>
      </c>
      <c r="S193" s="2"/>
      <c r="T193" s="6">
        <v>8971.44</v>
      </c>
      <c r="U193" s="2"/>
      <c r="V193" s="7">
        <f t="shared" si="28"/>
        <v>1.446677558803313E-3</v>
      </c>
      <c r="W193" s="2"/>
      <c r="X193" s="6">
        <f t="shared" si="29"/>
        <v>-390.26000000000022</v>
      </c>
      <c r="Y193" s="2"/>
      <c r="Z193" s="7">
        <f t="shared" si="30"/>
        <v>-4.3500263056989757E-2</v>
      </c>
    </row>
    <row r="194" spans="1:26" s="27" customFormat="1" outlineLevel="1" collapsed="1" x14ac:dyDescent="0.25">
      <c r="A194" s="25"/>
      <c r="B194" s="13" t="str">
        <f>CONCATENATE("     ","*Payroll                                          ")</f>
        <v xml:space="preserve">     *Payroll                                          </v>
      </c>
      <c r="C194" s="13"/>
      <c r="D194" s="1">
        <f>SUM(OSRRefD22_1x_0)</f>
        <v>196389.44</v>
      </c>
      <c r="E194" s="1"/>
      <c r="F194" s="5">
        <f t="shared" ref="F194:F201" si="31">IF(D$12=0,0,D194/D$12)</f>
        <v>0.31420326646256835</v>
      </c>
      <c r="G194" s="1"/>
      <c r="H194" s="1">
        <f>SUM(OSRRefH22_1x_0)</f>
        <v>181056.57</v>
      </c>
      <c r="I194" s="1"/>
      <c r="J194" s="5">
        <f t="shared" ref="J194:J201" si="32">IF(H$12=0,0,H194/H$12)</f>
        <v>0.27786267590233049</v>
      </c>
      <c r="K194" s="1"/>
      <c r="L194" s="1">
        <f t="shared" ref="L194:L201" si="33">+D194-H194</f>
        <v>15332.869999999995</v>
      </c>
      <c r="M194" s="1"/>
      <c r="N194" s="5">
        <f t="shared" ref="N194:N201" si="34">IF(H194=0,0,L194/H194)</f>
        <v>8.4685521215827703E-2</v>
      </c>
      <c r="O194" s="13"/>
      <c r="P194" s="1">
        <f>SUM(OSRRefP22_1x_0)</f>
        <v>790492.79999999993</v>
      </c>
      <c r="Q194" s="1"/>
      <c r="R194" s="5">
        <f t="shared" ref="R194:R201" si="35">IF(P$12=0,0,P194/P$12)</f>
        <v>0.1326503610529878</v>
      </c>
      <c r="S194" s="1"/>
      <c r="T194" s="1">
        <f>SUM(OSRRefT22_1x_0)</f>
        <v>760188.61</v>
      </c>
      <c r="U194" s="1"/>
      <c r="V194" s="5">
        <f t="shared" ref="V194:V201" si="36">IF(T$12=0,0,T194/T$12)</f>
        <v>0.12258319762991045</v>
      </c>
      <c r="W194" s="1"/>
      <c r="X194" s="1">
        <f t="shared" ref="X194:X201" si="37">+P194-T194</f>
        <v>30304.189999999944</v>
      </c>
      <c r="Y194" s="1"/>
      <c r="Z194" s="5">
        <f t="shared" ref="Z194:Z201" si="38">IF(T194=0,0,X194/T194)</f>
        <v>3.9864041109481954E-2</v>
      </c>
    </row>
    <row r="195" spans="1:26" s="24" customFormat="1" hidden="1" outlineLevel="2" x14ac:dyDescent="0.25">
      <c r="A195" s="26"/>
      <c r="B195" s="11" t="str">
        <f>CONCATENATE("          ", "6001", " - ", "ADMINISTRATIVE SALARIES")</f>
        <v xml:space="preserve">          6001 - ADMINISTRATIVE SALARIES</v>
      </c>
      <c r="C195" s="11"/>
      <c r="D195" s="6">
        <v>12324.99</v>
      </c>
      <c r="E195" s="2"/>
      <c r="F195" s="7">
        <f t="shared" si="31"/>
        <v>1.9718739037692098E-2</v>
      </c>
      <c r="G195" s="2"/>
      <c r="H195" s="6">
        <v>13006.5</v>
      </c>
      <c r="I195" s="2"/>
      <c r="J195" s="7">
        <f t="shared" si="32"/>
        <v>1.9960727711364805E-2</v>
      </c>
      <c r="K195" s="2"/>
      <c r="L195" s="6">
        <f t="shared" si="33"/>
        <v>-681.51000000000022</v>
      </c>
      <c r="M195" s="2"/>
      <c r="N195" s="7">
        <f t="shared" si="34"/>
        <v>-5.2397647330181082E-2</v>
      </c>
      <c r="O195" s="11"/>
      <c r="P195" s="6">
        <v>46083.689999999995</v>
      </c>
      <c r="Q195" s="2"/>
      <c r="R195" s="7">
        <f t="shared" si="35"/>
        <v>7.7331736824851078E-3</v>
      </c>
      <c r="S195" s="2"/>
      <c r="T195" s="6">
        <v>46302.25</v>
      </c>
      <c r="U195" s="2"/>
      <c r="V195" s="7">
        <f t="shared" si="36"/>
        <v>7.4664073991578504E-3</v>
      </c>
      <c r="W195" s="2"/>
      <c r="X195" s="6">
        <f t="shared" si="37"/>
        <v>-218.56000000000495</v>
      </c>
      <c r="Y195" s="2"/>
      <c r="Z195" s="7">
        <f t="shared" si="38"/>
        <v>-4.7202889708384569E-3</v>
      </c>
    </row>
    <row r="196" spans="1:26" s="24" customFormat="1" hidden="1" outlineLevel="2" x14ac:dyDescent="0.25">
      <c r="A196" s="26"/>
      <c r="B196" s="11" t="str">
        <f>CONCATENATE("          ", "6002", " - ", "STAFF SALARIES")</f>
        <v xml:space="preserve">          6002 - STAFF SALARIES</v>
      </c>
      <c r="C196" s="11"/>
      <c r="D196" s="6">
        <v>68354.48</v>
      </c>
      <c r="E196" s="2"/>
      <c r="F196" s="7">
        <f t="shared" si="31"/>
        <v>0.10936026343040796</v>
      </c>
      <c r="G196" s="2"/>
      <c r="H196" s="6">
        <v>61619.31</v>
      </c>
      <c r="I196" s="2"/>
      <c r="J196" s="7">
        <f t="shared" si="32"/>
        <v>9.4565507144287728E-2</v>
      </c>
      <c r="K196" s="2"/>
      <c r="L196" s="6">
        <f t="shared" si="33"/>
        <v>6735.1699999999983</v>
      </c>
      <c r="M196" s="2"/>
      <c r="N196" s="7">
        <f t="shared" si="34"/>
        <v>0.10930291170089373</v>
      </c>
      <c r="O196" s="11"/>
      <c r="P196" s="6">
        <v>256907.28</v>
      </c>
      <c r="Q196" s="2"/>
      <c r="R196" s="7">
        <f t="shared" si="35"/>
        <v>4.3110884057566419E-2</v>
      </c>
      <c r="S196" s="2"/>
      <c r="T196" s="6">
        <v>236684.75000000003</v>
      </c>
      <c r="U196" s="2"/>
      <c r="V196" s="7">
        <f t="shared" si="36"/>
        <v>3.8166282819254486E-2</v>
      </c>
      <c r="W196" s="2"/>
      <c r="X196" s="6">
        <f t="shared" si="37"/>
        <v>20222.52999999997</v>
      </c>
      <c r="Y196" s="2"/>
      <c r="Z196" s="7">
        <f t="shared" si="38"/>
        <v>8.5440781461416371E-2</v>
      </c>
    </row>
    <row r="197" spans="1:26" s="24" customFormat="1" hidden="1" outlineLevel="2" x14ac:dyDescent="0.25">
      <c r="A197" s="26"/>
      <c r="B197" s="11" t="str">
        <f>CONCATENATE("          ", "6004", " - ", "STAFF HOURLY")</f>
        <v xml:space="preserve">          6004 - STAFF HOURLY</v>
      </c>
      <c r="C197" s="11"/>
      <c r="D197" s="6">
        <v>4439.95</v>
      </c>
      <c r="E197" s="2"/>
      <c r="F197" s="7">
        <f t="shared" si="31"/>
        <v>7.1034715152224082E-3</v>
      </c>
      <c r="G197" s="2"/>
      <c r="H197" s="6">
        <v>7272.79</v>
      </c>
      <c r="I197" s="2"/>
      <c r="J197" s="7">
        <f t="shared" si="32"/>
        <v>1.1161356313530683E-2</v>
      </c>
      <c r="K197" s="2"/>
      <c r="L197" s="6">
        <f t="shared" si="33"/>
        <v>-2832.84</v>
      </c>
      <c r="M197" s="2"/>
      <c r="N197" s="7">
        <f t="shared" si="34"/>
        <v>-0.38951214045778859</v>
      </c>
      <c r="O197" s="11"/>
      <c r="P197" s="6">
        <v>10542.16</v>
      </c>
      <c r="Q197" s="2"/>
      <c r="R197" s="7">
        <f t="shared" si="35"/>
        <v>1.7690500536859616E-3</v>
      </c>
      <c r="S197" s="2"/>
      <c r="T197" s="6">
        <v>24870.5</v>
      </c>
      <c r="U197" s="2"/>
      <c r="V197" s="7">
        <f t="shared" si="36"/>
        <v>4.010459215713174E-3</v>
      </c>
      <c r="W197" s="2"/>
      <c r="X197" s="6">
        <f t="shared" si="37"/>
        <v>-14328.34</v>
      </c>
      <c r="Y197" s="2"/>
      <c r="Z197" s="7">
        <f t="shared" si="38"/>
        <v>-0.57611789067368968</v>
      </c>
    </row>
    <row r="198" spans="1:26" s="24" customFormat="1" hidden="1" outlineLevel="2" x14ac:dyDescent="0.25">
      <c r="A198" s="26"/>
      <c r="B198" s="11" t="str">
        <f>CONCATENATE("          ", "6005", " - ", "TEMPORARY WAGES-HOURLY")</f>
        <v xml:space="preserve">          6005 - TEMPORARY WAGES-HOURLY</v>
      </c>
      <c r="C198" s="11"/>
      <c r="D198" s="6">
        <v>28722.880000000001</v>
      </c>
      <c r="E198" s="2"/>
      <c r="F198" s="7">
        <f t="shared" si="31"/>
        <v>4.5953706666775847E-2</v>
      </c>
      <c r="G198" s="2"/>
      <c r="H198" s="6">
        <v>30180.91</v>
      </c>
      <c r="I198" s="2"/>
      <c r="J198" s="7">
        <f t="shared" si="32"/>
        <v>4.6317835435452051E-2</v>
      </c>
      <c r="K198" s="2"/>
      <c r="L198" s="6">
        <f t="shared" si="33"/>
        <v>-1458.0299999999988</v>
      </c>
      <c r="M198" s="2"/>
      <c r="N198" s="7">
        <f t="shared" si="34"/>
        <v>-4.8309676547194862E-2</v>
      </c>
      <c r="O198" s="11"/>
      <c r="P198" s="6">
        <v>88906.790000000008</v>
      </c>
      <c r="Q198" s="2"/>
      <c r="R198" s="7">
        <f t="shared" si="35"/>
        <v>1.4919196978849357E-2</v>
      </c>
      <c r="S198" s="2"/>
      <c r="T198" s="6">
        <v>91700.98</v>
      </c>
      <c r="U198" s="2"/>
      <c r="V198" s="7">
        <f t="shared" si="36"/>
        <v>1.4787118889082625E-2</v>
      </c>
      <c r="W198" s="2"/>
      <c r="X198" s="6">
        <f t="shared" si="37"/>
        <v>-2794.1899999999878</v>
      </c>
      <c r="Y198" s="2"/>
      <c r="Z198" s="7">
        <f t="shared" si="38"/>
        <v>-3.0470666725698984E-2</v>
      </c>
    </row>
    <row r="199" spans="1:26" s="24" customFormat="1" hidden="1" outlineLevel="2" x14ac:dyDescent="0.25">
      <c r="A199" s="26"/>
      <c r="B199" s="11" t="str">
        <f>CONCATENATE("          ", "6006", " - ", "TEMPORARY PART TIME")</f>
        <v xml:space="preserve">          6006 - TEMPORARY PART TIME</v>
      </c>
      <c r="C199" s="11"/>
      <c r="D199" s="6">
        <v>5815.62</v>
      </c>
      <c r="E199" s="2"/>
      <c r="F199" s="7">
        <f t="shared" si="31"/>
        <v>9.3044045571138746E-3</v>
      </c>
      <c r="G199" s="2"/>
      <c r="H199" s="6">
        <v>6827.74</v>
      </c>
      <c r="I199" s="2"/>
      <c r="J199" s="7">
        <f t="shared" si="32"/>
        <v>1.0478349980701488E-2</v>
      </c>
      <c r="K199" s="2"/>
      <c r="L199" s="6">
        <f t="shared" si="33"/>
        <v>-1012.1199999999999</v>
      </c>
      <c r="M199" s="2"/>
      <c r="N199" s="7">
        <f t="shared" si="34"/>
        <v>-0.14823645891612744</v>
      </c>
      <c r="O199" s="11"/>
      <c r="P199" s="6">
        <v>25086.16</v>
      </c>
      <c r="Q199" s="2"/>
      <c r="R199" s="7">
        <f t="shared" si="35"/>
        <v>4.2096375595489562E-3</v>
      </c>
      <c r="S199" s="2"/>
      <c r="T199" s="6">
        <v>37453.79</v>
      </c>
      <c r="U199" s="2"/>
      <c r="V199" s="7">
        <f t="shared" si="36"/>
        <v>6.0395608157811833E-3</v>
      </c>
      <c r="W199" s="2"/>
      <c r="X199" s="6">
        <f t="shared" si="37"/>
        <v>-12367.630000000001</v>
      </c>
      <c r="Y199" s="2"/>
      <c r="Z199" s="7">
        <f t="shared" si="38"/>
        <v>-0.3302103739034154</v>
      </c>
    </row>
    <row r="200" spans="1:26" s="24" customFormat="1" hidden="1" outlineLevel="2" x14ac:dyDescent="0.25">
      <c r="A200" s="26"/>
      <c r="B200" s="11" t="str">
        <f>CONCATENATE("          ", "6007", " - ", "STUDENT HOURLY")</f>
        <v xml:space="preserve">          6007 - STUDENT HOURLY</v>
      </c>
      <c r="C200" s="11"/>
      <c r="D200" s="6">
        <v>75624.51999999999</v>
      </c>
      <c r="E200" s="2"/>
      <c r="F200" s="7">
        <f t="shared" si="31"/>
        <v>0.12099159307477951</v>
      </c>
      <c r="G200" s="2"/>
      <c r="H200" s="6">
        <v>59751.320000000007</v>
      </c>
      <c r="I200" s="2"/>
      <c r="J200" s="7">
        <f t="shared" si="32"/>
        <v>9.169875284777812E-2</v>
      </c>
      <c r="K200" s="2"/>
      <c r="L200" s="6">
        <f t="shared" si="33"/>
        <v>15873.199999999983</v>
      </c>
      <c r="M200" s="2"/>
      <c r="N200" s="7">
        <f t="shared" si="34"/>
        <v>0.26565438219607501</v>
      </c>
      <c r="O200" s="11"/>
      <c r="P200" s="6">
        <v>358235.72000000003</v>
      </c>
      <c r="Q200" s="2"/>
      <c r="R200" s="7">
        <f t="shared" si="35"/>
        <v>6.0114522991325227E-2</v>
      </c>
      <c r="S200" s="2"/>
      <c r="T200" s="6">
        <v>313328.59000000003</v>
      </c>
      <c r="U200" s="2"/>
      <c r="V200" s="7">
        <f t="shared" si="36"/>
        <v>5.0525382735044116E-2</v>
      </c>
      <c r="W200" s="2"/>
      <c r="X200" s="6">
        <f t="shared" si="37"/>
        <v>44907.130000000005</v>
      </c>
      <c r="Y200" s="2"/>
      <c r="Z200" s="7">
        <f t="shared" si="38"/>
        <v>0.14332279732277223</v>
      </c>
    </row>
    <row r="201" spans="1:26" s="24" customFormat="1" hidden="1" outlineLevel="2" x14ac:dyDescent="0.25">
      <c r="A201" s="26"/>
      <c r="B201" s="11" t="str">
        <f>CONCATENATE("          ", "6008", " - ", "STUDENT HOURLY-FICA EXEMPT")</f>
        <v xml:space="preserve">          6008 - STUDENT HOURLY-FICA EXEMPT</v>
      </c>
      <c r="C201" s="11"/>
      <c r="D201" s="6">
        <v>1107</v>
      </c>
      <c r="E201" s="2"/>
      <c r="F201" s="7">
        <f t="shared" si="31"/>
        <v>1.7710881805766295E-3</v>
      </c>
      <c r="G201" s="2"/>
      <c r="H201" s="6">
        <v>2398</v>
      </c>
      <c r="I201" s="2"/>
      <c r="J201" s="7">
        <f t="shared" si="32"/>
        <v>3.6801464692156074E-3</v>
      </c>
      <c r="K201" s="2"/>
      <c r="L201" s="6">
        <f t="shared" si="33"/>
        <v>-1291</v>
      </c>
      <c r="M201" s="2"/>
      <c r="N201" s="7">
        <f t="shared" si="34"/>
        <v>-0.53836530442035024</v>
      </c>
      <c r="O201" s="11"/>
      <c r="P201" s="6">
        <v>4731</v>
      </c>
      <c r="Q201" s="2"/>
      <c r="R201" s="7">
        <f t="shared" si="35"/>
        <v>7.9389572952680331E-4</v>
      </c>
      <c r="S201" s="2"/>
      <c r="T201" s="6">
        <v>9847.75</v>
      </c>
      <c r="U201" s="2"/>
      <c r="V201" s="7">
        <f t="shared" si="36"/>
        <v>1.5879857558770193E-3</v>
      </c>
      <c r="W201" s="2"/>
      <c r="X201" s="6">
        <f t="shared" si="37"/>
        <v>-5116.75</v>
      </c>
      <c r="Y201" s="2"/>
      <c r="Z201" s="7">
        <f t="shared" si="38"/>
        <v>-0.51958569216318451</v>
      </c>
    </row>
    <row r="202" spans="1:26" s="27" customFormat="1" outlineLevel="1" collapsed="1" x14ac:dyDescent="0.25">
      <c r="A202" s="25"/>
      <c r="B202" s="13" t="str">
        <f>CONCATENATE("     ","Advertising/Promo                                 ")</f>
        <v xml:space="preserve">     Advertising/Promo                                 </v>
      </c>
      <c r="C202" s="13"/>
      <c r="D202" s="1">
        <f>SUM(OSRRefD22_2x_0)</f>
        <v>11178.51</v>
      </c>
      <c r="E202" s="1"/>
      <c r="F202" s="5">
        <f t="shared" ref="F202:F206" si="39">IF(D$12=0,0,D202/D$12)</f>
        <v>1.7884486845038537E-2</v>
      </c>
      <c r="G202" s="1"/>
      <c r="H202" s="1">
        <f>SUM(OSRRefH22_2x_0)</f>
        <v>5934.9</v>
      </c>
      <c r="I202" s="1"/>
      <c r="J202" s="5">
        <f t="shared" ref="J202:J206" si="40">IF(H$12=0,0,H202/H$12)</f>
        <v>9.1081323103201443E-3</v>
      </c>
      <c r="K202" s="1"/>
      <c r="L202" s="1">
        <f t="shared" ref="L202:L206" si="41">+D202-H202</f>
        <v>5243.6100000000006</v>
      </c>
      <c r="M202" s="1"/>
      <c r="N202" s="5">
        <f t="shared" ref="N202:N206" si="42">IF(H202=0,0,L202/H202)</f>
        <v>0.8835212050750646</v>
      </c>
      <c r="O202" s="13"/>
      <c r="P202" s="1">
        <f>SUM(OSRRefP22_2x_0)</f>
        <v>18986.59</v>
      </c>
      <c r="Q202" s="1"/>
      <c r="R202" s="5">
        <f t="shared" ref="R202:R206" si="43">IF(P$12=0,0,P202/P$12)</f>
        <v>3.1860859689867489E-3</v>
      </c>
      <c r="S202" s="1"/>
      <c r="T202" s="1">
        <f>SUM(OSRRefT22_2x_0)</f>
        <v>18391.550000000003</v>
      </c>
      <c r="U202" s="1"/>
      <c r="V202" s="5">
        <f t="shared" ref="V202:V206" si="44">IF(T$12=0,0,T202/T$12)</f>
        <v>2.9657047984057269E-3</v>
      </c>
      <c r="W202" s="1"/>
      <c r="X202" s="1">
        <f t="shared" ref="X202:X206" si="45">+P202-T202</f>
        <v>595.03999999999724</v>
      </c>
      <c r="Y202" s="1"/>
      <c r="Z202" s="5">
        <f t="shared" ref="Z202:Z206" si="46">IF(T202=0,0,X202/T202)</f>
        <v>3.2353988652397275E-2</v>
      </c>
    </row>
    <row r="203" spans="1:26" s="24" customFormat="1" hidden="1" outlineLevel="2" x14ac:dyDescent="0.25">
      <c r="A203" s="26"/>
      <c r="B203" s="11" t="str">
        <f>CONCATENATE("          ", "6362", " - ", "ADVERTISING EXPENSE")</f>
        <v xml:space="preserve">          6362 - ADVERTISING EXPENSE</v>
      </c>
      <c r="C203" s="11"/>
      <c r="D203" s="6">
        <v>11178.51</v>
      </c>
      <c r="E203" s="2"/>
      <c r="F203" s="7">
        <f t="shared" si="39"/>
        <v>1.7884486845038537E-2</v>
      </c>
      <c r="G203" s="2"/>
      <c r="H203" s="6">
        <v>5934.9</v>
      </c>
      <c r="I203" s="2"/>
      <c r="J203" s="7">
        <f t="shared" si="40"/>
        <v>9.1081323103201443E-3</v>
      </c>
      <c r="K203" s="2"/>
      <c r="L203" s="6">
        <f t="shared" si="41"/>
        <v>5243.6100000000006</v>
      </c>
      <c r="M203" s="2"/>
      <c r="N203" s="7">
        <f t="shared" si="42"/>
        <v>0.8835212050750646</v>
      </c>
      <c r="O203" s="11"/>
      <c r="P203" s="6">
        <v>18986.59</v>
      </c>
      <c r="Q203" s="2"/>
      <c r="R203" s="7">
        <f t="shared" si="43"/>
        <v>3.1860859689867489E-3</v>
      </c>
      <c r="S203" s="2"/>
      <c r="T203" s="6">
        <v>18391.550000000003</v>
      </c>
      <c r="U203" s="2"/>
      <c r="V203" s="7">
        <f t="shared" si="44"/>
        <v>2.9657047984057269E-3</v>
      </c>
      <c r="W203" s="2"/>
      <c r="X203" s="6">
        <f t="shared" si="45"/>
        <v>595.03999999999724</v>
      </c>
      <c r="Y203" s="2"/>
      <c r="Z203" s="7">
        <f t="shared" si="46"/>
        <v>3.2353988652397275E-2</v>
      </c>
    </row>
    <row r="204" spans="1:26" s="27" customFormat="1" outlineLevel="1" collapsed="1" x14ac:dyDescent="0.25">
      <c r="A204" s="25"/>
      <c r="B204" s="13" t="str">
        <f>CONCATENATE("     ","Bad Debts/Over/Short                              ")</f>
        <v xml:space="preserve">     Bad Debts/Over/Short                              </v>
      </c>
      <c r="C204" s="13"/>
      <c r="D204" s="1">
        <f>SUM(OSRRefD22_3x_0)</f>
        <v>87.5</v>
      </c>
      <c r="E204" s="1"/>
      <c r="F204" s="5">
        <f t="shared" si="39"/>
        <v>1.3999116151802628E-4</v>
      </c>
      <c r="G204" s="1"/>
      <c r="H204" s="1">
        <f>SUM(OSRRefH22_3x_0)</f>
        <v>969.68</v>
      </c>
      <c r="I204" s="1"/>
      <c r="J204" s="5">
        <f t="shared" si="40"/>
        <v>1.488141963414925E-3</v>
      </c>
      <c r="K204" s="1"/>
      <c r="L204" s="1">
        <f t="shared" si="41"/>
        <v>-882.18</v>
      </c>
      <c r="M204" s="1"/>
      <c r="N204" s="5">
        <f t="shared" si="42"/>
        <v>-0.90976404587080273</v>
      </c>
      <c r="O204" s="13"/>
      <c r="P204" s="1">
        <f>SUM(OSRRefP22_3x_0)</f>
        <v>-77.650000000000006</v>
      </c>
      <c r="Q204" s="1"/>
      <c r="R204" s="5">
        <f t="shared" si="43"/>
        <v>-1.3030226886019082E-5</v>
      </c>
      <c r="S204" s="1"/>
      <c r="T204" s="1">
        <f>SUM(OSRRefT22_3x_0)</f>
        <v>1062.4000000000001</v>
      </c>
      <c r="U204" s="1"/>
      <c r="V204" s="5">
        <f t="shared" si="44"/>
        <v>1.7131589114708896E-4</v>
      </c>
      <c r="W204" s="1"/>
      <c r="X204" s="1">
        <f t="shared" si="45"/>
        <v>-1140.0500000000002</v>
      </c>
      <c r="Y204" s="1"/>
      <c r="Z204" s="5">
        <f t="shared" si="46"/>
        <v>-1.073089231927711</v>
      </c>
    </row>
    <row r="205" spans="1:26" s="24" customFormat="1" hidden="1" outlineLevel="2" x14ac:dyDescent="0.25">
      <c r="A205" s="26"/>
      <c r="B205" s="11" t="str">
        <f>CONCATENATE("          ", "6272", " - ", "CASH (OVER/SHORT)")</f>
        <v xml:space="preserve">          6272 - CASH (OVER/SHORT)</v>
      </c>
      <c r="C205" s="11"/>
      <c r="D205" s="6">
        <v>42.7</v>
      </c>
      <c r="E205" s="2"/>
      <c r="F205" s="7">
        <f t="shared" si="39"/>
        <v>6.8315686820796822E-5</v>
      </c>
      <c r="G205" s="2"/>
      <c r="H205" s="6">
        <v>969.68</v>
      </c>
      <c r="I205" s="2"/>
      <c r="J205" s="7">
        <f t="shared" si="40"/>
        <v>1.488141963414925E-3</v>
      </c>
      <c r="K205" s="2"/>
      <c r="L205" s="6">
        <f t="shared" si="41"/>
        <v>-926.9799999999999</v>
      </c>
      <c r="M205" s="2"/>
      <c r="N205" s="7">
        <f t="shared" si="42"/>
        <v>-0.95596485438495171</v>
      </c>
      <c r="O205" s="11"/>
      <c r="P205" s="6">
        <v>-122.45</v>
      </c>
      <c r="Q205" s="2"/>
      <c r="R205" s="7">
        <f t="shared" si="43"/>
        <v>-2.0547988180206525E-5</v>
      </c>
      <c r="S205" s="2"/>
      <c r="T205" s="6">
        <v>1062.4000000000001</v>
      </c>
      <c r="U205" s="2"/>
      <c r="V205" s="7">
        <f t="shared" si="44"/>
        <v>1.7131589114708896E-4</v>
      </c>
      <c r="W205" s="2"/>
      <c r="X205" s="6">
        <f t="shared" si="45"/>
        <v>-1184.8500000000001</v>
      </c>
      <c r="Y205" s="2"/>
      <c r="Z205" s="7">
        <f t="shared" si="46"/>
        <v>-1.115257906626506</v>
      </c>
    </row>
    <row r="206" spans="1:26" s="24" customFormat="1" hidden="1" outlineLevel="2" x14ac:dyDescent="0.25">
      <c r="A206" s="26"/>
      <c r="B206" s="11" t="str">
        <f>CONCATENATE("          ", "6342", " - ", "BAD DEBT")</f>
        <v xml:space="preserve">          6342 - BAD DEBT</v>
      </c>
      <c r="C206" s="11"/>
      <c r="D206" s="6">
        <v>44.8</v>
      </c>
      <c r="E206" s="2"/>
      <c r="F206" s="7">
        <f t="shared" si="39"/>
        <v>7.1675474697229449E-5</v>
      </c>
      <c r="G206" s="2"/>
      <c r="H206" s="6"/>
      <c r="I206" s="2"/>
      <c r="J206" s="7">
        <f t="shared" si="40"/>
        <v>0</v>
      </c>
      <c r="K206" s="2"/>
      <c r="L206" s="6">
        <f t="shared" si="41"/>
        <v>44.8</v>
      </c>
      <c r="M206" s="2"/>
      <c r="N206" s="7">
        <f t="shared" si="42"/>
        <v>0</v>
      </c>
      <c r="O206" s="11"/>
      <c r="P206" s="6">
        <v>44.8</v>
      </c>
      <c r="Q206" s="2"/>
      <c r="R206" s="7">
        <f t="shared" si="43"/>
        <v>7.5177612941874414E-6</v>
      </c>
      <c r="S206" s="2"/>
      <c r="T206" s="6"/>
      <c r="U206" s="2"/>
      <c r="V206" s="7">
        <f t="shared" si="44"/>
        <v>0</v>
      </c>
      <c r="W206" s="2"/>
      <c r="X206" s="6">
        <f t="shared" si="45"/>
        <v>44.8</v>
      </c>
      <c r="Y206" s="2"/>
      <c r="Z206" s="7">
        <f t="shared" si="46"/>
        <v>0</v>
      </c>
    </row>
    <row r="207" spans="1:26" s="27" customFormat="1" outlineLevel="1" collapsed="1" x14ac:dyDescent="0.25">
      <c r="A207" s="25"/>
      <c r="B207" s="13" t="str">
        <f>CONCATENATE("     ","Bank/card Fees                                    ")</f>
        <v xml:space="preserve">     Bank/card Fees                                    </v>
      </c>
      <c r="C207" s="13"/>
      <c r="D207" s="1">
        <f>SUM(OSRRefD22_4x_0)</f>
        <v>11091.96</v>
      </c>
      <c r="E207" s="1"/>
      <c r="F207" s="5">
        <f t="shared" ref="F207:F211" si="47">IF(D$12=0,0,D207/D$12)</f>
        <v>1.7746015587559848E-2</v>
      </c>
      <c r="G207" s="1"/>
      <c r="H207" s="1">
        <f>SUM(OSRRefH22_4x_0)</f>
        <v>10043.31</v>
      </c>
      <c r="I207" s="1"/>
      <c r="J207" s="5">
        <f t="shared" ref="J207:J211" si="48">IF(H$12=0,0,H207/H$12)</f>
        <v>1.5413199264277649E-2</v>
      </c>
      <c r="K207" s="1"/>
      <c r="L207" s="1">
        <f t="shared" ref="L207:L211" si="49">+D207-H207</f>
        <v>1048.6499999999996</v>
      </c>
      <c r="M207" s="1"/>
      <c r="N207" s="5">
        <f t="shared" ref="N207:N211" si="50">IF(H207=0,0,L207/H207)</f>
        <v>0.10441278821424407</v>
      </c>
      <c r="O207" s="13"/>
      <c r="P207" s="1">
        <f>SUM(OSRRefP22_4x_0)</f>
        <v>71349.02</v>
      </c>
      <c r="Q207" s="1"/>
      <c r="R207" s="5">
        <f t="shared" ref="R207:R211" si="51">IF(P$12=0,0,P207/P$12)</f>
        <v>1.1972877252995662E-2</v>
      </c>
      <c r="S207" s="1"/>
      <c r="T207" s="1">
        <f>SUM(OSRRefT22_4x_0)</f>
        <v>71002.64</v>
      </c>
      <c r="U207" s="1"/>
      <c r="V207" s="5">
        <f t="shared" ref="V207:V211" si="52">IF(T$12=0,0,T207/T$12)</f>
        <v>1.1449435754326002E-2</v>
      </c>
      <c r="W207" s="1"/>
      <c r="X207" s="1">
        <f t="shared" ref="X207:X211" si="53">+P207-T207</f>
        <v>346.38000000000466</v>
      </c>
      <c r="Y207" s="1"/>
      <c r="Z207" s="5">
        <f t="shared" ref="Z207:Z211" si="54">IF(T207=0,0,X207/T207)</f>
        <v>4.8784101548900814E-3</v>
      </c>
    </row>
    <row r="208" spans="1:26" s="24" customFormat="1" hidden="1" outlineLevel="2" x14ac:dyDescent="0.25">
      <c r="A208" s="26"/>
      <c r="B208" s="11" t="str">
        <f>CONCATENATE("          ", "6381", " - ", "BANK/CREDIT CARD FEES")</f>
        <v xml:space="preserve">          6381 - BANK/CREDIT CARD FEES</v>
      </c>
      <c r="C208" s="11"/>
      <c r="D208" s="6">
        <v>11091.96</v>
      </c>
      <c r="E208" s="2"/>
      <c r="F208" s="7">
        <f t="shared" si="47"/>
        <v>1.7746015587559848E-2</v>
      </c>
      <c r="G208" s="2"/>
      <c r="H208" s="6">
        <v>10043.31</v>
      </c>
      <c r="I208" s="2"/>
      <c r="J208" s="7">
        <f t="shared" si="48"/>
        <v>1.5413199264277649E-2</v>
      </c>
      <c r="K208" s="2"/>
      <c r="L208" s="6">
        <f t="shared" si="49"/>
        <v>1048.6499999999996</v>
      </c>
      <c r="M208" s="2"/>
      <c r="N208" s="7">
        <f t="shared" si="50"/>
        <v>0.10441278821424407</v>
      </c>
      <c r="O208" s="11"/>
      <c r="P208" s="6">
        <v>71349.02</v>
      </c>
      <c r="Q208" s="2"/>
      <c r="R208" s="7">
        <f t="shared" si="51"/>
        <v>1.1972877252995662E-2</v>
      </c>
      <c r="S208" s="2"/>
      <c r="T208" s="6">
        <v>71002.64</v>
      </c>
      <c r="U208" s="2"/>
      <c r="V208" s="7">
        <f t="shared" si="52"/>
        <v>1.1449435754326002E-2</v>
      </c>
      <c r="W208" s="2"/>
      <c r="X208" s="6">
        <f t="shared" si="53"/>
        <v>346.38000000000466</v>
      </c>
      <c r="Y208" s="2"/>
      <c r="Z208" s="7">
        <f t="shared" si="54"/>
        <v>4.8784101548900814E-3</v>
      </c>
    </row>
    <row r="209" spans="1:26" s="27" customFormat="1" outlineLevel="1" collapsed="1" x14ac:dyDescent="0.25">
      <c r="A209" s="25"/>
      <c r="B209" s="13" t="str">
        <f>CONCATENATE("     ","Depreciation                                      ")</f>
        <v xml:space="preserve">     Depreciation                                      </v>
      </c>
      <c r="C209" s="13"/>
      <c r="D209" s="1">
        <f>SUM(OSRRefD22_5x_0)</f>
        <v>29887.870000000003</v>
      </c>
      <c r="E209" s="1"/>
      <c r="F209" s="5">
        <f t="shared" si="47"/>
        <v>4.7817572989711683E-2</v>
      </c>
      <c r="G209" s="1"/>
      <c r="H209" s="1">
        <f>SUM(OSRRefH22_5x_0)</f>
        <v>29610.510000000002</v>
      </c>
      <c r="I209" s="1"/>
      <c r="J209" s="5">
        <f t="shared" si="48"/>
        <v>4.5442457809913864E-2</v>
      </c>
      <c r="K209" s="1"/>
      <c r="L209" s="1">
        <f t="shared" si="49"/>
        <v>277.36000000000058</v>
      </c>
      <c r="M209" s="1"/>
      <c r="N209" s="5">
        <f t="shared" si="50"/>
        <v>9.366944372116541E-3</v>
      </c>
      <c r="O209" s="13"/>
      <c r="P209" s="1">
        <f>SUM(OSRRefP22_5x_0)</f>
        <v>119551.48000000001</v>
      </c>
      <c r="Q209" s="1"/>
      <c r="R209" s="5">
        <f t="shared" si="51"/>
        <v>2.0061595736759467E-2</v>
      </c>
      <c r="S209" s="1"/>
      <c r="T209" s="1">
        <f>SUM(OSRRefT22_5x_0)</f>
        <v>118442.04000000001</v>
      </c>
      <c r="U209" s="1"/>
      <c r="V209" s="5">
        <f t="shared" si="52"/>
        <v>1.9099212755910353E-2</v>
      </c>
      <c r="W209" s="1"/>
      <c r="X209" s="1">
        <f t="shared" si="53"/>
        <v>1109.4400000000023</v>
      </c>
      <c r="Y209" s="1"/>
      <c r="Z209" s="5">
        <f t="shared" si="54"/>
        <v>9.366944372116541E-3</v>
      </c>
    </row>
    <row r="210" spans="1:26" s="24" customFormat="1" hidden="1" outlineLevel="2" x14ac:dyDescent="0.25">
      <c r="A210" s="26"/>
      <c r="B210" s="11" t="str">
        <f>CONCATENATE("          ", "6321", " - ", "BUILDING DEPRECIATION")</f>
        <v xml:space="preserve">          6321 - BUILDING DEPRECIATION</v>
      </c>
      <c r="C210" s="11"/>
      <c r="D210" s="6">
        <v>16396.52</v>
      </c>
      <c r="E210" s="2"/>
      <c r="F210" s="7">
        <f t="shared" si="47"/>
        <v>2.6232775767469123E-2</v>
      </c>
      <c r="G210" s="2"/>
      <c r="H210" s="6">
        <v>16453.38</v>
      </c>
      <c r="I210" s="2"/>
      <c r="J210" s="7">
        <f t="shared" si="48"/>
        <v>2.5250562265914385E-2</v>
      </c>
      <c r="K210" s="2"/>
      <c r="L210" s="6">
        <f t="shared" si="49"/>
        <v>-56.860000000000582</v>
      </c>
      <c r="M210" s="2"/>
      <c r="N210" s="7">
        <f t="shared" si="50"/>
        <v>-3.4558248821822978E-3</v>
      </c>
      <c r="O210" s="11"/>
      <c r="P210" s="6">
        <v>65586.080000000002</v>
      </c>
      <c r="Q210" s="2"/>
      <c r="R210" s="7">
        <f t="shared" si="51"/>
        <v>1.100581459065806E-2</v>
      </c>
      <c r="S210" s="2"/>
      <c r="T210" s="6">
        <v>65813.52</v>
      </c>
      <c r="U210" s="2"/>
      <c r="V210" s="7">
        <f t="shared" si="52"/>
        <v>1.0612671148650945E-2</v>
      </c>
      <c r="W210" s="2"/>
      <c r="X210" s="6">
        <f t="shared" si="53"/>
        <v>-227.44000000000233</v>
      </c>
      <c r="Y210" s="2"/>
      <c r="Z210" s="7">
        <f t="shared" si="54"/>
        <v>-3.4558248821822978E-3</v>
      </c>
    </row>
    <row r="211" spans="1:26" s="24" customFormat="1" hidden="1" outlineLevel="2" x14ac:dyDescent="0.25">
      <c r="A211" s="26"/>
      <c r="B211" s="11" t="str">
        <f>CONCATENATE("          ", "6322", " - ", "EQUIPMENT DEPRECIATION EXPENSE")</f>
        <v xml:space="preserve">          6322 - EQUIPMENT DEPRECIATION EXPENSE</v>
      </c>
      <c r="C211" s="11"/>
      <c r="D211" s="6">
        <v>13491.35</v>
      </c>
      <c r="E211" s="2"/>
      <c r="F211" s="7">
        <f t="shared" si="47"/>
        <v>2.1584797222242557E-2</v>
      </c>
      <c r="G211" s="2"/>
      <c r="H211" s="6">
        <v>13157.13</v>
      </c>
      <c r="I211" s="2"/>
      <c r="J211" s="7">
        <f t="shared" si="48"/>
        <v>2.0191895543999475E-2</v>
      </c>
      <c r="K211" s="2"/>
      <c r="L211" s="6">
        <f t="shared" si="49"/>
        <v>334.22000000000116</v>
      </c>
      <c r="M211" s="2"/>
      <c r="N211" s="7">
        <f t="shared" si="50"/>
        <v>2.5402196375653444E-2</v>
      </c>
      <c r="O211" s="11"/>
      <c r="P211" s="6">
        <v>53965.4</v>
      </c>
      <c r="Q211" s="2"/>
      <c r="R211" s="7">
        <f t="shared" si="51"/>
        <v>9.0557811461014059E-3</v>
      </c>
      <c r="S211" s="2"/>
      <c r="T211" s="6">
        <v>52628.52</v>
      </c>
      <c r="U211" s="2"/>
      <c r="V211" s="7">
        <f t="shared" si="52"/>
        <v>8.4865416072594062E-3</v>
      </c>
      <c r="W211" s="2"/>
      <c r="X211" s="6">
        <f t="shared" si="53"/>
        <v>1336.8800000000047</v>
      </c>
      <c r="Y211" s="2"/>
      <c r="Z211" s="7">
        <f t="shared" si="54"/>
        <v>2.5402196375653444E-2</v>
      </c>
    </row>
    <row r="212" spans="1:26" s="27" customFormat="1" outlineLevel="1" collapsed="1" x14ac:dyDescent="0.25">
      <c r="A212" s="25"/>
      <c r="B212" s="13" t="str">
        <f>CONCATENATE("     ","Discounts and Markdowns                           ")</f>
        <v xml:space="preserve">     Discounts and Markdowns                           </v>
      </c>
      <c r="C212" s="13"/>
      <c r="D212" s="1">
        <f>SUM(OSRRefD22_6x_0)</f>
        <v>35150.67</v>
      </c>
      <c r="E212" s="1"/>
      <c r="F212" s="5">
        <f t="shared" ref="F212:F214" si="55">IF(D$12=0,0,D212/D$12)</f>
        <v>5.6237521387849605E-2</v>
      </c>
      <c r="G212" s="1"/>
      <c r="H212" s="1">
        <f>SUM(OSRRefH22_6x_0)</f>
        <v>24012.899999999998</v>
      </c>
      <c r="I212" s="1"/>
      <c r="J212" s="5">
        <f t="shared" ref="J212:J214" si="56">IF(H$12=0,0,H212/H$12)</f>
        <v>3.6851955442296684E-2</v>
      </c>
      <c r="K212" s="1"/>
      <c r="L212" s="1">
        <f t="shared" ref="L212:L214" si="57">+D212-H212</f>
        <v>11137.77</v>
      </c>
      <c r="M212" s="1"/>
      <c r="N212" s="5">
        <f t="shared" ref="N212:N214" si="58">IF(H212=0,0,L212/H212)</f>
        <v>0.46382444436115594</v>
      </c>
      <c r="O212" s="13"/>
      <c r="P212" s="1">
        <f>SUM(OSRRefP22_6x_0)</f>
        <v>166178.92000000001</v>
      </c>
      <c r="Q212" s="1"/>
      <c r="R212" s="5">
        <f t="shared" ref="R212:R214" si="59">IF(P$12=0,0,P212/P$12)</f>
        <v>2.7886014568881061E-2</v>
      </c>
      <c r="S212" s="1"/>
      <c r="T212" s="1">
        <f>SUM(OSRRefT22_6x_0)</f>
        <v>164463.51</v>
      </c>
      <c r="U212" s="1"/>
      <c r="V212" s="5">
        <f t="shared" ref="V212:V214" si="60">IF(T$12=0,0,T212/T$12)</f>
        <v>2.652034335168315E-2</v>
      </c>
      <c r="W212" s="1"/>
      <c r="X212" s="1">
        <f t="shared" ref="X212:X214" si="61">+P212-T212</f>
        <v>1715.4100000000035</v>
      </c>
      <c r="Y212" s="1"/>
      <c r="Z212" s="5">
        <f t="shared" ref="Z212:Z214" si="62">IF(T212=0,0,X212/T212)</f>
        <v>1.0430338012365195E-2</v>
      </c>
    </row>
    <row r="213" spans="1:26" s="24" customFormat="1" hidden="1" outlineLevel="2" x14ac:dyDescent="0.25">
      <c r="A213" s="26"/>
      <c r="B213" s="11" t="str">
        <f>CONCATENATE("          ", "6382", " - ", "DISCOUNTS/MARK DOWNS")</f>
        <v xml:space="preserve">          6382 - DISCOUNTS/MARK DOWNS</v>
      </c>
      <c r="C213" s="11"/>
      <c r="D213" s="6">
        <v>35620.559999999998</v>
      </c>
      <c r="E213" s="2"/>
      <c r="F213" s="7">
        <f t="shared" si="55"/>
        <v>5.698929792368624E-2</v>
      </c>
      <c r="G213" s="2"/>
      <c r="H213" s="6">
        <v>24061.05</v>
      </c>
      <c r="I213" s="2"/>
      <c r="J213" s="7">
        <f t="shared" si="56"/>
        <v>3.6925849959599744E-2</v>
      </c>
      <c r="K213" s="2"/>
      <c r="L213" s="6">
        <f t="shared" si="57"/>
        <v>11559.509999999998</v>
      </c>
      <c r="M213" s="2"/>
      <c r="N213" s="7">
        <f t="shared" si="58"/>
        <v>0.48042417101498058</v>
      </c>
      <c r="O213" s="11"/>
      <c r="P213" s="6">
        <v>168296.67</v>
      </c>
      <c r="Q213" s="2"/>
      <c r="R213" s="7">
        <f t="shared" si="59"/>
        <v>2.8241388206844575E-2</v>
      </c>
      <c r="S213" s="2"/>
      <c r="T213" s="6">
        <v>166990.53</v>
      </c>
      <c r="U213" s="2"/>
      <c r="V213" s="7">
        <f t="shared" si="60"/>
        <v>2.6927834582148619E-2</v>
      </c>
      <c r="W213" s="2"/>
      <c r="X213" s="6">
        <f t="shared" si="61"/>
        <v>1306.140000000014</v>
      </c>
      <c r="Y213" s="2"/>
      <c r="Z213" s="7">
        <f t="shared" si="62"/>
        <v>7.8216411433631242E-3</v>
      </c>
    </row>
    <row r="214" spans="1:26" s="24" customFormat="1" hidden="1" outlineLevel="2" x14ac:dyDescent="0.25">
      <c r="A214" s="26"/>
      <c r="B214" s="11" t="str">
        <f>CONCATENATE("          ", "9175", " - ", "EARNED DISCOUNTS")</f>
        <v xml:space="preserve">          9175 - EARNED DISCOUNTS</v>
      </c>
      <c r="C214" s="11"/>
      <c r="D214" s="6">
        <v>-469.89</v>
      </c>
      <c r="E214" s="2"/>
      <c r="F214" s="7">
        <f t="shared" si="55"/>
        <v>-7.5177653583663278E-4</v>
      </c>
      <c r="G214" s="2"/>
      <c r="H214" s="6">
        <v>-48.15</v>
      </c>
      <c r="I214" s="2"/>
      <c r="J214" s="7">
        <f t="shared" si="56"/>
        <v>-7.3894517303057332E-5</v>
      </c>
      <c r="K214" s="2"/>
      <c r="L214" s="6">
        <f t="shared" si="57"/>
        <v>-421.74</v>
      </c>
      <c r="M214" s="2"/>
      <c r="N214" s="7">
        <f t="shared" si="58"/>
        <v>8.7588785046728983</v>
      </c>
      <c r="O214" s="11"/>
      <c r="P214" s="6">
        <v>-2117.75</v>
      </c>
      <c r="Q214" s="2"/>
      <c r="R214" s="7">
        <f t="shared" si="59"/>
        <v>-3.5537363796351462E-4</v>
      </c>
      <c r="S214" s="2"/>
      <c r="T214" s="6">
        <v>-2527.02</v>
      </c>
      <c r="U214" s="2"/>
      <c r="V214" s="7">
        <f t="shared" si="60"/>
        <v>-4.0749123046547131E-4</v>
      </c>
      <c r="W214" s="2"/>
      <c r="X214" s="6">
        <f t="shared" si="61"/>
        <v>409.27</v>
      </c>
      <c r="Y214" s="2"/>
      <c r="Z214" s="7">
        <f t="shared" si="62"/>
        <v>-0.16195756266274108</v>
      </c>
    </row>
    <row r="215" spans="1:26" s="27" customFormat="1" outlineLevel="1" collapsed="1" x14ac:dyDescent="0.25">
      <c r="A215" s="25"/>
      <c r="B215" s="13" t="str">
        <f>CONCATENATE("     ","Donations                                         ")</f>
        <v xml:space="preserve">     Donations                                         </v>
      </c>
      <c r="C215" s="13"/>
      <c r="D215" s="1">
        <f>SUM(OSRRefD22_7x_0)</f>
        <v>1006.14</v>
      </c>
      <c r="E215" s="1"/>
      <c r="F215" s="5">
        <f t="shared" ref="F215:F223" si="63">IF(D$12=0,0,D215/D$12)</f>
        <v>1.6097223685685366E-3</v>
      </c>
      <c r="G215" s="1"/>
      <c r="H215" s="1">
        <f>SUM(OSRRefH22_7x_0)</f>
        <v>1330.95</v>
      </c>
      <c r="I215" s="1"/>
      <c r="J215" s="5">
        <f t="shared" ref="J215:J223" si="64">IF(H$12=0,0,H215/H$12)</f>
        <v>2.0425733708100556E-3</v>
      </c>
      <c r="K215" s="1"/>
      <c r="L215" s="1">
        <f t="shared" ref="L215:L223" si="65">+D215-H215</f>
        <v>-324.81000000000006</v>
      </c>
      <c r="M215" s="1"/>
      <c r="N215" s="5">
        <f t="shared" ref="N215:N223" si="66">IF(H215=0,0,L215/H215)</f>
        <v>-0.24404372816409337</v>
      </c>
      <c r="O215" s="13"/>
      <c r="P215" s="1">
        <f>SUM(OSRRefP22_7x_0)</f>
        <v>6231.48</v>
      </c>
      <c r="Q215" s="1"/>
      <c r="R215" s="5">
        <f t="shared" ref="R215:R223" si="67">IF(P$12=0,0,P215/P$12)</f>
        <v>1.045687034587124E-3</v>
      </c>
      <c r="S215" s="1"/>
      <c r="T215" s="1">
        <f>SUM(OSRRefT22_7x_0)</f>
        <v>4666.68</v>
      </c>
      <c r="U215" s="1"/>
      <c r="V215" s="5">
        <f t="shared" ref="V215:V223" si="68">IF(T$12=0,0,T215/T$12)</f>
        <v>7.525192421858972E-4</v>
      </c>
      <c r="W215" s="1"/>
      <c r="X215" s="1">
        <f t="shared" ref="X215:X223" si="69">+P215-T215</f>
        <v>1564.7999999999993</v>
      </c>
      <c r="Y215" s="1"/>
      <c r="Z215" s="5">
        <f t="shared" ref="Z215:Z223" si="70">IF(T215=0,0,X215/T215)</f>
        <v>0.33531332767620647</v>
      </c>
    </row>
    <row r="216" spans="1:26" s="24" customFormat="1" hidden="1" outlineLevel="2" x14ac:dyDescent="0.25">
      <c r="A216" s="26"/>
      <c r="B216" s="11" t="str">
        <f>CONCATENATE("          ", "6399", " - ", "DONATION-ON CAMPUS")</f>
        <v xml:space="preserve">          6399 - DONATION-ON CAMPUS</v>
      </c>
      <c r="C216" s="11"/>
      <c r="D216" s="6">
        <v>1006.14</v>
      </c>
      <c r="E216" s="2"/>
      <c r="F216" s="7">
        <f t="shared" si="63"/>
        <v>1.6097223685685366E-3</v>
      </c>
      <c r="G216" s="2"/>
      <c r="H216" s="6">
        <v>1330.95</v>
      </c>
      <c r="I216" s="2"/>
      <c r="J216" s="7">
        <f t="shared" si="64"/>
        <v>2.0425733708100556E-3</v>
      </c>
      <c r="K216" s="2"/>
      <c r="L216" s="6">
        <f t="shared" si="65"/>
        <v>-324.81000000000006</v>
      </c>
      <c r="M216" s="2"/>
      <c r="N216" s="7">
        <f t="shared" si="66"/>
        <v>-0.24404372816409337</v>
      </c>
      <c r="O216" s="11"/>
      <c r="P216" s="6">
        <v>6231.48</v>
      </c>
      <c r="Q216" s="2"/>
      <c r="R216" s="7">
        <f t="shared" si="67"/>
        <v>1.045687034587124E-3</v>
      </c>
      <c r="S216" s="2"/>
      <c r="T216" s="6">
        <v>4666.68</v>
      </c>
      <c r="U216" s="2"/>
      <c r="V216" s="7">
        <f t="shared" si="68"/>
        <v>7.525192421858972E-4</v>
      </c>
      <c r="W216" s="2"/>
      <c r="X216" s="6">
        <f t="shared" si="69"/>
        <v>1564.7999999999993</v>
      </c>
      <c r="Y216" s="2"/>
      <c r="Z216" s="7">
        <f t="shared" si="70"/>
        <v>0.33531332767620647</v>
      </c>
    </row>
    <row r="217" spans="1:26" s="27" customFormat="1" outlineLevel="1" collapsed="1" x14ac:dyDescent="0.25">
      <c r="A217" s="25"/>
      <c r="B217" s="13" t="str">
        <f>CONCATENATE("     ","Employees' Appreciation                           ")</f>
        <v xml:space="preserve">     Employees' Appreciation                           </v>
      </c>
      <c r="C217" s="13"/>
      <c r="D217" s="1">
        <f>SUM(OSRRefD22_8x_0)</f>
        <v>60</v>
      </c>
      <c r="E217" s="1"/>
      <c r="F217" s="5">
        <f t="shared" si="63"/>
        <v>9.599393932664659E-5</v>
      </c>
      <c r="G217" s="1"/>
      <c r="H217" s="1">
        <f>SUM(OSRRefH22_8x_0)</f>
        <v>996.54</v>
      </c>
      <c r="I217" s="1"/>
      <c r="J217" s="5">
        <f t="shared" si="64"/>
        <v>1.5293632870859554E-3</v>
      </c>
      <c r="K217" s="1"/>
      <c r="L217" s="1">
        <f t="shared" si="65"/>
        <v>-936.54</v>
      </c>
      <c r="M217" s="1"/>
      <c r="N217" s="5">
        <f t="shared" si="66"/>
        <v>-0.93979167921006679</v>
      </c>
      <c r="O217" s="13"/>
      <c r="P217" s="1">
        <f>SUM(OSRRefP22_8x_0)</f>
        <v>645.13</v>
      </c>
      <c r="Q217" s="1"/>
      <c r="R217" s="5">
        <f t="shared" si="67"/>
        <v>1.0825744070801662E-4</v>
      </c>
      <c r="S217" s="1"/>
      <c r="T217" s="1">
        <f>SUM(OSRRefT22_8x_0)</f>
        <v>2476.79</v>
      </c>
      <c r="U217" s="1"/>
      <c r="V217" s="5">
        <f t="shared" si="68"/>
        <v>3.9939145899303317E-4</v>
      </c>
      <c r="W217" s="1"/>
      <c r="X217" s="1">
        <f t="shared" si="69"/>
        <v>-1831.6599999999999</v>
      </c>
      <c r="Y217" s="1"/>
      <c r="Z217" s="5">
        <f t="shared" si="70"/>
        <v>-0.7395297946131888</v>
      </c>
    </row>
    <row r="218" spans="1:26" s="24" customFormat="1" hidden="1" outlineLevel="2" x14ac:dyDescent="0.25">
      <c r="A218" s="26"/>
      <c r="B218" s="11" t="str">
        <f>CONCATENATE("          ", "6277", " - ", "EMPLOYEE APPRECIATION")</f>
        <v xml:space="preserve">          6277 - EMPLOYEE APPRECIATION</v>
      </c>
      <c r="C218" s="11"/>
      <c r="D218" s="6">
        <v>60</v>
      </c>
      <c r="E218" s="2"/>
      <c r="F218" s="7">
        <f t="shared" si="63"/>
        <v>9.599393932664659E-5</v>
      </c>
      <c r="G218" s="2"/>
      <c r="H218" s="6">
        <v>996.54</v>
      </c>
      <c r="I218" s="2"/>
      <c r="J218" s="7">
        <f t="shared" si="64"/>
        <v>1.5293632870859554E-3</v>
      </c>
      <c r="K218" s="2"/>
      <c r="L218" s="6">
        <f t="shared" si="65"/>
        <v>-936.54</v>
      </c>
      <c r="M218" s="2"/>
      <c r="N218" s="7">
        <f t="shared" si="66"/>
        <v>-0.93979167921006679</v>
      </c>
      <c r="O218" s="11"/>
      <c r="P218" s="6">
        <v>645.13</v>
      </c>
      <c r="Q218" s="2"/>
      <c r="R218" s="7">
        <f t="shared" si="67"/>
        <v>1.0825744070801662E-4</v>
      </c>
      <c r="S218" s="2"/>
      <c r="T218" s="6">
        <v>2476.79</v>
      </c>
      <c r="U218" s="2"/>
      <c r="V218" s="7">
        <f t="shared" si="68"/>
        <v>3.9939145899303317E-4</v>
      </c>
      <c r="W218" s="2"/>
      <c r="X218" s="6">
        <f t="shared" si="69"/>
        <v>-1831.6599999999999</v>
      </c>
      <c r="Y218" s="2"/>
      <c r="Z218" s="7">
        <f t="shared" si="70"/>
        <v>-0.7395297946131888</v>
      </c>
    </row>
    <row r="219" spans="1:26" s="27" customFormat="1" outlineLevel="1" collapsed="1" x14ac:dyDescent="0.25">
      <c r="A219" s="25"/>
      <c r="B219" s="13" t="str">
        <f>CONCATENATE("     ","Equipment Rental                                  ")</f>
        <v xml:space="preserve">     Equipment Rental                                  </v>
      </c>
      <c r="C219" s="13"/>
      <c r="D219" s="1">
        <f>SUM(OSRRefD22_9x_0)</f>
        <v>2776.32</v>
      </c>
      <c r="E219" s="1"/>
      <c r="F219" s="5">
        <f t="shared" si="63"/>
        <v>4.4418315605225913E-3</v>
      </c>
      <c r="G219" s="1"/>
      <c r="H219" s="1">
        <f>SUM(OSRRefH22_9x_0)</f>
        <v>3400.41</v>
      </c>
      <c r="I219" s="1"/>
      <c r="J219" s="5">
        <f t="shared" si="64"/>
        <v>5.2185182883175323E-3</v>
      </c>
      <c r="K219" s="1"/>
      <c r="L219" s="1">
        <f t="shared" si="65"/>
        <v>-624.08999999999969</v>
      </c>
      <c r="M219" s="1"/>
      <c r="N219" s="5">
        <f t="shared" si="66"/>
        <v>-0.18353375034187044</v>
      </c>
      <c r="O219" s="13"/>
      <c r="P219" s="1">
        <f>SUM(OSRRefP22_9x_0)</f>
        <v>6667.02</v>
      </c>
      <c r="Q219" s="1"/>
      <c r="R219" s="5">
        <f t="shared" si="67"/>
        <v>1.1187737701690527E-3</v>
      </c>
      <c r="S219" s="1"/>
      <c r="T219" s="1">
        <f>SUM(OSRRefT22_9x_0)</f>
        <v>13602.92</v>
      </c>
      <c r="U219" s="1"/>
      <c r="V219" s="5">
        <f t="shared" si="68"/>
        <v>2.1935206720656623E-3</v>
      </c>
      <c r="W219" s="1"/>
      <c r="X219" s="1">
        <f t="shared" si="69"/>
        <v>-6935.9</v>
      </c>
      <c r="Y219" s="1"/>
      <c r="Z219" s="5">
        <f t="shared" si="70"/>
        <v>-0.50988317214245171</v>
      </c>
    </row>
    <row r="220" spans="1:26" s="24" customFormat="1" hidden="1" outlineLevel="2" x14ac:dyDescent="0.25">
      <c r="A220" s="26"/>
      <c r="B220" s="11" t="str">
        <f>CONCATENATE("          ", "6351", " - ", "EQUIPMENT RENTAL")</f>
        <v xml:space="preserve">          6351 - EQUIPMENT RENTAL</v>
      </c>
      <c r="C220" s="11"/>
      <c r="D220" s="6">
        <v>2776.32</v>
      </c>
      <c r="E220" s="2"/>
      <c r="F220" s="7">
        <f t="shared" si="63"/>
        <v>4.4418315605225913E-3</v>
      </c>
      <c r="G220" s="2"/>
      <c r="H220" s="6">
        <v>3400.41</v>
      </c>
      <c r="I220" s="2"/>
      <c r="J220" s="7">
        <f t="shared" si="64"/>
        <v>5.2185182883175323E-3</v>
      </c>
      <c r="K220" s="2"/>
      <c r="L220" s="6">
        <f t="shared" si="65"/>
        <v>-624.08999999999969</v>
      </c>
      <c r="M220" s="2"/>
      <c r="N220" s="7">
        <f t="shared" si="66"/>
        <v>-0.18353375034187044</v>
      </c>
      <c r="O220" s="11"/>
      <c r="P220" s="6">
        <v>6667.02</v>
      </c>
      <c r="Q220" s="2"/>
      <c r="R220" s="7">
        <f t="shared" si="67"/>
        <v>1.1187737701690527E-3</v>
      </c>
      <c r="S220" s="2"/>
      <c r="T220" s="6">
        <v>13602.92</v>
      </c>
      <c r="U220" s="2"/>
      <c r="V220" s="7">
        <f t="shared" si="68"/>
        <v>2.1935206720656623E-3</v>
      </c>
      <c r="W220" s="2"/>
      <c r="X220" s="6">
        <f t="shared" si="69"/>
        <v>-6935.9</v>
      </c>
      <c r="Y220" s="2"/>
      <c r="Z220" s="7">
        <f t="shared" si="70"/>
        <v>-0.50988317214245171</v>
      </c>
    </row>
    <row r="221" spans="1:26" s="27" customFormat="1" outlineLevel="1" collapsed="1" x14ac:dyDescent="0.25">
      <c r="A221" s="25"/>
      <c r="B221" s="13" t="str">
        <f>CONCATENATE("     ","Freight out/Postage                               ")</f>
        <v xml:space="preserve">     Freight out/Postage                               </v>
      </c>
      <c r="C221" s="13"/>
      <c r="D221" s="1">
        <f>SUM(OSRRefD22_10x_0)</f>
        <v>1637.6699999999996</v>
      </c>
      <c r="E221" s="1"/>
      <c r="F221" s="5">
        <f t="shared" si="63"/>
        <v>2.6201065769511549E-3</v>
      </c>
      <c r="G221" s="1"/>
      <c r="H221" s="1">
        <f>SUM(OSRRefH22_10x_0)</f>
        <v>6787.3600000000006</v>
      </c>
      <c r="I221" s="1"/>
      <c r="J221" s="5">
        <f t="shared" si="64"/>
        <v>1.0416379874601854E-2</v>
      </c>
      <c r="K221" s="1"/>
      <c r="L221" s="1">
        <f t="shared" si="65"/>
        <v>-5149.6900000000005</v>
      </c>
      <c r="M221" s="1"/>
      <c r="N221" s="5">
        <f t="shared" si="66"/>
        <v>-0.75871767520803379</v>
      </c>
      <c r="O221" s="13"/>
      <c r="P221" s="1">
        <f>SUM(OSRRefP22_10x_0)</f>
        <v>-4067.6500000000015</v>
      </c>
      <c r="Q221" s="1"/>
      <c r="R221" s="5">
        <f t="shared" si="67"/>
        <v>-6.8258084214958836E-4</v>
      </c>
      <c r="S221" s="1"/>
      <c r="T221" s="1">
        <f>SUM(OSRRefT22_10x_0)</f>
        <v>7661.91</v>
      </c>
      <c r="U221" s="1"/>
      <c r="V221" s="5">
        <f t="shared" si="68"/>
        <v>1.2355110500176887E-3</v>
      </c>
      <c r="W221" s="1"/>
      <c r="X221" s="1">
        <f t="shared" si="69"/>
        <v>-11729.560000000001</v>
      </c>
      <c r="Y221" s="1"/>
      <c r="Z221" s="5">
        <f t="shared" si="70"/>
        <v>-1.5308924276061715</v>
      </c>
    </row>
    <row r="222" spans="1:26" s="24" customFormat="1" hidden="1" outlineLevel="2" x14ac:dyDescent="0.25">
      <c r="A222" s="26"/>
      <c r="B222" s="11" t="str">
        <f>CONCATENATE("          ", "6305", " - ", "FREIGHT OUT")</f>
        <v xml:space="preserve">          6305 - FREIGHT OUT</v>
      </c>
      <c r="C222" s="11"/>
      <c r="D222" s="6">
        <v>4583.8599999999997</v>
      </c>
      <c r="E222" s="2"/>
      <c r="F222" s="7">
        <f t="shared" si="63"/>
        <v>7.3337129786973697E-3</v>
      </c>
      <c r="G222" s="2"/>
      <c r="H222" s="6">
        <v>8494.7900000000009</v>
      </c>
      <c r="I222" s="2"/>
      <c r="J222" s="7">
        <f t="shared" si="64"/>
        <v>1.3036727033039222E-2</v>
      </c>
      <c r="K222" s="2"/>
      <c r="L222" s="6">
        <f t="shared" si="65"/>
        <v>-3910.9300000000012</v>
      </c>
      <c r="M222" s="2"/>
      <c r="N222" s="7">
        <f t="shared" si="66"/>
        <v>-0.46039160473655039</v>
      </c>
      <c r="O222" s="11"/>
      <c r="P222" s="6">
        <v>19520.580000000002</v>
      </c>
      <c r="Q222" s="2"/>
      <c r="R222" s="7">
        <f t="shared" si="67"/>
        <v>3.2756933206269977E-3</v>
      </c>
      <c r="S222" s="2"/>
      <c r="T222" s="6">
        <v>27797.32</v>
      </c>
      <c r="U222" s="2"/>
      <c r="V222" s="7">
        <f t="shared" si="68"/>
        <v>4.4824196604864447E-3</v>
      </c>
      <c r="W222" s="2"/>
      <c r="X222" s="6">
        <f t="shared" si="69"/>
        <v>-8276.739999999998</v>
      </c>
      <c r="Y222" s="2"/>
      <c r="Z222" s="7">
        <f t="shared" si="70"/>
        <v>-0.29775316469357471</v>
      </c>
    </row>
    <row r="223" spans="1:26" s="24" customFormat="1" hidden="1" outlineLevel="2" x14ac:dyDescent="0.25">
      <c r="A223" s="26"/>
      <c r="B223" s="11" t="str">
        <f>CONCATENATE("          ", "6307", " - ", "POSTAGE")</f>
        <v xml:space="preserve">          6307 - POSTAGE</v>
      </c>
      <c r="C223" s="11"/>
      <c r="D223" s="6">
        <v>-2946.19</v>
      </c>
      <c r="E223" s="2"/>
      <c r="F223" s="7">
        <f t="shared" si="63"/>
        <v>-4.7136064017462157E-3</v>
      </c>
      <c r="G223" s="2"/>
      <c r="H223" s="6">
        <v>-1707.43</v>
      </c>
      <c r="I223" s="2"/>
      <c r="J223" s="7">
        <f t="shared" si="64"/>
        <v>-2.6203471584373664E-3</v>
      </c>
      <c r="K223" s="2"/>
      <c r="L223" s="6">
        <f t="shared" si="65"/>
        <v>-1238.76</v>
      </c>
      <c r="M223" s="2"/>
      <c r="N223" s="7">
        <f t="shared" si="66"/>
        <v>0.72551144117181965</v>
      </c>
      <c r="O223" s="11"/>
      <c r="P223" s="6">
        <v>-23588.230000000003</v>
      </c>
      <c r="Q223" s="2"/>
      <c r="R223" s="7">
        <f t="shared" si="67"/>
        <v>-3.958274162776586E-3</v>
      </c>
      <c r="S223" s="2"/>
      <c r="T223" s="6">
        <v>-20135.41</v>
      </c>
      <c r="U223" s="2"/>
      <c r="V223" s="7">
        <f t="shared" si="68"/>
        <v>-3.246908610468756E-3</v>
      </c>
      <c r="W223" s="2"/>
      <c r="X223" s="6">
        <f t="shared" si="69"/>
        <v>-3452.8200000000033</v>
      </c>
      <c r="Y223" s="2"/>
      <c r="Z223" s="7">
        <f t="shared" si="70"/>
        <v>0.17147999469591149</v>
      </c>
    </row>
    <row r="224" spans="1:26" s="27" customFormat="1" outlineLevel="1" collapsed="1" x14ac:dyDescent="0.25">
      <c r="A224" s="25"/>
      <c r="B224" s="13" t="str">
        <f>CONCATENATE("     ","General                                           ")</f>
        <v xml:space="preserve">     General                                           </v>
      </c>
      <c r="C224" s="13"/>
      <c r="D224" s="1">
        <f>SUM(OSRRefD22_11x_0)</f>
        <v>188.95</v>
      </c>
      <c r="E224" s="1"/>
      <c r="F224" s="5">
        <f t="shared" ref="F224:F237" si="71">IF(D$12=0,0,D224/D$12)</f>
        <v>3.0230091392949787E-4</v>
      </c>
      <c r="G224" s="1"/>
      <c r="H224" s="1">
        <f>SUM(OSRRefH22_11x_0)</f>
        <v>210.99</v>
      </c>
      <c r="I224" s="1"/>
      <c r="J224" s="5">
        <f t="shared" ref="J224:J237" si="72">IF(H$12=0,0,H224/H$12)</f>
        <v>3.2380071040025063E-4</v>
      </c>
      <c r="K224" s="1"/>
      <c r="L224" s="1">
        <f t="shared" ref="L224:L237" si="73">+D224-H224</f>
        <v>-22.04000000000002</v>
      </c>
      <c r="M224" s="1"/>
      <c r="N224" s="5">
        <f t="shared" ref="N224:N237" si="74">IF(H224=0,0,L224/H224)</f>
        <v>-0.1044599270107589</v>
      </c>
      <c r="O224" s="13"/>
      <c r="P224" s="1">
        <f>SUM(OSRRefP22_11x_0)</f>
        <v>-15512.79</v>
      </c>
      <c r="Q224" s="1"/>
      <c r="R224" s="5">
        <f t="shared" ref="R224:R237" si="75">IF(P$12=0,0,P224/P$12)</f>
        <v>-2.6031574157780808E-3</v>
      </c>
      <c r="S224" s="1"/>
      <c r="T224" s="1">
        <f>SUM(OSRRefT22_11x_0)</f>
        <v>-33</v>
      </c>
      <c r="U224" s="1"/>
      <c r="V224" s="5">
        <f t="shared" ref="V224:V237" si="76">IF(T$12=0,0,T224/T$12)</f>
        <v>-5.3213708658263705E-6</v>
      </c>
      <c r="W224" s="1"/>
      <c r="X224" s="1">
        <f t="shared" ref="X224:X237" si="77">+P224-T224</f>
        <v>-15479.79</v>
      </c>
      <c r="Y224" s="1"/>
      <c r="Z224" s="5">
        <f t="shared" ref="Z224:Z237" si="78">IF(T224=0,0,X224/T224)</f>
        <v>469.08454545454549</v>
      </c>
    </row>
    <row r="225" spans="1:26" s="24" customFormat="1" hidden="1" outlineLevel="2" x14ac:dyDescent="0.25">
      <c r="A225" s="26"/>
      <c r="B225" s="11" t="str">
        <f>CONCATENATE("          ", "6279", " - ", "GENERAL EXPENSE")</f>
        <v xml:space="preserve">          6279 - GENERAL EXPENSE</v>
      </c>
      <c r="C225" s="11"/>
      <c r="D225" s="6">
        <v>188.95</v>
      </c>
      <c r="E225" s="2"/>
      <c r="F225" s="7">
        <f t="shared" si="71"/>
        <v>3.0230091392949787E-4</v>
      </c>
      <c r="G225" s="2"/>
      <c r="H225" s="6">
        <v>210.99</v>
      </c>
      <c r="I225" s="2"/>
      <c r="J225" s="7">
        <f t="shared" si="72"/>
        <v>3.2380071040025063E-4</v>
      </c>
      <c r="K225" s="2"/>
      <c r="L225" s="6">
        <f t="shared" si="73"/>
        <v>-22.04000000000002</v>
      </c>
      <c r="M225" s="2"/>
      <c r="N225" s="7">
        <f t="shared" si="74"/>
        <v>-0.1044599270107589</v>
      </c>
      <c r="O225" s="11"/>
      <c r="P225" s="6">
        <v>-15512.79</v>
      </c>
      <c r="Q225" s="2"/>
      <c r="R225" s="7">
        <f t="shared" si="75"/>
        <v>-2.6031574157780808E-3</v>
      </c>
      <c r="S225" s="2"/>
      <c r="T225" s="6">
        <v>-33</v>
      </c>
      <c r="U225" s="2"/>
      <c r="V225" s="7">
        <f t="shared" si="76"/>
        <v>-5.3213708658263705E-6</v>
      </c>
      <c r="W225" s="2"/>
      <c r="X225" s="6">
        <f t="shared" si="77"/>
        <v>-15479.79</v>
      </c>
      <c r="Y225" s="2"/>
      <c r="Z225" s="7">
        <f t="shared" si="78"/>
        <v>469.08454545454549</v>
      </c>
    </row>
    <row r="226" spans="1:26" s="27" customFormat="1" outlineLevel="1" collapsed="1" x14ac:dyDescent="0.25">
      <c r="A226" s="25"/>
      <c r="B226" s="13" t="str">
        <f>CONCATENATE("     ","Insurance                                         ")</f>
        <v xml:space="preserve">     Insurance                                         </v>
      </c>
      <c r="C226" s="13"/>
      <c r="D226" s="1">
        <f>SUM(OSRRefD22_12x_0)</f>
        <v>4044.74</v>
      </c>
      <c r="E226" s="1"/>
      <c r="F226" s="5">
        <f t="shared" si="71"/>
        <v>6.4711754358676753E-3</v>
      </c>
      <c r="G226" s="1"/>
      <c r="H226" s="1">
        <f>SUM(OSRRefH22_12x_0)</f>
        <v>3809.97</v>
      </c>
      <c r="I226" s="1"/>
      <c r="J226" s="5">
        <f t="shared" si="72"/>
        <v>5.8470590672716378E-3</v>
      </c>
      <c r="K226" s="1"/>
      <c r="L226" s="1">
        <f t="shared" si="73"/>
        <v>234.76999999999998</v>
      </c>
      <c r="M226" s="1"/>
      <c r="N226" s="5">
        <f t="shared" si="74"/>
        <v>6.1619907768302638E-2</v>
      </c>
      <c r="O226" s="13"/>
      <c r="P226" s="1">
        <f>SUM(OSRRefP22_12x_0)</f>
        <v>16178.96</v>
      </c>
      <c r="Q226" s="1"/>
      <c r="R226" s="5">
        <f t="shared" si="75"/>
        <v>2.7149455193796173E-3</v>
      </c>
      <c r="S226" s="1"/>
      <c r="T226" s="1">
        <f>SUM(OSRRefT22_12x_0)</f>
        <v>15239.88</v>
      </c>
      <c r="U226" s="1"/>
      <c r="V226" s="5">
        <f t="shared" si="76"/>
        <v>2.4574864675966659E-3</v>
      </c>
      <c r="W226" s="1"/>
      <c r="X226" s="1">
        <f t="shared" si="77"/>
        <v>939.07999999999993</v>
      </c>
      <c r="Y226" s="1"/>
      <c r="Z226" s="5">
        <f t="shared" si="78"/>
        <v>6.1619907768302638E-2</v>
      </c>
    </row>
    <row r="227" spans="1:26" s="24" customFormat="1" hidden="1" outlineLevel="2" x14ac:dyDescent="0.25">
      <c r="A227" s="26"/>
      <c r="B227" s="11" t="str">
        <f>CONCATENATE("          ", "6314", " - ", "LIABILITY INSURANCE")</f>
        <v xml:space="preserve">          6314 - LIABILITY INSURANCE</v>
      </c>
      <c r="C227" s="11"/>
      <c r="D227" s="6">
        <v>4044.74</v>
      </c>
      <c r="E227" s="2"/>
      <c r="F227" s="7">
        <f t="shared" si="71"/>
        <v>6.4711754358676753E-3</v>
      </c>
      <c r="G227" s="2"/>
      <c r="H227" s="6">
        <v>3809.97</v>
      </c>
      <c r="I227" s="2"/>
      <c r="J227" s="7">
        <f t="shared" si="72"/>
        <v>5.8470590672716378E-3</v>
      </c>
      <c r="K227" s="2"/>
      <c r="L227" s="6">
        <f t="shared" si="73"/>
        <v>234.76999999999998</v>
      </c>
      <c r="M227" s="2"/>
      <c r="N227" s="7">
        <f t="shared" si="74"/>
        <v>6.1619907768302638E-2</v>
      </c>
      <c r="O227" s="11"/>
      <c r="P227" s="6">
        <v>16178.96</v>
      </c>
      <c r="Q227" s="2"/>
      <c r="R227" s="7">
        <f t="shared" si="75"/>
        <v>2.7149455193796173E-3</v>
      </c>
      <c r="S227" s="2"/>
      <c r="T227" s="6">
        <v>15239.88</v>
      </c>
      <c r="U227" s="2"/>
      <c r="V227" s="7">
        <f t="shared" si="76"/>
        <v>2.4574864675966659E-3</v>
      </c>
      <c r="W227" s="2"/>
      <c r="X227" s="6">
        <f t="shared" si="77"/>
        <v>939.07999999999993</v>
      </c>
      <c r="Y227" s="2"/>
      <c r="Z227" s="7">
        <f t="shared" si="78"/>
        <v>6.1619907768302638E-2</v>
      </c>
    </row>
    <row r="228" spans="1:26" s="27" customFormat="1" outlineLevel="1" collapsed="1" x14ac:dyDescent="0.25">
      <c r="A228" s="25"/>
      <c r="B228" s="13" t="str">
        <f>CONCATENATE("     ","Inventory Adjustment                              ")</f>
        <v xml:space="preserve">     Inventory Adjustment                              </v>
      </c>
      <c r="C228" s="13"/>
      <c r="D228" s="1">
        <f>SUM(OSRRefD22_13x_0)</f>
        <v>4250</v>
      </c>
      <c r="E228" s="1"/>
      <c r="F228" s="5">
        <f t="shared" si="71"/>
        <v>6.7995707023041337E-3</v>
      </c>
      <c r="G228" s="1"/>
      <c r="H228" s="1">
        <f>SUM(OSRRefH22_13x_0)</f>
        <v>10000</v>
      </c>
      <c r="I228" s="1"/>
      <c r="J228" s="5">
        <f t="shared" si="72"/>
        <v>1.5346732565536311E-2</v>
      </c>
      <c r="K228" s="1"/>
      <c r="L228" s="1">
        <f t="shared" si="73"/>
        <v>-5750</v>
      </c>
      <c r="M228" s="1"/>
      <c r="N228" s="5">
        <f t="shared" si="74"/>
        <v>-0.57499999999999996</v>
      </c>
      <c r="O228" s="13"/>
      <c r="P228" s="1">
        <f>SUM(OSRRefP22_13x_0)</f>
        <v>16900</v>
      </c>
      <c r="Q228" s="1"/>
      <c r="R228" s="5">
        <f t="shared" si="75"/>
        <v>2.8359412024948163E-3</v>
      </c>
      <c r="S228" s="1"/>
      <c r="T228" s="1">
        <f>SUM(OSRRefT22_13x_0)</f>
        <v>40000</v>
      </c>
      <c r="U228" s="1"/>
      <c r="V228" s="5">
        <f t="shared" si="76"/>
        <v>6.4501465040319641E-3</v>
      </c>
      <c r="W228" s="1"/>
      <c r="X228" s="1">
        <f t="shared" si="77"/>
        <v>-23100</v>
      </c>
      <c r="Y228" s="1"/>
      <c r="Z228" s="5">
        <f t="shared" si="78"/>
        <v>-0.57750000000000001</v>
      </c>
    </row>
    <row r="229" spans="1:26" s="24" customFormat="1" hidden="1" outlineLevel="2" x14ac:dyDescent="0.25">
      <c r="A229" s="26"/>
      <c r="B229" s="11" t="str">
        <f>CONCATENATE("          ", "6408", " - ", "INVENTORY ADJUSTMENT")</f>
        <v xml:space="preserve">          6408 - INVENTORY ADJUSTMENT</v>
      </c>
      <c r="C229" s="11"/>
      <c r="D229" s="6">
        <v>4250</v>
      </c>
      <c r="E229" s="2"/>
      <c r="F229" s="7">
        <f t="shared" si="71"/>
        <v>6.7995707023041337E-3</v>
      </c>
      <c r="G229" s="2"/>
      <c r="H229" s="6">
        <v>10000</v>
      </c>
      <c r="I229" s="2"/>
      <c r="J229" s="7">
        <f t="shared" si="72"/>
        <v>1.5346732565536311E-2</v>
      </c>
      <c r="K229" s="2"/>
      <c r="L229" s="6">
        <f t="shared" si="73"/>
        <v>-5750</v>
      </c>
      <c r="M229" s="2"/>
      <c r="N229" s="7">
        <f t="shared" si="74"/>
        <v>-0.57499999999999996</v>
      </c>
      <c r="O229" s="11"/>
      <c r="P229" s="6">
        <v>16900</v>
      </c>
      <c r="Q229" s="2"/>
      <c r="R229" s="7">
        <f t="shared" si="75"/>
        <v>2.8359412024948163E-3</v>
      </c>
      <c r="S229" s="2"/>
      <c r="T229" s="6">
        <v>40000</v>
      </c>
      <c r="U229" s="2"/>
      <c r="V229" s="7">
        <f t="shared" si="76"/>
        <v>6.4501465040319641E-3</v>
      </c>
      <c r="W229" s="2"/>
      <c r="X229" s="6">
        <f t="shared" si="77"/>
        <v>-23100</v>
      </c>
      <c r="Y229" s="2"/>
      <c r="Z229" s="7">
        <f t="shared" si="78"/>
        <v>-0.57750000000000001</v>
      </c>
    </row>
    <row r="230" spans="1:26" s="27" customFormat="1" outlineLevel="1" collapsed="1" x14ac:dyDescent="0.25">
      <c r="A230" s="25"/>
      <c r="B230" s="13" t="str">
        <f>CONCATENATE("     ","Professional Services                             ")</f>
        <v xml:space="preserve">     Professional Services                             </v>
      </c>
      <c r="C230" s="13"/>
      <c r="D230" s="1">
        <f>SUM(OSRRefD22_14x_0)</f>
        <v>0</v>
      </c>
      <c r="E230" s="1"/>
      <c r="F230" s="5">
        <f t="shared" si="71"/>
        <v>0</v>
      </c>
      <c r="G230" s="1"/>
      <c r="H230" s="1">
        <f>SUM(OSRRefH22_14x_0)</f>
        <v>0</v>
      </c>
      <c r="I230" s="1"/>
      <c r="J230" s="5">
        <f t="shared" si="72"/>
        <v>0</v>
      </c>
      <c r="K230" s="1"/>
      <c r="L230" s="1">
        <f t="shared" si="73"/>
        <v>0</v>
      </c>
      <c r="M230" s="1"/>
      <c r="N230" s="5">
        <f t="shared" si="74"/>
        <v>0</v>
      </c>
      <c r="O230" s="13"/>
      <c r="P230" s="1">
        <f>SUM(OSRRefP22_14x_0)</f>
        <v>6158.41</v>
      </c>
      <c r="Q230" s="1"/>
      <c r="R230" s="5">
        <f t="shared" si="75"/>
        <v>1.0334253645476984E-3</v>
      </c>
      <c r="S230" s="1"/>
      <c r="T230" s="1">
        <f>SUM(OSRRefT22_14x_0)</f>
        <v>8276.43</v>
      </c>
      <c r="U230" s="1"/>
      <c r="V230" s="5">
        <f t="shared" si="76"/>
        <v>1.3346046507591318E-3</v>
      </c>
      <c r="W230" s="1"/>
      <c r="X230" s="1">
        <f t="shared" si="77"/>
        <v>-2118.0200000000004</v>
      </c>
      <c r="Y230" s="1"/>
      <c r="Z230" s="5">
        <f t="shared" si="78"/>
        <v>-0.25590985485287743</v>
      </c>
    </row>
    <row r="231" spans="1:26" s="24" customFormat="1" hidden="1" outlineLevel="2" x14ac:dyDescent="0.25">
      <c r="A231" s="26"/>
      <c r="B231" s="11" t="str">
        <f>CONCATENATE("          ", "6336", " - ", "PROFESSIONAL SERVICES")</f>
        <v xml:space="preserve">          6336 - PROFESSIONAL SERVICES</v>
      </c>
      <c r="C231" s="11"/>
      <c r="D231" s="6"/>
      <c r="E231" s="2"/>
      <c r="F231" s="7">
        <f t="shared" si="71"/>
        <v>0</v>
      </c>
      <c r="G231" s="2"/>
      <c r="H231" s="6"/>
      <c r="I231" s="2"/>
      <c r="J231" s="7">
        <f t="shared" si="72"/>
        <v>0</v>
      </c>
      <c r="K231" s="2"/>
      <c r="L231" s="6">
        <f t="shared" si="73"/>
        <v>0</v>
      </c>
      <c r="M231" s="2"/>
      <c r="N231" s="7">
        <f t="shared" si="74"/>
        <v>0</v>
      </c>
      <c r="O231" s="11"/>
      <c r="P231" s="6">
        <v>6158.41</v>
      </c>
      <c r="Q231" s="2"/>
      <c r="R231" s="7">
        <f t="shared" si="75"/>
        <v>1.0334253645476984E-3</v>
      </c>
      <c r="S231" s="2"/>
      <c r="T231" s="6">
        <v>8276.43</v>
      </c>
      <c r="U231" s="2"/>
      <c r="V231" s="7">
        <f t="shared" si="76"/>
        <v>1.3346046507591318E-3</v>
      </c>
      <c r="W231" s="2"/>
      <c r="X231" s="6">
        <f t="shared" si="77"/>
        <v>-2118.0200000000004</v>
      </c>
      <c r="Y231" s="2"/>
      <c r="Z231" s="7">
        <f t="shared" si="78"/>
        <v>-0.25590985485287743</v>
      </c>
    </row>
    <row r="232" spans="1:26" s="27" customFormat="1" outlineLevel="1" collapsed="1" x14ac:dyDescent="0.25">
      <c r="A232" s="25"/>
      <c r="B232" s="13" t="str">
        <f>CONCATENATE("     ","Rent                                              ")</f>
        <v xml:space="preserve">     Rent                                              </v>
      </c>
      <c r="C232" s="13"/>
      <c r="D232" s="1">
        <f>SUM(OSRRefD22_15x_0)</f>
        <v>6100</v>
      </c>
      <c r="E232" s="1"/>
      <c r="F232" s="5">
        <f t="shared" si="71"/>
        <v>9.7593838315424026E-3</v>
      </c>
      <c r="G232" s="1"/>
      <c r="H232" s="1">
        <f>SUM(OSRRefH22_15x_0)</f>
        <v>6100</v>
      </c>
      <c r="I232" s="1"/>
      <c r="J232" s="5">
        <f t="shared" si="72"/>
        <v>9.3615068649771493E-3</v>
      </c>
      <c r="K232" s="1"/>
      <c r="L232" s="1">
        <f t="shared" si="73"/>
        <v>0</v>
      </c>
      <c r="M232" s="1"/>
      <c r="N232" s="5">
        <f t="shared" si="74"/>
        <v>0</v>
      </c>
      <c r="O232" s="13"/>
      <c r="P232" s="1">
        <f>SUM(OSRRefP22_15x_0)</f>
        <v>24400</v>
      </c>
      <c r="Q232" s="1"/>
      <c r="R232" s="5">
        <f t="shared" si="75"/>
        <v>4.0944949905842316E-3</v>
      </c>
      <c r="S232" s="1"/>
      <c r="T232" s="1">
        <f>SUM(OSRRefT22_15x_0)</f>
        <v>25301.08</v>
      </c>
      <c r="U232" s="1"/>
      <c r="V232" s="5">
        <f t="shared" si="76"/>
        <v>4.0798918177558261E-3</v>
      </c>
      <c r="W232" s="1"/>
      <c r="X232" s="1">
        <f t="shared" si="77"/>
        <v>-901.08000000000175</v>
      </c>
      <c r="Y232" s="1"/>
      <c r="Z232" s="5">
        <f t="shared" si="78"/>
        <v>-3.5614289982878265E-2</v>
      </c>
    </row>
    <row r="233" spans="1:26" s="24" customFormat="1" hidden="1" outlineLevel="2" x14ac:dyDescent="0.25">
      <c r="A233" s="26"/>
      <c r="B233" s="11" t="str">
        <f>CONCATENATE("          ", "6273", " - ", "RENT")</f>
        <v xml:space="preserve">          6273 - RENT</v>
      </c>
      <c r="C233" s="11"/>
      <c r="D233" s="6">
        <v>6100</v>
      </c>
      <c r="E233" s="2"/>
      <c r="F233" s="7">
        <f t="shared" si="71"/>
        <v>9.7593838315424026E-3</v>
      </c>
      <c r="G233" s="2"/>
      <c r="H233" s="6">
        <v>6100</v>
      </c>
      <c r="I233" s="2"/>
      <c r="J233" s="7">
        <f t="shared" si="72"/>
        <v>9.3615068649771493E-3</v>
      </c>
      <c r="K233" s="2"/>
      <c r="L233" s="6">
        <f t="shared" si="73"/>
        <v>0</v>
      </c>
      <c r="M233" s="2"/>
      <c r="N233" s="7">
        <f t="shared" si="74"/>
        <v>0</v>
      </c>
      <c r="O233" s="11"/>
      <c r="P233" s="6">
        <v>24400</v>
      </c>
      <c r="Q233" s="2"/>
      <c r="R233" s="7">
        <f t="shared" si="75"/>
        <v>4.0944949905842316E-3</v>
      </c>
      <c r="S233" s="2"/>
      <c r="T233" s="6">
        <v>25301.08</v>
      </c>
      <c r="U233" s="2"/>
      <c r="V233" s="7">
        <f t="shared" si="76"/>
        <v>4.0798918177558261E-3</v>
      </c>
      <c r="W233" s="2"/>
      <c r="X233" s="6">
        <f t="shared" si="77"/>
        <v>-901.08000000000175</v>
      </c>
      <c r="Y233" s="2"/>
      <c r="Z233" s="7">
        <f t="shared" si="78"/>
        <v>-3.5614289982878265E-2</v>
      </c>
    </row>
    <row r="234" spans="1:26" s="27" customFormat="1" outlineLevel="1" collapsed="1" x14ac:dyDescent="0.25">
      <c r="A234" s="25"/>
      <c r="B234" s="13" t="str">
        <f>CONCATENATE("     ","Repair and Maintenance                            ")</f>
        <v xml:space="preserve">     Repair and Maintenance                            </v>
      </c>
      <c r="C234" s="13"/>
      <c r="D234" s="1">
        <f>SUM(OSRRefD22_16x_0)</f>
        <v>16586.900000000001</v>
      </c>
      <c r="E234" s="1"/>
      <c r="F234" s="5">
        <f t="shared" si="71"/>
        <v>2.6537364536952573E-2</v>
      </c>
      <c r="G234" s="1"/>
      <c r="H234" s="1">
        <f>SUM(OSRRefH22_16x_0)</f>
        <v>13186.79</v>
      </c>
      <c r="I234" s="1"/>
      <c r="J234" s="5">
        <f t="shared" si="72"/>
        <v>2.0237413952788857E-2</v>
      </c>
      <c r="K234" s="1"/>
      <c r="L234" s="1">
        <f t="shared" si="73"/>
        <v>3400.1100000000006</v>
      </c>
      <c r="M234" s="1"/>
      <c r="N234" s="5">
        <f t="shared" si="74"/>
        <v>0.25784212837240911</v>
      </c>
      <c r="O234" s="13"/>
      <c r="P234" s="1">
        <f>SUM(OSRRefP22_16x_0)</f>
        <v>64941.310000000005</v>
      </c>
      <c r="Q234" s="1"/>
      <c r="R234" s="5">
        <f t="shared" si="75"/>
        <v>1.0897617560531873E-2</v>
      </c>
      <c r="S234" s="1"/>
      <c r="T234" s="1">
        <f>SUM(OSRRefT22_16x_0)</f>
        <v>95234.48000000001</v>
      </c>
      <c r="U234" s="1"/>
      <c r="V234" s="5">
        <f t="shared" si="76"/>
        <v>1.5356908705882551E-2</v>
      </c>
      <c r="W234" s="1"/>
      <c r="X234" s="1">
        <f t="shared" si="77"/>
        <v>-30293.170000000006</v>
      </c>
      <c r="Y234" s="1"/>
      <c r="Z234" s="5">
        <f t="shared" si="78"/>
        <v>-0.31809035971005462</v>
      </c>
    </row>
    <row r="235" spans="1:26" s="24" customFormat="1" hidden="1" outlineLevel="2" x14ac:dyDescent="0.25">
      <c r="A235" s="26"/>
      <c r="B235" s="11" t="str">
        <f>CONCATENATE("          ", "6371", " - ", "COMPUTER SOFTWARE MAINTENANCE")</f>
        <v xml:space="preserve">          6371 - COMPUTER SOFTWARE MAINTENANCE</v>
      </c>
      <c r="C235" s="11"/>
      <c r="D235" s="6">
        <v>601</v>
      </c>
      <c r="E235" s="2"/>
      <c r="F235" s="7">
        <f t="shared" si="71"/>
        <v>9.6153929225524331E-4</v>
      </c>
      <c r="G235" s="2"/>
      <c r="H235" s="6">
        <v>4049.7</v>
      </c>
      <c r="I235" s="2"/>
      <c r="J235" s="7">
        <f t="shared" si="72"/>
        <v>6.2149662870652394E-3</v>
      </c>
      <c r="K235" s="2"/>
      <c r="L235" s="6">
        <f t="shared" si="73"/>
        <v>-3448.7</v>
      </c>
      <c r="M235" s="2"/>
      <c r="N235" s="7">
        <f t="shared" si="74"/>
        <v>-0.85159394523051091</v>
      </c>
      <c r="O235" s="11"/>
      <c r="P235" s="6">
        <v>12751.4</v>
      </c>
      <c r="Q235" s="2"/>
      <c r="R235" s="7">
        <f t="shared" si="75"/>
        <v>2.1397763697924496E-3</v>
      </c>
      <c r="S235" s="2"/>
      <c r="T235" s="6">
        <v>48835.83</v>
      </c>
      <c r="U235" s="2"/>
      <c r="V235" s="7">
        <f t="shared" si="76"/>
        <v>7.8749564536499828E-3</v>
      </c>
      <c r="W235" s="2"/>
      <c r="X235" s="6">
        <f t="shared" si="77"/>
        <v>-36084.43</v>
      </c>
      <c r="Y235" s="2"/>
      <c r="Z235" s="7">
        <f t="shared" si="78"/>
        <v>-0.73889253034094027</v>
      </c>
    </row>
    <row r="236" spans="1:26" s="24" customFormat="1" hidden="1" outlineLevel="2" x14ac:dyDescent="0.25">
      <c r="A236" s="26"/>
      <c r="B236" s="11" t="str">
        <f>CONCATENATE("          ", "6373", " - ", "MAINTENANCE CONTRACTS")</f>
        <v xml:space="preserve">          6373 - MAINTENANCE CONTRACTS</v>
      </c>
      <c r="C236" s="11"/>
      <c r="D236" s="6">
        <v>11328</v>
      </c>
      <c r="E236" s="2"/>
      <c r="F236" s="7">
        <f t="shared" si="71"/>
        <v>1.8123655744870876E-2</v>
      </c>
      <c r="G236" s="2"/>
      <c r="H236" s="6">
        <v>7262.14</v>
      </c>
      <c r="I236" s="2"/>
      <c r="J236" s="7">
        <f t="shared" si="72"/>
        <v>1.1145012043348387E-2</v>
      </c>
      <c r="K236" s="2"/>
      <c r="L236" s="6">
        <f t="shared" si="73"/>
        <v>4065.8599999999997</v>
      </c>
      <c r="M236" s="2"/>
      <c r="N236" s="7">
        <f t="shared" si="74"/>
        <v>0.55987078189073736</v>
      </c>
      <c r="O236" s="11"/>
      <c r="P236" s="6">
        <v>30376.190000000002</v>
      </c>
      <c r="Q236" s="2"/>
      <c r="R236" s="7">
        <f t="shared" si="75"/>
        <v>5.0973425322965102E-3</v>
      </c>
      <c r="S236" s="2"/>
      <c r="T236" s="6">
        <v>32872.15</v>
      </c>
      <c r="U236" s="2"/>
      <c r="V236" s="7">
        <f t="shared" si="76"/>
        <v>5.3007545850628579E-3</v>
      </c>
      <c r="W236" s="2"/>
      <c r="X236" s="6">
        <f t="shared" si="77"/>
        <v>-2495.9599999999991</v>
      </c>
      <c r="Y236" s="2"/>
      <c r="Z236" s="7">
        <f t="shared" si="78"/>
        <v>-7.5929320108359177E-2</v>
      </c>
    </row>
    <row r="237" spans="1:26" s="24" customFormat="1" hidden="1" outlineLevel="2" x14ac:dyDescent="0.25">
      <c r="A237" s="26"/>
      <c r="B237" s="11" t="str">
        <f>CONCATENATE("          ", "6375", " - ", "OUTSIDE REPAIRS &amp; MAINTENANCE")</f>
        <v xml:space="preserve">          6375 - OUTSIDE REPAIRS &amp; MAINTENANCE</v>
      </c>
      <c r="C237" s="11"/>
      <c r="D237" s="6">
        <v>4657.8999999999996</v>
      </c>
      <c r="E237" s="2"/>
      <c r="F237" s="7">
        <f t="shared" si="71"/>
        <v>7.4521694998264517E-3</v>
      </c>
      <c r="G237" s="2"/>
      <c r="H237" s="6">
        <v>1874.95</v>
      </c>
      <c r="I237" s="2"/>
      <c r="J237" s="7">
        <f t="shared" si="72"/>
        <v>2.8774356223752306E-3</v>
      </c>
      <c r="K237" s="2"/>
      <c r="L237" s="6">
        <f t="shared" si="73"/>
        <v>2782.95</v>
      </c>
      <c r="M237" s="2"/>
      <c r="N237" s="7">
        <f t="shared" si="74"/>
        <v>1.4842795807888209</v>
      </c>
      <c r="O237" s="11"/>
      <c r="P237" s="6">
        <v>21813.72</v>
      </c>
      <c r="Q237" s="2"/>
      <c r="R237" s="7">
        <f t="shared" si="75"/>
        <v>3.6604986584429129E-3</v>
      </c>
      <c r="S237" s="2"/>
      <c r="T237" s="6">
        <v>13526.5</v>
      </c>
      <c r="U237" s="2"/>
      <c r="V237" s="7">
        <f t="shared" si="76"/>
        <v>2.181197667169709E-3</v>
      </c>
      <c r="W237" s="2"/>
      <c r="X237" s="6">
        <f t="shared" si="77"/>
        <v>8287.2200000000012</v>
      </c>
      <c r="Y237" s="2"/>
      <c r="Z237" s="7">
        <f t="shared" si="78"/>
        <v>0.61266550844638312</v>
      </c>
    </row>
    <row r="238" spans="1:26" s="27" customFormat="1" outlineLevel="1" collapsed="1" x14ac:dyDescent="0.25">
      <c r="A238" s="25"/>
      <c r="B238" s="13" t="str">
        <f>CONCATENATE("     ","Royalty &amp; Commissions                             ")</f>
        <v xml:space="preserve">     Royalty &amp; Commissions                             </v>
      </c>
      <c r="C238" s="13"/>
      <c r="D238" s="1">
        <f>SUM(OSRRefD22_17x_0)</f>
        <v>12626.66</v>
      </c>
      <c r="E238" s="1"/>
      <c r="F238" s="5">
        <f t="shared" ref="F238:F241" si="79">IF(D$12=0,0,D238/D$12)</f>
        <v>2.0201380565636591E-2</v>
      </c>
      <c r="G238" s="1"/>
      <c r="H238" s="1">
        <f>SUM(OSRRefH22_17x_0)</f>
        <v>28927.950000000004</v>
      </c>
      <c r="I238" s="1"/>
      <c r="J238" s="5">
        <f t="shared" ref="J238:J241" si="80">IF(H$12=0,0,H238/H$12)</f>
        <v>4.4394951231920624E-2</v>
      </c>
      <c r="K238" s="1"/>
      <c r="L238" s="1">
        <f t="shared" ref="L238:L241" si="81">+D238-H238</f>
        <v>-16301.290000000005</v>
      </c>
      <c r="M238" s="1"/>
      <c r="N238" s="5">
        <f t="shared" ref="N238:N241" si="82">IF(H238=0,0,L238/H238)</f>
        <v>-0.56351348782060262</v>
      </c>
      <c r="O238" s="13"/>
      <c r="P238" s="1">
        <f>SUM(OSRRefP22_17x_0)</f>
        <v>32079.1</v>
      </c>
      <c r="Q238" s="1"/>
      <c r="R238" s="5">
        <f t="shared" ref="R238:R241" si="83">IF(P$12=0,0,P238/P$12)</f>
        <v>5.383103043133222E-3</v>
      </c>
      <c r="S238" s="1"/>
      <c r="T238" s="1">
        <f>SUM(OSRRefT22_17x_0)</f>
        <v>50505.770000000004</v>
      </c>
      <c r="U238" s="1"/>
      <c r="V238" s="5">
        <f t="shared" ref="V238:V241" si="84">IF(T$12=0,0,T238/T$12)</f>
        <v>8.1442403949735613E-3</v>
      </c>
      <c r="W238" s="1"/>
      <c r="X238" s="1">
        <f t="shared" ref="X238:X241" si="85">+P238-T238</f>
        <v>-18426.670000000006</v>
      </c>
      <c r="Y238" s="1"/>
      <c r="Z238" s="5">
        <f t="shared" ref="Z238:Z241" si="86">IF(T238=0,0,X238/T238)</f>
        <v>-0.36484286844849617</v>
      </c>
    </row>
    <row r="239" spans="1:26" s="24" customFormat="1" hidden="1" outlineLevel="2" x14ac:dyDescent="0.25">
      <c r="A239" s="26"/>
      <c r="B239" s="11" t="str">
        <f>CONCATENATE("          ", "6253", " - ", "ROYALTY DUE ATHLETICS-LRG")</f>
        <v xml:space="preserve">          6253 - ROYALTY DUE ATHLETICS-LRG</v>
      </c>
      <c r="C239" s="11"/>
      <c r="D239" s="6"/>
      <c r="E239" s="2"/>
      <c r="F239" s="7">
        <f t="shared" si="79"/>
        <v>0</v>
      </c>
      <c r="G239" s="2"/>
      <c r="H239" s="6">
        <v>16349.030000000002</v>
      </c>
      <c r="I239" s="2"/>
      <c r="J239" s="7">
        <f t="shared" si="80"/>
        <v>2.5090419111593015E-2</v>
      </c>
      <c r="K239" s="2"/>
      <c r="L239" s="6">
        <f t="shared" si="81"/>
        <v>-16349.030000000002</v>
      </c>
      <c r="M239" s="2"/>
      <c r="N239" s="7">
        <f t="shared" si="82"/>
        <v>-1</v>
      </c>
      <c r="O239" s="11"/>
      <c r="P239" s="6">
        <v>4366.95</v>
      </c>
      <c r="Q239" s="2"/>
      <c r="R239" s="7">
        <f t="shared" si="83"/>
        <v>7.3280552865294304E-4</v>
      </c>
      <c r="S239" s="2"/>
      <c r="T239" s="6">
        <v>22994.42</v>
      </c>
      <c r="U239" s="2"/>
      <c r="V239" s="7">
        <f t="shared" si="84"/>
        <v>3.7079344443810666E-3</v>
      </c>
      <c r="W239" s="2"/>
      <c r="X239" s="6">
        <f t="shared" si="85"/>
        <v>-18627.469999999998</v>
      </c>
      <c r="Y239" s="2"/>
      <c r="Z239" s="7">
        <f t="shared" si="86"/>
        <v>-0.81008653403738817</v>
      </c>
    </row>
    <row r="240" spans="1:26" s="24" customFormat="1" hidden="1" outlineLevel="2" x14ac:dyDescent="0.25">
      <c r="A240" s="26"/>
      <c r="B240" s="11" t="str">
        <f>CONCATENATE("          ", "6254", " - ", "ROYALTY &amp; COMMISSIONS")</f>
        <v xml:space="preserve">          6254 - ROYALTY &amp; COMMISSIONS</v>
      </c>
      <c r="C240" s="11"/>
      <c r="D240" s="6">
        <v>882.02</v>
      </c>
      <c r="E240" s="2"/>
      <c r="F240" s="7">
        <f t="shared" si="79"/>
        <v>1.4111429060814805E-3</v>
      </c>
      <c r="G240" s="2"/>
      <c r="H240" s="6">
        <v>587.89</v>
      </c>
      <c r="I240" s="2"/>
      <c r="J240" s="7">
        <f t="shared" si="80"/>
        <v>9.0221906079531421E-4</v>
      </c>
      <c r="K240" s="2"/>
      <c r="L240" s="6">
        <f t="shared" si="81"/>
        <v>294.13</v>
      </c>
      <c r="M240" s="2"/>
      <c r="N240" s="7">
        <f t="shared" si="82"/>
        <v>0.50031468471993057</v>
      </c>
      <c r="O240" s="11"/>
      <c r="P240" s="6">
        <v>1497.89</v>
      </c>
      <c r="Q240" s="2"/>
      <c r="R240" s="7">
        <f t="shared" si="83"/>
        <v>2.5135668448550061E-4</v>
      </c>
      <c r="S240" s="2"/>
      <c r="T240" s="6">
        <v>1148.97</v>
      </c>
      <c r="U240" s="2"/>
      <c r="V240" s="7">
        <f t="shared" si="84"/>
        <v>1.8527562071844015E-4</v>
      </c>
      <c r="W240" s="2"/>
      <c r="X240" s="6">
        <f t="shared" si="85"/>
        <v>348.92000000000007</v>
      </c>
      <c r="Y240" s="2"/>
      <c r="Z240" s="7">
        <f t="shared" si="86"/>
        <v>0.30368068792048536</v>
      </c>
    </row>
    <row r="241" spans="1:26" s="24" customFormat="1" hidden="1" outlineLevel="2" x14ac:dyDescent="0.25">
      <c r="A241" s="26"/>
      <c r="B241" s="11" t="str">
        <f>CONCATENATE("          ", "6259", " - ", "ROYALTY &amp; COMMISSIONS")</f>
        <v xml:space="preserve">          6259 - ROYALTY &amp; COMMISSIONS</v>
      </c>
      <c r="C241" s="11"/>
      <c r="D241" s="6">
        <v>11744.64</v>
      </c>
      <c r="E241" s="2"/>
      <c r="F241" s="7">
        <f t="shared" si="79"/>
        <v>1.879023765955511E-2</v>
      </c>
      <c r="G241" s="2"/>
      <c r="H241" s="6">
        <v>11991.03</v>
      </c>
      <c r="I241" s="2"/>
      <c r="J241" s="7">
        <f t="shared" si="80"/>
        <v>1.8402313059532289E-2</v>
      </c>
      <c r="K241" s="2"/>
      <c r="L241" s="6">
        <f t="shared" si="81"/>
        <v>-246.39000000000124</v>
      </c>
      <c r="M241" s="2"/>
      <c r="N241" s="7">
        <f t="shared" si="82"/>
        <v>-2.0547859524995035E-2</v>
      </c>
      <c r="O241" s="11"/>
      <c r="P241" s="6">
        <v>26214.26</v>
      </c>
      <c r="Q241" s="2"/>
      <c r="R241" s="7">
        <f t="shared" si="83"/>
        <v>4.3989408299947783E-3</v>
      </c>
      <c r="S241" s="2"/>
      <c r="T241" s="6">
        <v>26362.38</v>
      </c>
      <c r="U241" s="2"/>
      <c r="V241" s="7">
        <f t="shared" si="84"/>
        <v>4.2510303298740545E-3</v>
      </c>
      <c r="W241" s="2"/>
      <c r="X241" s="6">
        <f t="shared" si="85"/>
        <v>-148.12000000000262</v>
      </c>
      <c r="Y241" s="2"/>
      <c r="Z241" s="7">
        <f t="shared" si="86"/>
        <v>-5.6186125835377011E-3</v>
      </c>
    </row>
    <row r="242" spans="1:26" s="27" customFormat="1" outlineLevel="1" collapsed="1" x14ac:dyDescent="0.25">
      <c r="A242" s="25"/>
      <c r="B242" s="13" t="str">
        <f>CONCATENATE("     ","Services                                          ")</f>
        <v xml:space="preserve">     Services                                          </v>
      </c>
      <c r="C242" s="13"/>
      <c r="D242" s="1">
        <f>SUM(OSRRefD22_18x_0)</f>
        <v>5247.7199999999993</v>
      </c>
      <c r="E242" s="1"/>
      <c r="F242" s="5">
        <f t="shared" ref="F242:F246" si="87">IF(D$12=0,0,D242/D$12)</f>
        <v>8.3958219213871622E-3</v>
      </c>
      <c r="G242" s="1"/>
      <c r="H242" s="1">
        <f>SUM(OSRRefH22_18x_0)</f>
        <v>4407.67</v>
      </c>
      <c r="I242" s="1"/>
      <c r="J242" s="5">
        <f t="shared" ref="J242:J246" si="88">IF(H$12=0,0,H242/H$12)</f>
        <v>6.7643332727137431E-3</v>
      </c>
      <c r="K242" s="1"/>
      <c r="L242" s="1">
        <f t="shared" ref="L242:L246" si="89">+D242-H242</f>
        <v>840.04999999999927</v>
      </c>
      <c r="M242" s="1"/>
      <c r="N242" s="5">
        <f t="shared" ref="N242:N246" si="90">IF(H242=0,0,L242/H242)</f>
        <v>0.19058822461754152</v>
      </c>
      <c r="O242" s="13"/>
      <c r="P242" s="1">
        <f>SUM(OSRRefP22_18x_0)</f>
        <v>18474.909999999996</v>
      </c>
      <c r="Q242" s="1"/>
      <c r="R242" s="5">
        <f t="shared" ref="R242:R246" si="91">IF(P$12=0,0,P242/P$12)</f>
        <v>3.1002223953481359E-3</v>
      </c>
      <c r="S242" s="1"/>
      <c r="T242" s="1">
        <f>SUM(OSRRefT22_18x_0)</f>
        <v>17463.71</v>
      </c>
      <c r="U242" s="1"/>
      <c r="V242" s="5">
        <f t="shared" ref="V242:V246" si="92">IF(T$12=0,0,T242/T$12)</f>
        <v>2.8160872000982011E-3</v>
      </c>
      <c r="W242" s="1"/>
      <c r="X242" s="1">
        <f t="shared" ref="X242:X246" si="93">+P242-T242</f>
        <v>1011.1999999999971</v>
      </c>
      <c r="Y242" s="1"/>
      <c r="Z242" s="5">
        <f t="shared" ref="Z242:Z246" si="94">IF(T242=0,0,X242/T242)</f>
        <v>5.7902931278634218E-2</v>
      </c>
    </row>
    <row r="243" spans="1:26" s="24" customFormat="1" hidden="1" outlineLevel="2" x14ac:dyDescent="0.25">
      <c r="A243" s="26"/>
      <c r="B243" s="11" t="str">
        <f>CONCATENATE("          ", "6282", " - ", "JANITORIAL/EXTERMINATOR EXPENS")</f>
        <v xml:space="preserve">          6282 - JANITORIAL/EXTERMINATOR EXPENS</v>
      </c>
      <c r="C243" s="11"/>
      <c r="D243" s="6">
        <v>266.5</v>
      </c>
      <c r="E243" s="2"/>
      <c r="F243" s="7">
        <f t="shared" si="87"/>
        <v>4.2637308050918858E-4</v>
      </c>
      <c r="G243" s="2"/>
      <c r="H243" s="6">
        <v>193.5</v>
      </c>
      <c r="I243" s="2"/>
      <c r="J243" s="7">
        <f t="shared" si="88"/>
        <v>2.9695927514312764E-4</v>
      </c>
      <c r="K243" s="2"/>
      <c r="L243" s="6">
        <f t="shared" si="89"/>
        <v>73</v>
      </c>
      <c r="M243" s="2"/>
      <c r="N243" s="7">
        <f t="shared" si="90"/>
        <v>0.37726098191214469</v>
      </c>
      <c r="O243" s="11"/>
      <c r="P243" s="6">
        <v>1066</v>
      </c>
      <c r="Q243" s="2"/>
      <c r="R243" s="7">
        <f t="shared" si="91"/>
        <v>1.7888244508044225E-4</v>
      </c>
      <c r="S243" s="2"/>
      <c r="T243" s="6">
        <v>860</v>
      </c>
      <c r="U243" s="2"/>
      <c r="V243" s="7">
        <f t="shared" si="92"/>
        <v>1.3867814983668724E-4</v>
      </c>
      <c r="W243" s="2"/>
      <c r="X243" s="6">
        <f t="shared" si="93"/>
        <v>206</v>
      </c>
      <c r="Y243" s="2"/>
      <c r="Z243" s="7">
        <f t="shared" si="94"/>
        <v>0.23953488372093024</v>
      </c>
    </row>
    <row r="244" spans="1:26" s="24" customFormat="1" hidden="1" outlineLevel="2" x14ac:dyDescent="0.25">
      <c r="A244" s="26"/>
      <c r="B244" s="11" t="str">
        <f>CONCATENATE("          ", "6283", " - ", "PLANT SERVICE")</f>
        <v xml:space="preserve">          6283 - PLANT SERVICE</v>
      </c>
      <c r="C244" s="11"/>
      <c r="D244" s="6"/>
      <c r="E244" s="2"/>
      <c r="F244" s="7">
        <f t="shared" si="87"/>
        <v>0</v>
      </c>
      <c r="G244" s="2"/>
      <c r="H244" s="6">
        <v>295.5</v>
      </c>
      <c r="I244" s="2"/>
      <c r="J244" s="7">
        <f t="shared" si="88"/>
        <v>4.5349594731159797E-4</v>
      </c>
      <c r="K244" s="2"/>
      <c r="L244" s="6">
        <f t="shared" si="89"/>
        <v>-295.5</v>
      </c>
      <c r="M244" s="2"/>
      <c r="N244" s="7">
        <f t="shared" si="90"/>
        <v>-1</v>
      </c>
      <c r="O244" s="11"/>
      <c r="P244" s="6">
        <v>541.98</v>
      </c>
      <c r="Q244" s="2"/>
      <c r="R244" s="7">
        <f t="shared" si="91"/>
        <v>9.0948130942493526E-5</v>
      </c>
      <c r="S244" s="2"/>
      <c r="T244" s="6">
        <v>814.5</v>
      </c>
      <c r="U244" s="2"/>
      <c r="V244" s="7">
        <f t="shared" si="92"/>
        <v>1.3134110818835087E-4</v>
      </c>
      <c r="W244" s="2"/>
      <c r="X244" s="6">
        <f t="shared" si="93"/>
        <v>-272.52</v>
      </c>
      <c r="Y244" s="2"/>
      <c r="Z244" s="7">
        <f t="shared" si="94"/>
        <v>-0.33458563535911601</v>
      </c>
    </row>
    <row r="245" spans="1:26" s="24" customFormat="1" hidden="1" outlineLevel="2" x14ac:dyDescent="0.25">
      <c r="A245" s="26"/>
      <c r="B245" s="11" t="str">
        <f>CONCATENATE("          ", "6284", " - ", "TRASH REMOVAL EXPENSE")</f>
        <v xml:space="preserve">          6284 - TRASH REMOVAL EXPENSE</v>
      </c>
      <c r="C245" s="11"/>
      <c r="D245" s="6">
        <v>134.82</v>
      </c>
      <c r="E245" s="2"/>
      <c r="F245" s="7">
        <f t="shared" si="87"/>
        <v>2.1569838166697489E-4</v>
      </c>
      <c r="G245" s="2"/>
      <c r="H245" s="6">
        <v>121.46</v>
      </c>
      <c r="I245" s="2"/>
      <c r="J245" s="7">
        <f t="shared" si="88"/>
        <v>1.8640141374100402E-4</v>
      </c>
      <c r="K245" s="2"/>
      <c r="L245" s="6">
        <f t="shared" si="89"/>
        <v>13.36</v>
      </c>
      <c r="M245" s="2"/>
      <c r="N245" s="7">
        <f t="shared" si="90"/>
        <v>0.10999506010209123</v>
      </c>
      <c r="O245" s="11"/>
      <c r="P245" s="6">
        <v>539.28</v>
      </c>
      <c r="Q245" s="2"/>
      <c r="R245" s="7">
        <f t="shared" si="91"/>
        <v>9.0495051578781333E-5</v>
      </c>
      <c r="S245" s="2"/>
      <c r="T245" s="6">
        <v>485.84</v>
      </c>
      <c r="U245" s="2"/>
      <c r="V245" s="7">
        <f t="shared" si="92"/>
        <v>7.8343479437972225E-5</v>
      </c>
      <c r="W245" s="2"/>
      <c r="X245" s="6">
        <f t="shared" si="93"/>
        <v>53.44</v>
      </c>
      <c r="Y245" s="2"/>
      <c r="Z245" s="7">
        <f t="shared" si="94"/>
        <v>0.10999506010209123</v>
      </c>
    </row>
    <row r="246" spans="1:26" s="24" customFormat="1" hidden="1" outlineLevel="2" x14ac:dyDescent="0.25">
      <c r="A246" s="26"/>
      <c r="B246" s="11" t="str">
        <f>CONCATENATE("          ", "6285", " - ", "JANITORIAL SERVICES")</f>
        <v xml:space="preserve">          6285 - JANITORIAL SERVICES</v>
      </c>
      <c r="C246" s="11"/>
      <c r="D246" s="6">
        <v>4846.3999999999996</v>
      </c>
      <c r="E246" s="2"/>
      <c r="F246" s="7">
        <f t="shared" si="87"/>
        <v>7.7537504592110002E-3</v>
      </c>
      <c r="G246" s="2"/>
      <c r="H246" s="6">
        <v>3797.21</v>
      </c>
      <c r="I246" s="2"/>
      <c r="J246" s="7">
        <f t="shared" si="88"/>
        <v>5.8274766365180135E-3</v>
      </c>
      <c r="K246" s="2"/>
      <c r="L246" s="6">
        <f t="shared" si="89"/>
        <v>1049.1899999999996</v>
      </c>
      <c r="M246" s="2"/>
      <c r="N246" s="7">
        <f t="shared" si="90"/>
        <v>0.27630549798404608</v>
      </c>
      <c r="O246" s="11"/>
      <c r="P246" s="6">
        <v>16327.649999999998</v>
      </c>
      <c r="Q246" s="2"/>
      <c r="R246" s="7">
        <f t="shared" si="91"/>
        <v>2.7398967677464189E-3</v>
      </c>
      <c r="S246" s="2"/>
      <c r="T246" s="6">
        <v>15303.369999999999</v>
      </c>
      <c r="U246" s="2"/>
      <c r="V246" s="7">
        <f t="shared" si="92"/>
        <v>2.4677244626351907E-3</v>
      </c>
      <c r="W246" s="2"/>
      <c r="X246" s="6">
        <f t="shared" si="93"/>
        <v>1024.2799999999988</v>
      </c>
      <c r="Y246" s="2"/>
      <c r="Z246" s="7">
        <f t="shared" si="94"/>
        <v>6.6931662764475985E-2</v>
      </c>
    </row>
    <row r="247" spans="1:26" s="27" customFormat="1" outlineLevel="1" collapsed="1" x14ac:dyDescent="0.25">
      <c r="A247" s="25"/>
      <c r="B247" s="13" t="str">
        <f>CONCATENATE("     ","Subscriptions &amp; Dues                              ")</f>
        <v xml:space="preserve">     Subscriptions &amp; Dues                              </v>
      </c>
      <c r="C247" s="13"/>
      <c r="D247" s="1">
        <f>SUM(OSRRefD22_19x_0)</f>
        <v>343.55</v>
      </c>
      <c r="E247" s="1"/>
      <c r="F247" s="5">
        <f t="shared" ref="F247:F249" si="95">IF(D$12=0,0,D247/D$12)</f>
        <v>5.4964529759449058E-4</v>
      </c>
      <c r="G247" s="1"/>
      <c r="H247" s="1">
        <f>SUM(OSRRefH22_19x_0)</f>
        <v>1141.98</v>
      </c>
      <c r="I247" s="1"/>
      <c r="J247" s="5">
        <f t="shared" ref="J247:J249" si="96">IF(H$12=0,0,H247/H$12)</f>
        <v>1.7525661655191157E-3</v>
      </c>
      <c r="K247" s="1"/>
      <c r="L247" s="1">
        <f t="shared" ref="L247:L249" si="97">+D247-H247</f>
        <v>-798.43000000000006</v>
      </c>
      <c r="M247" s="1"/>
      <c r="N247" s="5">
        <f t="shared" ref="N247:N249" si="98">IF(H247=0,0,L247/H247)</f>
        <v>-0.69916285749312601</v>
      </c>
      <c r="O247" s="13"/>
      <c r="P247" s="1">
        <f>SUM(OSRRefP22_19x_0)</f>
        <v>-2957.6</v>
      </c>
      <c r="Q247" s="1"/>
      <c r="R247" s="5">
        <f t="shared" ref="R247:R249" si="99">IF(P$12=0,0,P247/P$12)</f>
        <v>-4.9630649115376736E-4</v>
      </c>
      <c r="S247" s="1"/>
      <c r="T247" s="1">
        <f>SUM(OSRRefT22_19x_0)</f>
        <v>3221.71</v>
      </c>
      <c r="U247" s="1"/>
      <c r="V247" s="5">
        <f t="shared" ref="V247:V249" si="100">IF(T$12=0,0,T247/T$12)</f>
        <v>5.1951253733762044E-4</v>
      </c>
      <c r="W247" s="1"/>
      <c r="X247" s="1">
        <f t="shared" ref="X247:X249" si="101">+P247-T247</f>
        <v>-6179.3099999999995</v>
      </c>
      <c r="Y247" s="1"/>
      <c r="Z247" s="5">
        <f t="shared" ref="Z247:Z249" si="102">IF(T247=0,0,X247/T247)</f>
        <v>-1.9180217958785861</v>
      </c>
    </row>
    <row r="248" spans="1:26" s="24" customFormat="1" hidden="1" outlineLevel="2" x14ac:dyDescent="0.25">
      <c r="A248" s="26"/>
      <c r="B248" s="11" t="str">
        <f>CONCATENATE("          ", "6258", " - ", "MEMBERSHIP DUES")</f>
        <v xml:space="preserve">          6258 - MEMBERSHIP DUES</v>
      </c>
      <c r="C248" s="11"/>
      <c r="D248" s="6">
        <v>268.55</v>
      </c>
      <c r="E248" s="2"/>
      <c r="F248" s="7">
        <f t="shared" si="95"/>
        <v>4.2965287343618236E-4</v>
      </c>
      <c r="G248" s="2"/>
      <c r="H248" s="6">
        <v>792.02</v>
      </c>
      <c r="I248" s="2"/>
      <c r="J248" s="7">
        <f t="shared" si="96"/>
        <v>1.2154919126556069E-3</v>
      </c>
      <c r="K248" s="2"/>
      <c r="L248" s="6">
        <f t="shared" si="97"/>
        <v>-523.47</v>
      </c>
      <c r="M248" s="2"/>
      <c r="N248" s="7">
        <f t="shared" si="98"/>
        <v>-0.66093027953839556</v>
      </c>
      <c r="O248" s="11"/>
      <c r="P248" s="6">
        <v>-3822.6</v>
      </c>
      <c r="Q248" s="2"/>
      <c r="R248" s="7">
        <f t="shared" si="99"/>
        <v>-6.4145969471341325E-4</v>
      </c>
      <c r="S248" s="2"/>
      <c r="T248" s="6">
        <v>1684.12</v>
      </c>
      <c r="U248" s="2"/>
      <c r="V248" s="7">
        <f t="shared" si="100"/>
        <v>2.7157051825925778E-4</v>
      </c>
      <c r="W248" s="2"/>
      <c r="X248" s="6">
        <f t="shared" si="101"/>
        <v>-5506.7199999999993</v>
      </c>
      <c r="Y248" s="2"/>
      <c r="Z248" s="7">
        <f t="shared" si="102"/>
        <v>-3.2697907512528799</v>
      </c>
    </row>
    <row r="249" spans="1:26" s="24" customFormat="1" hidden="1" outlineLevel="2" x14ac:dyDescent="0.25">
      <c r="A249" s="26"/>
      <c r="B249" s="11" t="str">
        <f>CONCATENATE("          ", "6275", " - ", "SUBSCRIPTIONS")</f>
        <v xml:space="preserve">          6275 - SUBSCRIPTIONS</v>
      </c>
      <c r="C249" s="11"/>
      <c r="D249" s="6">
        <v>75</v>
      </c>
      <c r="E249" s="2"/>
      <c r="F249" s="7">
        <f t="shared" si="95"/>
        <v>1.1999242415830823E-4</v>
      </c>
      <c r="G249" s="2"/>
      <c r="H249" s="6">
        <v>349.96</v>
      </c>
      <c r="I249" s="2"/>
      <c r="J249" s="7">
        <f t="shared" si="96"/>
        <v>5.3707425286350868E-4</v>
      </c>
      <c r="K249" s="2"/>
      <c r="L249" s="6">
        <f t="shared" si="97"/>
        <v>-274.95999999999998</v>
      </c>
      <c r="M249" s="2"/>
      <c r="N249" s="7">
        <f t="shared" si="98"/>
        <v>-0.78568979311921361</v>
      </c>
      <c r="O249" s="11"/>
      <c r="P249" s="6">
        <v>865</v>
      </c>
      <c r="Q249" s="2"/>
      <c r="R249" s="7">
        <f t="shared" si="99"/>
        <v>1.4515320355964592E-4</v>
      </c>
      <c r="S249" s="2"/>
      <c r="T249" s="6">
        <v>1537.59</v>
      </c>
      <c r="U249" s="2"/>
      <c r="V249" s="7">
        <f t="shared" si="100"/>
        <v>2.4794201907836266E-4</v>
      </c>
      <c r="W249" s="2"/>
      <c r="X249" s="6">
        <f t="shared" si="101"/>
        <v>-672.58999999999992</v>
      </c>
      <c r="Y249" s="2"/>
      <c r="Z249" s="7">
        <f t="shared" si="102"/>
        <v>-0.43743130483418852</v>
      </c>
    </row>
    <row r="250" spans="1:26" s="27" customFormat="1" outlineLevel="1" collapsed="1" x14ac:dyDescent="0.25">
      <c r="A250" s="25"/>
      <c r="B250" s="13" t="str">
        <f>CONCATENATE("     ","Supplies                                          ")</f>
        <v xml:space="preserve">     Supplies                                          </v>
      </c>
      <c r="C250" s="13"/>
      <c r="D250" s="1">
        <f>SUM(OSRRefD22_20x_0)</f>
        <v>7204.62</v>
      </c>
      <c r="E250" s="1"/>
      <c r="F250" s="5">
        <f t="shared" ref="F250:F256" si="103">IF(D$12=0,0,D250/D$12)</f>
        <v>1.1526664252525742E-2</v>
      </c>
      <c r="G250" s="1"/>
      <c r="H250" s="1">
        <f>SUM(OSRRefH22_20x_0)</f>
        <v>26990.46</v>
      </c>
      <c r="I250" s="1"/>
      <c r="J250" s="5">
        <f t="shared" ref="J250:J256" si="104">IF(H$12=0,0,H250/H$12)</f>
        <v>4.142153714408052E-2</v>
      </c>
      <c r="K250" s="1"/>
      <c r="L250" s="1">
        <f t="shared" ref="L250:L256" si="105">+D250-H250</f>
        <v>-19785.84</v>
      </c>
      <c r="M250" s="1"/>
      <c r="N250" s="5">
        <f t="shared" ref="N250:N256" si="106">IF(H250=0,0,L250/H250)</f>
        <v>-0.7330679062157518</v>
      </c>
      <c r="O250" s="13"/>
      <c r="P250" s="1">
        <f>SUM(OSRRefP22_20x_0)</f>
        <v>40630.78</v>
      </c>
      <c r="Q250" s="1"/>
      <c r="R250" s="5">
        <f t="shared" ref="R250:R256" si="107">IF(P$12=0,0,P250/P$12)</f>
        <v>6.8181362776036881E-3</v>
      </c>
      <c r="S250" s="1"/>
      <c r="T250" s="1">
        <f>SUM(OSRRefT22_20x_0)</f>
        <v>76581.320000000007</v>
      </c>
      <c r="U250" s="1"/>
      <c r="V250" s="5">
        <f t="shared" ref="V250:V256" si="108">IF(T$12=0,0,T250/T$12)</f>
        <v>1.2349018336803829E-2</v>
      </c>
      <c r="W250" s="1"/>
      <c r="X250" s="1">
        <f t="shared" ref="X250:X256" si="109">+P250-T250</f>
        <v>-35950.540000000008</v>
      </c>
      <c r="Y250" s="1"/>
      <c r="Z250" s="5">
        <f t="shared" ref="Z250:Z256" si="110">IF(T250=0,0,X250/T250)</f>
        <v>-0.46944267871068301</v>
      </c>
    </row>
    <row r="251" spans="1:26" s="24" customFormat="1" hidden="1" outlineLevel="2" x14ac:dyDescent="0.25">
      <c r="A251" s="26"/>
      <c r="B251" s="11" t="str">
        <f>CONCATENATE("          ", "6234", " - ", "EXPENDABLE SUPPLIES &amp; EQUIPMEN")</f>
        <v xml:space="preserve">          6234 - EXPENDABLE SUPPLIES &amp; EQUIPMEN</v>
      </c>
      <c r="C251" s="11"/>
      <c r="D251" s="6"/>
      <c r="E251" s="2"/>
      <c r="F251" s="7">
        <f t="shared" si="103"/>
        <v>0</v>
      </c>
      <c r="G251" s="2"/>
      <c r="H251" s="6">
        <v>2237.73</v>
      </c>
      <c r="I251" s="2"/>
      <c r="J251" s="7">
        <f t="shared" si="104"/>
        <v>3.4341843863877571E-3</v>
      </c>
      <c r="K251" s="2"/>
      <c r="L251" s="6">
        <f t="shared" si="105"/>
        <v>-2237.73</v>
      </c>
      <c r="M251" s="2"/>
      <c r="N251" s="7">
        <f t="shared" si="106"/>
        <v>-1</v>
      </c>
      <c r="O251" s="11"/>
      <c r="P251" s="6">
        <v>1716.1</v>
      </c>
      <c r="Q251" s="2"/>
      <c r="R251" s="7">
        <f t="shared" si="107"/>
        <v>2.8797388743203277E-4</v>
      </c>
      <c r="S251" s="2"/>
      <c r="T251" s="6">
        <v>3451.62</v>
      </c>
      <c r="U251" s="2"/>
      <c r="V251" s="7">
        <f t="shared" si="108"/>
        <v>5.5658636690617013E-4</v>
      </c>
      <c r="W251" s="2"/>
      <c r="X251" s="6">
        <f t="shared" si="109"/>
        <v>-1735.52</v>
      </c>
      <c r="Y251" s="2"/>
      <c r="Z251" s="7">
        <f t="shared" si="110"/>
        <v>-0.50281317178600193</v>
      </c>
    </row>
    <row r="252" spans="1:26" s="24" customFormat="1" hidden="1" outlineLevel="2" x14ac:dyDescent="0.25">
      <c r="A252" s="26"/>
      <c r="B252" s="11" t="str">
        <f>CONCATENATE("          ", "6237", " - ", "JANITORIAL SUPPLIES")</f>
        <v xml:space="preserve">          6237 - JANITORIAL SUPPLIES</v>
      </c>
      <c r="C252" s="11"/>
      <c r="D252" s="6">
        <v>302.61</v>
      </c>
      <c r="E252" s="2"/>
      <c r="F252" s="7">
        <f t="shared" si="103"/>
        <v>4.8414543299394209E-4</v>
      </c>
      <c r="G252" s="2"/>
      <c r="H252" s="6">
        <v>1212.42</v>
      </c>
      <c r="I252" s="2"/>
      <c r="J252" s="7">
        <f t="shared" si="104"/>
        <v>1.8606685497107535E-3</v>
      </c>
      <c r="K252" s="2"/>
      <c r="L252" s="6">
        <f t="shared" si="105"/>
        <v>-909.81000000000006</v>
      </c>
      <c r="M252" s="2"/>
      <c r="N252" s="7">
        <f t="shared" si="106"/>
        <v>-0.75040827436037016</v>
      </c>
      <c r="O252" s="11"/>
      <c r="P252" s="6">
        <v>2166.2199999999998</v>
      </c>
      <c r="Q252" s="2"/>
      <c r="R252" s="7">
        <f t="shared" si="107"/>
        <v>3.6350725157800713E-4</v>
      </c>
      <c r="S252" s="2"/>
      <c r="T252" s="6">
        <v>2524.1999999999998</v>
      </c>
      <c r="U252" s="2"/>
      <c r="V252" s="7">
        <f t="shared" si="108"/>
        <v>4.0703649513693704E-4</v>
      </c>
      <c r="W252" s="2"/>
      <c r="X252" s="6">
        <f t="shared" si="109"/>
        <v>-357.98</v>
      </c>
      <c r="Y252" s="2"/>
      <c r="Z252" s="7">
        <f t="shared" si="110"/>
        <v>-0.14181919023849143</v>
      </c>
    </row>
    <row r="253" spans="1:26" s="24" customFormat="1" hidden="1" outlineLevel="2" x14ac:dyDescent="0.25">
      <c r="A253" s="26"/>
      <c r="B253" s="11" t="str">
        <f>CONCATENATE("          ", "6241", " - ", "OFFICE EXPENSE")</f>
        <v xml:space="preserve">          6241 - OFFICE EXPENSE</v>
      </c>
      <c r="C253" s="11"/>
      <c r="D253" s="6">
        <v>2718.9</v>
      </c>
      <c r="E253" s="2"/>
      <c r="F253" s="7">
        <f t="shared" si="103"/>
        <v>4.3499653605869907E-3</v>
      </c>
      <c r="G253" s="2"/>
      <c r="H253" s="6">
        <v>2051.73</v>
      </c>
      <c r="I253" s="2"/>
      <c r="J253" s="7">
        <f t="shared" si="104"/>
        <v>3.1487351606687818E-3</v>
      </c>
      <c r="K253" s="2"/>
      <c r="L253" s="6">
        <f t="shared" si="105"/>
        <v>667.17000000000007</v>
      </c>
      <c r="M253" s="2"/>
      <c r="N253" s="7">
        <f t="shared" si="106"/>
        <v>0.32517436504803265</v>
      </c>
      <c r="O253" s="11"/>
      <c r="P253" s="6">
        <v>12914.82</v>
      </c>
      <c r="Q253" s="2"/>
      <c r="R253" s="7">
        <f t="shared" si="107"/>
        <v>2.1671994177990591E-3</v>
      </c>
      <c r="S253" s="2"/>
      <c r="T253" s="6">
        <v>9988.76</v>
      </c>
      <c r="U253" s="2"/>
      <c r="V253" s="7">
        <f t="shared" si="108"/>
        <v>1.6107241348403581E-3</v>
      </c>
      <c r="W253" s="2"/>
      <c r="X253" s="6">
        <f t="shared" si="109"/>
        <v>2926.0599999999995</v>
      </c>
      <c r="Y253" s="2"/>
      <c r="Z253" s="7">
        <f t="shared" si="110"/>
        <v>0.29293525923137603</v>
      </c>
    </row>
    <row r="254" spans="1:26" s="24" customFormat="1" hidden="1" outlineLevel="2" x14ac:dyDescent="0.25">
      <c r="A254" s="26"/>
      <c r="B254" s="11" t="str">
        <f>CONCATENATE("          ", "6243", " - ", "PAPER SUPPLIES")</f>
        <v xml:space="preserve">          6243 - PAPER SUPPLIES</v>
      </c>
      <c r="C254" s="11"/>
      <c r="D254" s="6">
        <v>1929.38</v>
      </c>
      <c r="E254" s="2"/>
      <c r="F254" s="7">
        <f t="shared" si="103"/>
        <v>3.0868131109674235E-3</v>
      </c>
      <c r="G254" s="2"/>
      <c r="H254" s="6">
        <v>8301.76</v>
      </c>
      <c r="I254" s="2"/>
      <c r="J254" s="7">
        <f t="shared" si="104"/>
        <v>1.2740489054326672E-2</v>
      </c>
      <c r="K254" s="2"/>
      <c r="L254" s="6">
        <f t="shared" si="105"/>
        <v>-6372.38</v>
      </c>
      <c r="M254" s="2"/>
      <c r="N254" s="7">
        <f t="shared" si="106"/>
        <v>-0.76759385961531046</v>
      </c>
      <c r="O254" s="11"/>
      <c r="P254" s="6">
        <v>4906.33</v>
      </c>
      <c r="Q254" s="2"/>
      <c r="R254" s="7">
        <f t="shared" si="107"/>
        <v>8.2331736094889887E-4</v>
      </c>
      <c r="S254" s="2"/>
      <c r="T254" s="6">
        <v>16655.900000000001</v>
      </c>
      <c r="U254" s="2"/>
      <c r="V254" s="7">
        <f t="shared" si="108"/>
        <v>2.68582487891265E-3</v>
      </c>
      <c r="W254" s="2"/>
      <c r="X254" s="6">
        <f t="shared" si="109"/>
        <v>-11749.570000000002</v>
      </c>
      <c r="Y254" s="2"/>
      <c r="Z254" s="7">
        <f t="shared" si="110"/>
        <v>-0.70542990772038738</v>
      </c>
    </row>
    <row r="255" spans="1:26" s="24" customFormat="1" hidden="1" outlineLevel="2" x14ac:dyDescent="0.25">
      <c r="A255" s="26"/>
      <c r="B255" s="11" t="str">
        <f>CONCATENATE("          ", "6245", " - ", "PRINTING")</f>
        <v xml:space="preserve">          6245 - PRINTING</v>
      </c>
      <c r="C255" s="11"/>
      <c r="D255" s="6">
        <v>7.24</v>
      </c>
      <c r="E255" s="2"/>
      <c r="F255" s="7">
        <f t="shared" si="103"/>
        <v>1.1583268678748689E-5</v>
      </c>
      <c r="G255" s="2"/>
      <c r="H255" s="6">
        <v>762</v>
      </c>
      <c r="I255" s="2"/>
      <c r="J255" s="7">
        <f t="shared" si="104"/>
        <v>1.1694210214938669E-3</v>
      </c>
      <c r="K255" s="2"/>
      <c r="L255" s="6">
        <f t="shared" si="105"/>
        <v>-754.76</v>
      </c>
      <c r="M255" s="2"/>
      <c r="N255" s="7">
        <f t="shared" si="106"/>
        <v>-0.99049868766404203</v>
      </c>
      <c r="O255" s="11"/>
      <c r="P255" s="6">
        <v>5247.25</v>
      </c>
      <c r="Q255" s="2"/>
      <c r="R255" s="7">
        <f t="shared" si="107"/>
        <v>8.8052618194029136E-4</v>
      </c>
      <c r="S255" s="2"/>
      <c r="T255" s="6">
        <v>6440.39</v>
      </c>
      <c r="U255" s="2"/>
      <c r="V255" s="7">
        <f t="shared" si="108"/>
        <v>1.0385364760775605E-3</v>
      </c>
      <c r="W255" s="2"/>
      <c r="X255" s="6">
        <f t="shared" si="109"/>
        <v>-1193.1400000000003</v>
      </c>
      <c r="Y255" s="2"/>
      <c r="Z255" s="7">
        <f t="shared" si="110"/>
        <v>-0.18525896723645621</v>
      </c>
    </row>
    <row r="256" spans="1:26" s="24" customFormat="1" hidden="1" outlineLevel="2" x14ac:dyDescent="0.25">
      <c r="A256" s="26"/>
      <c r="B256" s="11" t="str">
        <f>CONCATENATE("          ", "6247", " - ", "STORE SUPPLIES")</f>
        <v xml:space="preserve">          6247 - STORE SUPPLIES</v>
      </c>
      <c r="C256" s="11"/>
      <c r="D256" s="6">
        <v>2246.4899999999998</v>
      </c>
      <c r="E256" s="2"/>
      <c r="F256" s="7">
        <f t="shared" si="103"/>
        <v>3.5941570792986377E-3</v>
      </c>
      <c r="G256" s="2"/>
      <c r="H256" s="6">
        <v>12424.82</v>
      </c>
      <c r="I256" s="2"/>
      <c r="J256" s="7">
        <f t="shared" si="104"/>
        <v>1.9068038971492687E-2</v>
      </c>
      <c r="K256" s="2"/>
      <c r="L256" s="6">
        <f t="shared" si="105"/>
        <v>-10178.33</v>
      </c>
      <c r="M256" s="2"/>
      <c r="N256" s="7">
        <f t="shared" si="106"/>
        <v>-0.8191933565234748</v>
      </c>
      <c r="O256" s="11"/>
      <c r="P256" s="6">
        <v>13680.06</v>
      </c>
      <c r="Q256" s="2"/>
      <c r="R256" s="7">
        <f t="shared" si="107"/>
        <v>2.2956121779053986E-3</v>
      </c>
      <c r="S256" s="2"/>
      <c r="T256" s="6">
        <v>37520.449999999997</v>
      </c>
      <c r="U256" s="2"/>
      <c r="V256" s="7">
        <f t="shared" si="108"/>
        <v>6.0503099849301524E-3</v>
      </c>
      <c r="W256" s="2"/>
      <c r="X256" s="6">
        <f t="shared" si="109"/>
        <v>-23840.39</v>
      </c>
      <c r="Y256" s="2"/>
      <c r="Z256" s="7">
        <f t="shared" si="110"/>
        <v>-0.63539723004388282</v>
      </c>
    </row>
    <row r="257" spans="1:26" s="27" customFormat="1" outlineLevel="1" collapsed="1" x14ac:dyDescent="0.25">
      <c r="A257" s="25"/>
      <c r="B257" s="13" t="str">
        <f>CONCATENATE("     ","Telephone/Data Lines                              ")</f>
        <v xml:space="preserve">     Telephone/Data Lines                              </v>
      </c>
      <c r="C257" s="13"/>
      <c r="D257" s="1">
        <f>SUM(OSRRefD22_21x_0)</f>
        <v>930.37</v>
      </c>
      <c r="E257" s="1"/>
      <c r="F257" s="5">
        <f t="shared" ref="F257:F259" si="111">IF(D$12=0,0,D257/D$12)</f>
        <v>1.4884980221888699E-3</v>
      </c>
      <c r="G257" s="1"/>
      <c r="H257" s="1">
        <f>SUM(OSRRefH22_21x_0)</f>
        <v>1695.06</v>
      </c>
      <c r="I257" s="1"/>
      <c r="J257" s="5">
        <f t="shared" ref="J257:J259" si="112">IF(H$12=0,0,H257/H$12)</f>
        <v>2.6013632502537979E-3</v>
      </c>
      <c r="K257" s="1"/>
      <c r="L257" s="1">
        <f t="shared" ref="L257:L259" si="113">+D257-H257</f>
        <v>-764.68999999999994</v>
      </c>
      <c r="M257" s="1"/>
      <c r="N257" s="5">
        <f t="shared" ref="N257:N259" si="114">IF(H257=0,0,L257/H257)</f>
        <v>-0.45112857361981284</v>
      </c>
      <c r="O257" s="13"/>
      <c r="P257" s="1">
        <f>SUM(OSRRefP22_21x_0)</f>
        <v>12108.07</v>
      </c>
      <c r="Q257" s="1"/>
      <c r="R257" s="5">
        <f t="shared" ref="R257:R259" si="115">IF(P$12=0,0,P257/P$12)</f>
        <v>2.0318209819935743E-3</v>
      </c>
      <c r="S257" s="1"/>
      <c r="T257" s="1">
        <f>SUM(OSRRefT22_21x_0)</f>
        <v>12366.91</v>
      </c>
      <c r="U257" s="1"/>
      <c r="V257" s="5">
        <f t="shared" ref="V257:V259" si="116">IF(T$12=0,0,T257/T$12)</f>
        <v>1.9942095325544483E-3</v>
      </c>
      <c r="W257" s="1"/>
      <c r="X257" s="1">
        <f t="shared" ref="X257:X259" si="117">+P257-T257</f>
        <v>-258.84000000000015</v>
      </c>
      <c r="Y257" s="1"/>
      <c r="Z257" s="5">
        <f t="shared" ref="Z257:Z259" si="118">IF(T257=0,0,X257/T257)</f>
        <v>-2.0930046389922796E-2</v>
      </c>
    </row>
    <row r="258" spans="1:26" s="24" customFormat="1" hidden="1" outlineLevel="2" x14ac:dyDescent="0.25">
      <c r="A258" s="26"/>
      <c r="B258" s="11" t="str">
        <f>CONCATENATE("          ", "6303", " - ", "DATA PHONE LINES")</f>
        <v xml:space="preserve">          6303 - DATA PHONE LINES</v>
      </c>
      <c r="C258" s="11"/>
      <c r="D258" s="6">
        <v>295</v>
      </c>
      <c r="E258" s="2"/>
      <c r="F258" s="7">
        <f t="shared" si="111"/>
        <v>4.7197020168934572E-4</v>
      </c>
      <c r="G258" s="2"/>
      <c r="H258" s="6"/>
      <c r="I258" s="2"/>
      <c r="J258" s="7">
        <f t="shared" si="112"/>
        <v>0</v>
      </c>
      <c r="K258" s="2"/>
      <c r="L258" s="6">
        <f t="shared" si="113"/>
        <v>295</v>
      </c>
      <c r="M258" s="2"/>
      <c r="N258" s="7">
        <f t="shared" si="114"/>
        <v>0</v>
      </c>
      <c r="O258" s="11"/>
      <c r="P258" s="6">
        <v>1180</v>
      </c>
      <c r="Q258" s="2"/>
      <c r="R258" s="7">
        <f t="shared" si="115"/>
        <v>1.9801246265940136E-4</v>
      </c>
      <c r="S258" s="2"/>
      <c r="T258" s="6">
        <v>590</v>
      </c>
      <c r="U258" s="2"/>
      <c r="V258" s="7">
        <f t="shared" si="116"/>
        <v>9.5139660934471471E-5</v>
      </c>
      <c r="W258" s="2"/>
      <c r="X258" s="6">
        <f t="shared" si="117"/>
        <v>590</v>
      </c>
      <c r="Y258" s="2"/>
      <c r="Z258" s="7">
        <f t="shared" si="118"/>
        <v>1</v>
      </c>
    </row>
    <row r="259" spans="1:26" s="24" customFormat="1" hidden="1" outlineLevel="2" x14ac:dyDescent="0.25">
      <c r="A259" s="26"/>
      <c r="B259" s="11" t="str">
        <f>CONCATENATE("          ", "6309", " - ", "TELEPHONE")</f>
        <v xml:space="preserve">          6309 - TELEPHONE</v>
      </c>
      <c r="C259" s="11"/>
      <c r="D259" s="6">
        <v>635.37</v>
      </c>
      <c r="E259" s="2"/>
      <c r="F259" s="7">
        <f t="shared" si="111"/>
        <v>1.0165278204995242E-3</v>
      </c>
      <c r="G259" s="2"/>
      <c r="H259" s="6">
        <v>1695.06</v>
      </c>
      <c r="I259" s="2"/>
      <c r="J259" s="7">
        <f t="shared" si="112"/>
        <v>2.6013632502537979E-3</v>
      </c>
      <c r="K259" s="2"/>
      <c r="L259" s="6">
        <f t="shared" si="113"/>
        <v>-1059.69</v>
      </c>
      <c r="M259" s="2"/>
      <c r="N259" s="7">
        <f t="shared" si="114"/>
        <v>-0.62516371101907897</v>
      </c>
      <c r="O259" s="11"/>
      <c r="P259" s="6">
        <v>10928.07</v>
      </c>
      <c r="Q259" s="2"/>
      <c r="R259" s="7">
        <f t="shared" si="115"/>
        <v>1.833808519334173E-3</v>
      </c>
      <c r="S259" s="2"/>
      <c r="T259" s="6">
        <v>11776.91</v>
      </c>
      <c r="U259" s="2"/>
      <c r="V259" s="7">
        <f t="shared" si="116"/>
        <v>1.8990698716199769E-3</v>
      </c>
      <c r="W259" s="2"/>
      <c r="X259" s="6">
        <f t="shared" si="117"/>
        <v>-848.84000000000015</v>
      </c>
      <c r="Y259" s="2"/>
      <c r="Z259" s="7">
        <f t="shared" si="118"/>
        <v>-7.2076631306514205E-2</v>
      </c>
    </row>
    <row r="260" spans="1:26" s="27" customFormat="1" outlineLevel="1" collapsed="1" x14ac:dyDescent="0.25">
      <c r="A260" s="25"/>
      <c r="B260" s="13" t="str">
        <f>CONCATENATE("     ","Training                                          ")</f>
        <v xml:space="preserve">     Training                                          </v>
      </c>
      <c r="C260" s="13"/>
      <c r="D260" s="1">
        <f>SUM(OSRRefD22_22x_0)</f>
        <v>3040.52</v>
      </c>
      <c r="E260" s="1"/>
      <c r="F260" s="5">
        <f t="shared" ref="F260:F265" si="119">IF(D$12=0,0,D260/D$12)</f>
        <v>4.8645248733575914E-3</v>
      </c>
      <c r="G260" s="1"/>
      <c r="H260" s="1">
        <f>SUM(OSRRefH22_22x_0)</f>
        <v>2406.16</v>
      </c>
      <c r="I260" s="1"/>
      <c r="J260" s="5">
        <f t="shared" ref="J260:J265" si="120">IF(H$12=0,0,H260/H$12)</f>
        <v>3.6926694029890848E-3</v>
      </c>
      <c r="K260" s="1"/>
      <c r="L260" s="1">
        <f t="shared" ref="L260:L265" si="121">+D260-H260</f>
        <v>634.36000000000013</v>
      </c>
      <c r="M260" s="1"/>
      <c r="N260" s="5">
        <f t="shared" ref="N260:N265" si="122">IF(H260=0,0,L260/H260)</f>
        <v>0.26363999069056099</v>
      </c>
      <c r="O260" s="13"/>
      <c r="P260" s="1">
        <f>SUM(OSRRefP22_22x_0)</f>
        <v>5460.76</v>
      </c>
      <c r="Q260" s="1"/>
      <c r="R260" s="5">
        <f t="shared" ref="R260:R265" si="123">IF(P$12=0,0,P260/P$12)</f>
        <v>9.1635469117962089E-4</v>
      </c>
      <c r="S260" s="1"/>
      <c r="T260" s="1">
        <f>SUM(OSRRefT22_22x_0)</f>
        <v>2230.9</v>
      </c>
      <c r="U260" s="1"/>
      <c r="V260" s="5">
        <f t="shared" ref="V260:V265" si="124">IF(T$12=0,0,T260/T$12)</f>
        <v>3.5974079589612271E-4</v>
      </c>
      <c r="W260" s="1"/>
      <c r="X260" s="1">
        <f t="shared" ref="X260:X265" si="125">+P260-T260</f>
        <v>3229.86</v>
      </c>
      <c r="Y260" s="1"/>
      <c r="Z260" s="5">
        <f t="shared" ref="Z260:Z265" si="126">IF(T260=0,0,X260/T260)</f>
        <v>1.4477834058003496</v>
      </c>
    </row>
    <row r="261" spans="1:26" s="24" customFormat="1" hidden="1" outlineLevel="2" x14ac:dyDescent="0.25">
      <c r="A261" s="26"/>
      <c r="B261" s="11" t="str">
        <f>CONCATENATE("          ", "6376", " - ", "TRAINING")</f>
        <v xml:space="preserve">          6376 - TRAINING</v>
      </c>
      <c r="C261" s="11"/>
      <c r="D261" s="6">
        <v>3040.52</v>
      </c>
      <c r="E261" s="2"/>
      <c r="F261" s="7">
        <f t="shared" si="119"/>
        <v>4.8645248733575914E-3</v>
      </c>
      <c r="G261" s="2"/>
      <c r="H261" s="6">
        <v>2406.16</v>
      </c>
      <c r="I261" s="2"/>
      <c r="J261" s="7">
        <f t="shared" si="120"/>
        <v>3.6926694029890848E-3</v>
      </c>
      <c r="K261" s="2"/>
      <c r="L261" s="6">
        <f t="shared" si="121"/>
        <v>634.36000000000013</v>
      </c>
      <c r="M261" s="2"/>
      <c r="N261" s="7">
        <f t="shared" si="122"/>
        <v>0.26363999069056099</v>
      </c>
      <c r="O261" s="11"/>
      <c r="P261" s="6">
        <v>5460.76</v>
      </c>
      <c r="Q261" s="2"/>
      <c r="R261" s="7">
        <f t="shared" si="123"/>
        <v>9.1635469117962089E-4</v>
      </c>
      <c r="S261" s="2"/>
      <c r="T261" s="6">
        <v>2230.9</v>
      </c>
      <c r="U261" s="2"/>
      <c r="V261" s="7">
        <f t="shared" si="124"/>
        <v>3.5974079589612271E-4</v>
      </c>
      <c r="W261" s="2"/>
      <c r="X261" s="6">
        <f t="shared" si="125"/>
        <v>3229.86</v>
      </c>
      <c r="Y261" s="2"/>
      <c r="Z261" s="7">
        <f t="shared" si="126"/>
        <v>1.4477834058003496</v>
      </c>
    </row>
    <row r="262" spans="1:26" s="27" customFormat="1" outlineLevel="1" collapsed="1" x14ac:dyDescent="0.25">
      <c r="A262" s="25"/>
      <c r="B262" s="13" t="str">
        <f>CONCATENATE("     ","Travel                                            ")</f>
        <v xml:space="preserve">     Travel                                            </v>
      </c>
      <c r="C262" s="13"/>
      <c r="D262" s="1">
        <f>SUM(OSRRefD22_23x_0)</f>
        <v>633.25</v>
      </c>
      <c r="E262" s="1"/>
      <c r="F262" s="5">
        <f t="shared" si="119"/>
        <v>1.013136034643316E-3</v>
      </c>
      <c r="G262" s="1"/>
      <c r="H262" s="1">
        <f>SUM(OSRRefH22_23x_0)</f>
        <v>287.03000000000003</v>
      </c>
      <c r="I262" s="1"/>
      <c r="J262" s="5">
        <f t="shared" si="120"/>
        <v>4.4049726482858878E-4</v>
      </c>
      <c r="K262" s="1"/>
      <c r="L262" s="1">
        <f t="shared" si="121"/>
        <v>346.21999999999997</v>
      </c>
      <c r="M262" s="1"/>
      <c r="N262" s="5">
        <f t="shared" si="122"/>
        <v>1.206215378183465</v>
      </c>
      <c r="O262" s="13"/>
      <c r="P262" s="1">
        <f>SUM(OSRRefP22_23x_0)</f>
        <v>1247.1099999999999</v>
      </c>
      <c r="Q262" s="1"/>
      <c r="R262" s="5">
        <f t="shared" si="123"/>
        <v>2.0927400195522544E-4</v>
      </c>
      <c r="S262" s="1"/>
      <c r="T262" s="1">
        <f>SUM(OSRRefT22_23x_0)</f>
        <v>1084.67</v>
      </c>
      <c r="U262" s="1"/>
      <c r="V262" s="5">
        <f t="shared" si="124"/>
        <v>1.7490701021320878E-4</v>
      </c>
      <c r="W262" s="1"/>
      <c r="X262" s="1">
        <f t="shared" si="125"/>
        <v>162.43999999999983</v>
      </c>
      <c r="Y262" s="1"/>
      <c r="Z262" s="5">
        <f t="shared" si="126"/>
        <v>0.14975983478846083</v>
      </c>
    </row>
    <row r="263" spans="1:26" s="24" customFormat="1" hidden="1" outlineLevel="2" x14ac:dyDescent="0.25">
      <c r="A263" s="26"/>
      <c r="B263" s="11" t="str">
        <f>CONCATENATE("          ", "6292", " - ", "TRAVEL/CONFERENCE")</f>
        <v xml:space="preserve">          6292 - TRAVEL/CONFERENCE</v>
      </c>
      <c r="C263" s="11"/>
      <c r="D263" s="6">
        <v>298.88</v>
      </c>
      <c r="E263" s="2"/>
      <c r="F263" s="7">
        <f t="shared" si="119"/>
        <v>4.781778097658022E-4</v>
      </c>
      <c r="G263" s="2"/>
      <c r="H263" s="6">
        <v>162.96</v>
      </c>
      <c r="I263" s="2"/>
      <c r="J263" s="7">
        <f t="shared" si="120"/>
        <v>2.5009035388797975E-4</v>
      </c>
      <c r="K263" s="2"/>
      <c r="L263" s="6">
        <f t="shared" si="121"/>
        <v>135.91999999999999</v>
      </c>
      <c r="M263" s="2"/>
      <c r="N263" s="7">
        <f t="shared" si="122"/>
        <v>0.83406971035837008</v>
      </c>
      <c r="O263" s="11"/>
      <c r="P263" s="6">
        <v>640.65</v>
      </c>
      <c r="Q263" s="2"/>
      <c r="R263" s="7">
        <f t="shared" si="123"/>
        <v>1.0750566457859786E-4</v>
      </c>
      <c r="S263" s="2"/>
      <c r="T263" s="6">
        <v>631.83000000000004</v>
      </c>
      <c r="U263" s="2"/>
      <c r="V263" s="7">
        <f t="shared" si="124"/>
        <v>1.0188490164106291E-4</v>
      </c>
      <c r="W263" s="2"/>
      <c r="X263" s="6">
        <f t="shared" si="125"/>
        <v>8.8199999999999363</v>
      </c>
      <c r="Y263" s="2"/>
      <c r="Z263" s="7">
        <f t="shared" si="126"/>
        <v>1.3959451118180422E-2</v>
      </c>
    </row>
    <row r="264" spans="1:26" s="24" customFormat="1" hidden="1" outlineLevel="2" x14ac:dyDescent="0.25">
      <c r="A264" s="26"/>
      <c r="B264" s="11" t="str">
        <f>CONCATENATE("          ", "6294", " - ", "TRAVEL OPERATIONAL")</f>
        <v xml:space="preserve">          6294 - TRAVEL OPERATIONAL</v>
      </c>
      <c r="C264" s="11"/>
      <c r="D264" s="6">
        <v>334.37</v>
      </c>
      <c r="E264" s="2"/>
      <c r="F264" s="7">
        <f t="shared" si="119"/>
        <v>5.3495822487751362E-4</v>
      </c>
      <c r="G264" s="2"/>
      <c r="H264" s="6">
        <v>81.83</v>
      </c>
      <c r="I264" s="2"/>
      <c r="J264" s="7">
        <f t="shared" si="120"/>
        <v>1.2558231258378362E-4</v>
      </c>
      <c r="K264" s="2"/>
      <c r="L264" s="6">
        <f t="shared" si="121"/>
        <v>252.54000000000002</v>
      </c>
      <c r="M264" s="2"/>
      <c r="N264" s="7">
        <f t="shared" si="122"/>
        <v>3.0861542221679095</v>
      </c>
      <c r="O264" s="11"/>
      <c r="P264" s="6">
        <v>436.47</v>
      </c>
      <c r="Q264" s="2"/>
      <c r="R264" s="7">
        <f t="shared" si="123"/>
        <v>7.3242796251651624E-5</v>
      </c>
      <c r="S264" s="2"/>
      <c r="T264" s="6">
        <v>337.6</v>
      </c>
      <c r="U264" s="2"/>
      <c r="V264" s="7">
        <f t="shared" si="124"/>
        <v>5.4439236494029782E-5</v>
      </c>
      <c r="W264" s="2"/>
      <c r="X264" s="6">
        <f t="shared" si="125"/>
        <v>98.87</v>
      </c>
      <c r="Y264" s="2"/>
      <c r="Z264" s="7">
        <f t="shared" si="126"/>
        <v>0.29286137440758292</v>
      </c>
    </row>
    <row r="265" spans="1:26" s="24" customFormat="1" hidden="1" outlineLevel="2" x14ac:dyDescent="0.25">
      <c r="A265" s="26"/>
      <c r="B265" s="11" t="str">
        <f>CONCATENATE("          ", "6298", " - ", "VEHICLE MILEAGE")</f>
        <v xml:space="preserve">          6298 - VEHICLE MILEAGE</v>
      </c>
      <c r="C265" s="11"/>
      <c r="D265" s="6"/>
      <c r="E265" s="2"/>
      <c r="F265" s="7">
        <f t="shared" si="119"/>
        <v>0</v>
      </c>
      <c r="G265" s="2"/>
      <c r="H265" s="6">
        <v>42.24</v>
      </c>
      <c r="I265" s="2"/>
      <c r="J265" s="7">
        <f t="shared" si="120"/>
        <v>6.4824598356825379E-5</v>
      </c>
      <c r="K265" s="2"/>
      <c r="L265" s="6">
        <f t="shared" si="121"/>
        <v>-42.24</v>
      </c>
      <c r="M265" s="2"/>
      <c r="N265" s="7">
        <f t="shared" si="122"/>
        <v>-1</v>
      </c>
      <c r="O265" s="11"/>
      <c r="P265" s="6">
        <v>169.99</v>
      </c>
      <c r="Q265" s="2"/>
      <c r="R265" s="7">
        <f t="shared" si="123"/>
        <v>2.8525541124975966E-5</v>
      </c>
      <c r="S265" s="2"/>
      <c r="T265" s="6">
        <v>115.24</v>
      </c>
      <c r="U265" s="2"/>
      <c r="V265" s="7">
        <f t="shared" si="124"/>
        <v>1.8582872078116087E-5</v>
      </c>
      <c r="W265" s="2"/>
      <c r="X265" s="6">
        <f t="shared" si="125"/>
        <v>54.750000000000014</v>
      </c>
      <c r="Y265" s="2"/>
      <c r="Z265" s="7">
        <f t="shared" si="126"/>
        <v>0.47509545296771971</v>
      </c>
    </row>
    <row r="266" spans="1:26" s="27" customFormat="1" outlineLevel="1" collapsed="1" x14ac:dyDescent="0.25">
      <c r="A266" s="25"/>
      <c r="B266" s="13" t="str">
        <f>CONCATENATE("     ","Utilities                                         ")</f>
        <v xml:space="preserve">     Utilities                                         </v>
      </c>
      <c r="C266" s="13"/>
      <c r="D266" s="1">
        <f>SUM(OSRRefD22_24x_0)</f>
        <v>5636.86</v>
      </c>
      <c r="E266" s="1"/>
      <c r="F266" s="5">
        <f t="shared" ref="F266:F267" si="127">IF(D$12=0,0,D266/D$12)</f>
        <v>9.0184066138800176E-3</v>
      </c>
      <c r="G266" s="1"/>
      <c r="H266" s="1">
        <f>SUM(OSRRefH22_24x_0)</f>
        <v>-1709.3</v>
      </c>
      <c r="I266" s="1"/>
      <c r="J266" s="5">
        <f t="shared" ref="J266:J267" si="128">IF(H$12=0,0,H266/H$12)</f>
        <v>-2.6232169974271216E-3</v>
      </c>
      <c r="K266" s="1"/>
      <c r="L266" s="1">
        <f t="shared" ref="L266:L267" si="129">+D266-H266</f>
        <v>7346.16</v>
      </c>
      <c r="M266" s="1"/>
      <c r="N266" s="5">
        <f t="shared" ref="N266:N267" si="130">IF(H266=0,0,L266/H266)</f>
        <v>-4.2977593166793424</v>
      </c>
      <c r="O266" s="13"/>
      <c r="P266" s="1">
        <f>SUM(OSRRefP22_24x_0)</f>
        <v>16974.66</v>
      </c>
      <c r="Q266" s="1"/>
      <c r="R266" s="5">
        <f t="shared" ref="R266:R267" si="131">IF(P$12=0,0,P266/P$12)</f>
        <v>2.8484696859373171E-3</v>
      </c>
      <c r="S266" s="1"/>
      <c r="T266" s="1">
        <f>SUM(OSRRefT22_24x_0)</f>
        <v>15273.249999999998</v>
      </c>
      <c r="U266" s="1"/>
      <c r="V266" s="5">
        <f t="shared" ref="V266:V267" si="132">IF(T$12=0,0,T266/T$12)</f>
        <v>2.4628675023176546E-3</v>
      </c>
      <c r="W266" s="1"/>
      <c r="X266" s="1">
        <f t="shared" ref="X266:X267" si="133">+P266-T266</f>
        <v>1701.4100000000017</v>
      </c>
      <c r="Y266" s="1"/>
      <c r="Z266" s="5">
        <f t="shared" ref="Z266:Z267" si="134">IF(T266=0,0,X266/T266)</f>
        <v>0.11139803250781607</v>
      </c>
    </row>
    <row r="267" spans="1:26" s="24" customFormat="1" hidden="1" outlineLevel="2" x14ac:dyDescent="0.25">
      <c r="A267" s="26"/>
      <c r="B267" s="11" t="str">
        <f>CONCATENATE("          ", "6274", " - ", "UTILITIES")</f>
        <v xml:space="preserve">          6274 - UTILITIES</v>
      </c>
      <c r="C267" s="11"/>
      <c r="D267" s="6">
        <v>5636.86</v>
      </c>
      <c r="E267" s="2"/>
      <c r="F267" s="7">
        <f t="shared" si="127"/>
        <v>9.0184066138800176E-3</v>
      </c>
      <c r="G267" s="2"/>
      <c r="H267" s="6">
        <v>-1709.3</v>
      </c>
      <c r="I267" s="2"/>
      <c r="J267" s="7">
        <f t="shared" si="128"/>
        <v>-2.6232169974271216E-3</v>
      </c>
      <c r="K267" s="2"/>
      <c r="L267" s="6">
        <f t="shared" si="129"/>
        <v>7346.16</v>
      </c>
      <c r="M267" s="2"/>
      <c r="N267" s="7">
        <f t="shared" si="130"/>
        <v>-4.2977593166793424</v>
      </c>
      <c r="O267" s="11"/>
      <c r="P267" s="6">
        <v>16974.66</v>
      </c>
      <c r="Q267" s="2"/>
      <c r="R267" s="7">
        <f t="shared" si="131"/>
        <v>2.8484696859373171E-3</v>
      </c>
      <c r="S267" s="2"/>
      <c r="T267" s="6">
        <v>15273.249999999998</v>
      </c>
      <c r="U267" s="2"/>
      <c r="V267" s="7">
        <f t="shared" si="132"/>
        <v>2.4628675023176546E-3</v>
      </c>
      <c r="W267" s="2"/>
      <c r="X267" s="6">
        <f t="shared" si="133"/>
        <v>1701.4100000000017</v>
      </c>
      <c r="Y267" s="2"/>
      <c r="Z267" s="7">
        <f t="shared" si="134"/>
        <v>0.11139803250781607</v>
      </c>
    </row>
    <row r="268" spans="1:26" s="55" customFormat="1" x14ac:dyDescent="0.25">
      <c r="A268" s="37"/>
      <c r="B268" s="37"/>
      <c r="C268" s="37"/>
      <c r="D268" s="1"/>
      <c r="E268" s="1"/>
      <c r="F268" s="5"/>
      <c r="G268" s="1"/>
      <c r="H268" s="1"/>
      <c r="I268" s="1"/>
      <c r="J268" s="5"/>
      <c r="K268" s="1"/>
      <c r="L268" s="1"/>
      <c r="M268" s="1"/>
      <c r="N268" s="5"/>
      <c r="O268" s="37"/>
      <c r="P268" s="1"/>
      <c r="Q268" s="1"/>
      <c r="R268" s="5"/>
      <c r="S268" s="1"/>
      <c r="T268" s="1"/>
      <c r="U268" s="1"/>
      <c r="V268" s="5"/>
      <c r="W268" s="1"/>
      <c r="X268" s="1"/>
      <c r="Y268" s="1"/>
      <c r="Z268" s="5"/>
    </row>
    <row r="269" spans="1:26" s="23" customFormat="1" collapsed="1" x14ac:dyDescent="0.25">
      <c r="A269" s="10"/>
      <c r="B269" s="29" t="s">
        <v>0</v>
      </c>
      <c r="C269" s="10"/>
      <c r="D269" s="4">
        <f>SUM(OSRRefD25x_0)</f>
        <v>138596.53</v>
      </c>
      <c r="E269" s="4"/>
      <c r="F269" s="12">
        <f t="shared" ref="F269:F279" si="135">IF(D$12=0,0,D269/D$12)</f>
        <v>0.22174044819506256</v>
      </c>
      <c r="G269" s="4"/>
      <c r="H269" s="4">
        <f>SUM(OSRRefH25x_0)</f>
        <v>87156.829999999987</v>
      </c>
      <c r="I269" s="4"/>
      <c r="J269" s="12">
        <f t="shared" ref="J269:J279" si="136">IF(H$12=0,0,H269/H$12)</f>
        <v>0.13375725612699119</v>
      </c>
      <c r="K269" s="4"/>
      <c r="L269" s="4">
        <f t="shared" ref="L269:L279" si="137">+D269-H269</f>
        <v>51439.700000000012</v>
      </c>
      <c r="M269" s="4"/>
      <c r="N269" s="12">
        <f t="shared" ref="N269:N279" si="138">IF(H269=0,0,L269/H269)</f>
        <v>0.5901970046409446</v>
      </c>
      <c r="O269" s="10"/>
      <c r="P269" s="4">
        <f>SUM(OSRRefP25x_0)</f>
        <v>385285.94</v>
      </c>
      <c r="Q269" s="4"/>
      <c r="R269" s="12">
        <f t="shared" ref="R269:R279" si="139">IF(P$12=0,0,P269/P$12)</f>
        <v>6.4653743904612163E-2</v>
      </c>
      <c r="S269" s="4"/>
      <c r="T269" s="4">
        <f>SUM(OSRRefT25x_0)</f>
        <v>322995.64</v>
      </c>
      <c r="U269" s="4"/>
      <c r="V269" s="12">
        <f t="shared" ref="V269:V279" si="140">IF(T$12=0,0,T269/T$12)</f>
        <v>5.2084229954089171E-2</v>
      </c>
      <c r="W269" s="4"/>
      <c r="X269" s="4">
        <f t="shared" ref="X269:X279" si="141">+P269-T269</f>
        <v>62290.299999999988</v>
      </c>
      <c r="Y269" s="4"/>
      <c r="Z269" s="12">
        <f t="shared" ref="Z269:Z279" si="142">IF(T269=0,0,X269/T269)</f>
        <v>0.19285182920735397</v>
      </c>
    </row>
    <row r="270" spans="1:26" s="24" customFormat="1" hidden="1" outlineLevel="1" x14ac:dyDescent="0.25">
      <c r="A270" s="44"/>
      <c r="B270" s="11" t="str">
        <f>CONCATENATE("          ", "4098", " - ", "TAXABLE SALES-GRAD RENTALS")</f>
        <v xml:space="preserve">          4098 - TAXABLE SALES-GRAD RENTALS</v>
      </c>
      <c r="C270" s="11"/>
      <c r="D270" s="2">
        <f>0</f>
        <v>0</v>
      </c>
      <c r="E270" s="2"/>
      <c r="F270" s="19">
        <f t="shared" si="135"/>
        <v>0</v>
      </c>
      <c r="G270" s="2"/>
      <c r="H270" s="2">
        <f>0</f>
        <v>0</v>
      </c>
      <c r="I270" s="2"/>
      <c r="J270" s="19">
        <f t="shared" si="136"/>
        <v>0</v>
      </c>
      <c r="K270" s="2"/>
      <c r="L270" s="2">
        <f t="shared" si="137"/>
        <v>0</v>
      </c>
      <c r="M270" s="2"/>
      <c r="N270" s="19">
        <f t="shared" si="138"/>
        <v>0</v>
      </c>
      <c r="O270" s="11"/>
      <c r="P270" s="2">
        <f>--1626.85</f>
        <v>1626.85</v>
      </c>
      <c r="Q270" s="2"/>
      <c r="R270" s="19">
        <f t="shared" si="139"/>
        <v>2.7299709735376874E-4</v>
      </c>
      <c r="S270" s="2"/>
      <c r="T270" s="2">
        <f>0</f>
        <v>0</v>
      </c>
      <c r="U270" s="2"/>
      <c r="V270" s="19">
        <f t="shared" si="140"/>
        <v>0</v>
      </c>
      <c r="W270" s="2"/>
      <c r="X270" s="2">
        <f t="shared" si="141"/>
        <v>1626.85</v>
      </c>
      <c r="Y270" s="2"/>
      <c r="Z270" s="19">
        <f t="shared" si="142"/>
        <v>0</v>
      </c>
    </row>
    <row r="271" spans="1:26" s="24" customFormat="1" hidden="1" outlineLevel="1" x14ac:dyDescent="0.25">
      <c r="A271" s="44"/>
      <c r="B271" s="11" t="str">
        <f>CONCATENATE("          ", "4187", " - ", "NON-TAXABLE SALES-COMPUTER REP")</f>
        <v xml:space="preserve">          4187 - NON-TAXABLE SALES-COMPUTER REP</v>
      </c>
      <c r="C271" s="11"/>
      <c r="D271" s="2">
        <f>--4407.89</f>
        <v>4407.8900000000003</v>
      </c>
      <c r="E271" s="2"/>
      <c r="F271" s="19">
        <f t="shared" si="135"/>
        <v>7.0521787536422043E-3</v>
      </c>
      <c r="G271" s="2"/>
      <c r="H271" s="2">
        <f>--258.38</f>
        <v>258.38</v>
      </c>
      <c r="I271" s="2"/>
      <c r="J271" s="19">
        <f t="shared" si="136"/>
        <v>3.9652887602832719E-4</v>
      </c>
      <c r="K271" s="2"/>
      <c r="L271" s="2">
        <f t="shared" si="137"/>
        <v>4149.51</v>
      </c>
      <c r="M271" s="2"/>
      <c r="N271" s="19">
        <f t="shared" si="138"/>
        <v>16.059718244446167</v>
      </c>
      <c r="O271" s="11"/>
      <c r="P271" s="2">
        <f>--11782.69</f>
        <v>11782.69</v>
      </c>
      <c r="Q271" s="2"/>
      <c r="R271" s="19">
        <f t="shared" si="139"/>
        <v>1.9772198844511036E-3</v>
      </c>
      <c r="S271" s="2"/>
      <c r="T271" s="2">
        <f>--4259.72</f>
        <v>4259.72</v>
      </c>
      <c r="U271" s="2"/>
      <c r="V271" s="19">
        <f t="shared" si="140"/>
        <v>6.8689545165387595E-4</v>
      </c>
      <c r="W271" s="2"/>
      <c r="X271" s="2">
        <f t="shared" si="141"/>
        <v>7522.97</v>
      </c>
      <c r="Y271" s="2"/>
      <c r="Z271" s="19">
        <f t="shared" si="142"/>
        <v>1.7660714788765459</v>
      </c>
    </row>
    <row r="272" spans="1:26" s="24" customFormat="1" hidden="1" outlineLevel="1" x14ac:dyDescent="0.25">
      <c r="A272" s="44"/>
      <c r="B272" s="11" t="str">
        <f>CONCATENATE("          ", "4197", " - ", "NON-TAXABLE SALES-RETURNED CHE")</f>
        <v xml:space="preserve">          4197 - NON-TAXABLE SALES-RETURNED CHE</v>
      </c>
      <c r="C272" s="11"/>
      <c r="D272" s="2">
        <f t="shared" ref="D272:D273" si="143">0</f>
        <v>0</v>
      </c>
      <c r="E272" s="2"/>
      <c r="F272" s="19">
        <f t="shared" si="135"/>
        <v>0</v>
      </c>
      <c r="G272" s="2"/>
      <c r="H272" s="2">
        <f>--10</f>
        <v>10</v>
      </c>
      <c r="I272" s="2"/>
      <c r="J272" s="19">
        <f t="shared" si="136"/>
        <v>1.534673256553631E-5</v>
      </c>
      <c r="K272" s="2"/>
      <c r="L272" s="2">
        <f t="shared" si="137"/>
        <v>-10</v>
      </c>
      <c r="M272" s="2"/>
      <c r="N272" s="19">
        <f t="shared" si="138"/>
        <v>-1</v>
      </c>
      <c r="O272" s="11"/>
      <c r="P272" s="2">
        <f>--30</f>
        <v>30</v>
      </c>
      <c r="Q272" s="2"/>
      <c r="R272" s="19">
        <f t="shared" si="139"/>
        <v>5.0342151523576621E-6</v>
      </c>
      <c r="S272" s="2"/>
      <c r="T272" s="2">
        <f>--260</f>
        <v>260</v>
      </c>
      <c r="U272" s="2"/>
      <c r="V272" s="19">
        <f t="shared" si="140"/>
        <v>4.1925952276207768E-5</v>
      </c>
      <c r="W272" s="2"/>
      <c r="X272" s="2">
        <f t="shared" si="141"/>
        <v>-230</v>
      </c>
      <c r="Y272" s="2"/>
      <c r="Z272" s="19">
        <f t="shared" si="142"/>
        <v>-0.88461538461538458</v>
      </c>
    </row>
    <row r="273" spans="1:26" s="24" customFormat="1" hidden="1" outlineLevel="1" x14ac:dyDescent="0.25">
      <c r="A273" s="44"/>
      <c r="B273" s="11" t="str">
        <f>CONCATENATE("          ", "4198", " - ", "NON-TAXABLE SALES-GRAD RENTALS")</f>
        <v xml:space="preserve">          4198 - NON-TAXABLE SALES-GRAD RENTALS</v>
      </c>
      <c r="C273" s="11"/>
      <c r="D273" s="2">
        <f t="shared" si="143"/>
        <v>0</v>
      </c>
      <c r="E273" s="2"/>
      <c r="F273" s="19">
        <f t="shared" si="135"/>
        <v>0</v>
      </c>
      <c r="G273" s="2"/>
      <c r="H273" s="2">
        <f t="shared" ref="H273:H274" si="144">0</f>
        <v>0</v>
      </c>
      <c r="I273" s="2"/>
      <c r="J273" s="19">
        <f t="shared" si="136"/>
        <v>0</v>
      </c>
      <c r="K273" s="2"/>
      <c r="L273" s="2">
        <f t="shared" si="137"/>
        <v>0</v>
      </c>
      <c r="M273" s="2"/>
      <c r="N273" s="19">
        <f t="shared" si="138"/>
        <v>0</v>
      </c>
      <c r="O273" s="11"/>
      <c r="P273" s="2">
        <f>--495</f>
        <v>495</v>
      </c>
      <c r="Q273" s="2"/>
      <c r="R273" s="19">
        <f t="shared" si="139"/>
        <v>8.3064550013901424E-5</v>
      </c>
      <c r="S273" s="2"/>
      <c r="T273" s="2">
        <f>--435</f>
        <v>435</v>
      </c>
      <c r="U273" s="2"/>
      <c r="V273" s="19">
        <f t="shared" si="140"/>
        <v>7.0145343231347614E-5</v>
      </c>
      <c r="W273" s="2"/>
      <c r="X273" s="2">
        <f t="shared" si="141"/>
        <v>60</v>
      </c>
      <c r="Y273" s="2"/>
      <c r="Z273" s="19">
        <f t="shared" si="142"/>
        <v>0.13793103448275862</v>
      </c>
    </row>
    <row r="274" spans="1:26" s="24" customFormat="1" hidden="1" outlineLevel="1" x14ac:dyDescent="0.25">
      <c r="A274" s="44"/>
      <c r="B274" s="11" t="str">
        <f>CONCATENATE("          ", "4387", " - ", "SALES RETURN NON TAXABLE-COMPU")</f>
        <v xml:space="preserve">          4387 - SALES RETURN NON TAXABLE-COMPU</v>
      </c>
      <c r="C274" s="11"/>
      <c r="D274" s="2">
        <f>-350.05</f>
        <v>-350.05</v>
      </c>
      <c r="E274" s="2"/>
      <c r="F274" s="19">
        <f t="shared" si="135"/>
        <v>-5.60044641021544E-4</v>
      </c>
      <c r="G274" s="2"/>
      <c r="H274" s="2">
        <f t="shared" si="144"/>
        <v>0</v>
      </c>
      <c r="I274" s="2"/>
      <c r="J274" s="19">
        <f t="shared" si="136"/>
        <v>0</v>
      </c>
      <c r="K274" s="2"/>
      <c r="L274" s="2">
        <f t="shared" si="137"/>
        <v>-350.05</v>
      </c>
      <c r="M274" s="2"/>
      <c r="N274" s="19">
        <f t="shared" si="138"/>
        <v>0</v>
      </c>
      <c r="O274" s="11"/>
      <c r="P274" s="2">
        <f>-6790.75</f>
        <v>-6790.75</v>
      </c>
      <c r="Q274" s="2"/>
      <c r="R274" s="19">
        <f t="shared" si="139"/>
        <v>-1.139536551529093E-3</v>
      </c>
      <c r="S274" s="2"/>
      <c r="T274" s="2">
        <f>0</f>
        <v>0</v>
      </c>
      <c r="U274" s="2"/>
      <c r="V274" s="19">
        <f t="shared" si="140"/>
        <v>0</v>
      </c>
      <c r="W274" s="2"/>
      <c r="X274" s="2">
        <f t="shared" si="141"/>
        <v>-6790.75</v>
      </c>
      <c r="Y274" s="2"/>
      <c r="Z274" s="19">
        <f t="shared" si="142"/>
        <v>0</v>
      </c>
    </row>
    <row r="275" spans="1:26" s="24" customFormat="1" hidden="1" outlineLevel="1" x14ac:dyDescent="0.25">
      <c r="A275" s="44"/>
      <c r="B275" s="11" t="str">
        <f>CONCATENATE("          ", "9150", " - ", "MISC. INCOME")</f>
        <v xml:space="preserve">          9150 - MISC. INCOME</v>
      </c>
      <c r="C275" s="11"/>
      <c r="D275" s="2">
        <f>--69348.3</f>
        <v>69348.3</v>
      </c>
      <c r="E275" s="2"/>
      <c r="F275" s="19">
        <f t="shared" si="135"/>
        <v>0.11095027504343477</v>
      </c>
      <c r="G275" s="2"/>
      <c r="H275" s="2">
        <f>--85301.68</f>
        <v>85301.68</v>
      </c>
      <c r="I275" s="2"/>
      <c r="J275" s="19">
        <f t="shared" si="136"/>
        <v>0.13091020703509573</v>
      </c>
      <c r="K275" s="2"/>
      <c r="L275" s="2">
        <f t="shared" si="137"/>
        <v>-15953.37999999999</v>
      </c>
      <c r="M275" s="2"/>
      <c r="N275" s="19">
        <f t="shared" si="138"/>
        <v>-0.1870230457360276</v>
      </c>
      <c r="O275" s="11"/>
      <c r="P275" s="2">
        <f>--207947.23</f>
        <v>207947.23</v>
      </c>
      <c r="Q275" s="2"/>
      <c r="R275" s="19">
        <f t="shared" si="139"/>
        <v>3.4895036538560124E-2</v>
      </c>
      <c r="S275" s="2"/>
      <c r="T275" s="2">
        <f>--313884.03</f>
        <v>313884.03000000003</v>
      </c>
      <c r="U275" s="2"/>
      <c r="V275" s="19">
        <f t="shared" si="140"/>
        <v>5.0614949469399109E-2</v>
      </c>
      <c r="W275" s="2"/>
      <c r="X275" s="2">
        <f t="shared" si="141"/>
        <v>-105936.80000000002</v>
      </c>
      <c r="Y275" s="2"/>
      <c r="Z275" s="19">
        <f t="shared" si="142"/>
        <v>-0.33750299433838671</v>
      </c>
    </row>
    <row r="276" spans="1:26" s="24" customFormat="1" hidden="1" outlineLevel="1" x14ac:dyDescent="0.25">
      <c r="A276" s="44"/>
      <c r="B276" s="11" t="str">
        <f>CONCATENATE("          ", "9151", " - ", "MISC. INCOME")</f>
        <v xml:space="preserve">          9151 - MISC. INCOME</v>
      </c>
      <c r="C276" s="11"/>
      <c r="D276" s="2">
        <f>--4030.76</f>
        <v>4030.76</v>
      </c>
      <c r="E276" s="2"/>
      <c r="F276" s="19">
        <f t="shared" si="135"/>
        <v>6.4488088480045671E-3</v>
      </c>
      <c r="G276" s="2"/>
      <c r="H276" s="2">
        <f>-411.02</f>
        <v>-411.02</v>
      </c>
      <c r="I276" s="2"/>
      <c r="J276" s="19">
        <f t="shared" si="136"/>
        <v>-6.3078140190867341E-4</v>
      </c>
      <c r="K276" s="2"/>
      <c r="L276" s="2">
        <f t="shared" si="137"/>
        <v>4441.7800000000007</v>
      </c>
      <c r="M276" s="2"/>
      <c r="N276" s="19">
        <f t="shared" si="138"/>
        <v>-10.806724733589608</v>
      </c>
      <c r="O276" s="11"/>
      <c r="P276" s="2">
        <f>--87224.27</f>
        <v>87224.27</v>
      </c>
      <c r="Q276" s="2"/>
      <c r="R276" s="19">
        <f t="shared" si="139"/>
        <v>1.4636858056244529E-2</v>
      </c>
      <c r="S276" s="2"/>
      <c r="T276" s="2">
        <f>--649.77</f>
        <v>649.77</v>
      </c>
      <c r="U276" s="2"/>
      <c r="V276" s="19">
        <f t="shared" si="140"/>
        <v>1.0477779234812123E-4</v>
      </c>
      <c r="W276" s="2"/>
      <c r="X276" s="2">
        <f t="shared" si="141"/>
        <v>86574.5</v>
      </c>
      <c r="Y276" s="2"/>
      <c r="Z276" s="19">
        <f t="shared" si="142"/>
        <v>133.23868445757731</v>
      </c>
    </row>
    <row r="277" spans="1:26" s="24" customFormat="1" hidden="1" outlineLevel="1" x14ac:dyDescent="0.25">
      <c r="A277" s="44"/>
      <c r="B277" s="11" t="str">
        <f>CONCATENATE("          ", "9152", " - ", "MISC. INCOME")</f>
        <v xml:space="preserve">          9152 - MISC. INCOME</v>
      </c>
      <c r="C277" s="11"/>
      <c r="D277" s="2">
        <f>--53.08</f>
        <v>53.08</v>
      </c>
      <c r="E277" s="2"/>
      <c r="F277" s="19">
        <f t="shared" si="135"/>
        <v>8.4922638324306686E-5</v>
      </c>
      <c r="G277" s="2"/>
      <c r="H277" s="2">
        <f>--1707.79</f>
        <v>1707.79</v>
      </c>
      <c r="I277" s="2"/>
      <c r="J277" s="19">
        <f t="shared" si="136"/>
        <v>2.6208996408097255E-3</v>
      </c>
      <c r="K277" s="2"/>
      <c r="L277" s="2">
        <f t="shared" si="137"/>
        <v>-1654.71</v>
      </c>
      <c r="M277" s="2"/>
      <c r="N277" s="19">
        <f t="shared" si="138"/>
        <v>-0.96891889518032082</v>
      </c>
      <c r="O277" s="11"/>
      <c r="P277" s="2">
        <f>--694.1</f>
        <v>694.1</v>
      </c>
      <c r="Q277" s="2"/>
      <c r="R277" s="19">
        <f t="shared" si="139"/>
        <v>1.1647495790838178E-4</v>
      </c>
      <c r="S277" s="2"/>
      <c r="T277" s="2">
        <f>--3217.12</f>
        <v>3217.12</v>
      </c>
      <c r="U277" s="2"/>
      <c r="V277" s="19">
        <f t="shared" si="140"/>
        <v>5.1877238302628281E-4</v>
      </c>
      <c r="W277" s="2"/>
      <c r="X277" s="2">
        <f t="shared" si="141"/>
        <v>-2523.02</v>
      </c>
      <c r="Y277" s="2"/>
      <c r="Z277" s="19">
        <f t="shared" si="142"/>
        <v>-0.78424802307654051</v>
      </c>
    </row>
    <row r="278" spans="1:26" s="24" customFormat="1" hidden="1" outlineLevel="1" x14ac:dyDescent="0.25">
      <c r="A278" s="44"/>
      <c r="B278" s="11" t="str">
        <f>CONCATENATE("          ", "9160", " - ", "MISC. INCOME")</f>
        <v xml:space="preserve">          9160 - MISC. INCOME</v>
      </c>
      <c r="C278" s="11"/>
      <c r="D278" s="2">
        <f>0</f>
        <v>0</v>
      </c>
      <c r="E278" s="2"/>
      <c r="F278" s="19">
        <f t="shared" si="135"/>
        <v>0</v>
      </c>
      <c r="G278" s="2"/>
      <c r="H278" s="2">
        <f>--290</f>
        <v>290</v>
      </c>
      <c r="I278" s="2"/>
      <c r="J278" s="19">
        <f t="shared" si="136"/>
        <v>4.4505524440055305E-4</v>
      </c>
      <c r="K278" s="2"/>
      <c r="L278" s="2">
        <f t="shared" si="137"/>
        <v>-290</v>
      </c>
      <c r="M278" s="2"/>
      <c r="N278" s="19">
        <f t="shared" si="138"/>
        <v>-1</v>
      </c>
      <c r="O278" s="11"/>
      <c r="P278" s="2">
        <f>--21170</f>
        <v>21170</v>
      </c>
      <c r="Q278" s="2"/>
      <c r="R278" s="19">
        <f t="shared" si="139"/>
        <v>3.5524778258470566E-3</v>
      </c>
      <c r="S278" s="2"/>
      <c r="T278" s="2">
        <f>--290</f>
        <v>290</v>
      </c>
      <c r="U278" s="2"/>
      <c r="V278" s="19">
        <f t="shared" si="140"/>
        <v>4.676356215423174E-5</v>
      </c>
      <c r="W278" s="2"/>
      <c r="X278" s="2">
        <f t="shared" si="141"/>
        <v>20880</v>
      </c>
      <c r="Y278" s="2"/>
      <c r="Z278" s="19">
        <f t="shared" si="142"/>
        <v>72</v>
      </c>
    </row>
    <row r="279" spans="1:26" s="24" customFormat="1" hidden="1" outlineLevel="1" x14ac:dyDescent="0.25">
      <c r="A279" s="44"/>
      <c r="B279" s="11" t="str">
        <f>CONCATENATE("          ", "9163", " - ", "MISC. INCOME")</f>
        <v xml:space="preserve">          9163 - MISC. INCOME</v>
      </c>
      <c r="C279" s="11"/>
      <c r="D279" s="2">
        <f>--61106.55</f>
        <v>61106.55</v>
      </c>
      <c r="E279" s="2"/>
      <c r="F279" s="19">
        <f t="shared" si="135"/>
        <v>9.7764307552678273E-2</v>
      </c>
      <c r="G279" s="2"/>
      <c r="H279" s="2">
        <f>0</f>
        <v>0</v>
      </c>
      <c r="I279" s="2"/>
      <c r="J279" s="19">
        <f t="shared" si="136"/>
        <v>0</v>
      </c>
      <c r="K279" s="2"/>
      <c r="L279" s="2">
        <f t="shared" si="137"/>
        <v>61106.55</v>
      </c>
      <c r="M279" s="2"/>
      <c r="N279" s="19">
        <f t="shared" si="138"/>
        <v>0</v>
      </c>
      <c r="O279" s="11"/>
      <c r="P279" s="2">
        <f>--61106.55</f>
        <v>61106.55</v>
      </c>
      <c r="Q279" s="2"/>
      <c r="R279" s="19">
        <f t="shared" si="139"/>
        <v>1.0254117330610036E-2</v>
      </c>
      <c r="S279" s="2"/>
      <c r="T279" s="2">
        <f>0</f>
        <v>0</v>
      </c>
      <c r="U279" s="2"/>
      <c r="V279" s="19">
        <f t="shared" si="140"/>
        <v>0</v>
      </c>
      <c r="W279" s="2"/>
      <c r="X279" s="2">
        <f t="shared" si="141"/>
        <v>61106.55</v>
      </c>
      <c r="Y279" s="2"/>
      <c r="Z279" s="19">
        <f t="shared" si="142"/>
        <v>0</v>
      </c>
    </row>
    <row r="280" spans="1:26" x14ac:dyDescent="0.25">
      <c r="A280" s="9"/>
      <c r="B280" s="10"/>
      <c r="C280" s="10"/>
      <c r="D280" s="3"/>
      <c r="E280" s="3"/>
      <c r="F280" s="8"/>
      <c r="G280" s="3"/>
      <c r="H280" s="3"/>
      <c r="I280" s="3"/>
      <c r="J280" s="8"/>
      <c r="K280" s="3"/>
      <c r="L280" s="3"/>
      <c r="M280" s="3"/>
      <c r="N280" s="8"/>
      <c r="O280" s="10"/>
      <c r="P280" s="3"/>
      <c r="Q280" s="3"/>
      <c r="R280" s="8"/>
      <c r="S280" s="3"/>
      <c r="T280" s="3"/>
      <c r="U280" s="3"/>
      <c r="V280" s="8"/>
      <c r="W280" s="3"/>
      <c r="X280" s="3"/>
      <c r="Y280" s="3"/>
      <c r="Z280" s="8"/>
    </row>
    <row r="281" spans="1:26" s="23" customFormat="1" x14ac:dyDescent="0.25">
      <c r="A281" s="10"/>
      <c r="B281" s="28" t="s">
        <v>3</v>
      </c>
      <c r="C281" s="28"/>
      <c r="D281" s="21">
        <f>+D181-D183+D269</f>
        <v>6168.8200000005018</v>
      </c>
      <c r="E281" s="14"/>
      <c r="F281" s="22">
        <f>IF(D$12=0,0,D281/D$12)</f>
        <v>9.86948887995087E-3</v>
      </c>
      <c r="G281" s="14"/>
      <c r="H281" s="21">
        <f>+H181-H183+H269</f>
        <v>-60452.080000000453</v>
      </c>
      <c r="I281" s="14"/>
      <c r="J281" s="22">
        <f>IF(H$12=0,0,H281/H$12)</f>
        <v>-9.2774190479041327E-2</v>
      </c>
      <c r="K281" s="16"/>
      <c r="L281" s="21">
        <f>+D281-H281</f>
        <v>66620.900000000955</v>
      </c>
      <c r="M281" s="16"/>
      <c r="N281" s="22">
        <f>IF(H281=0,0,L281/H281)</f>
        <v>-1.1020447931651063</v>
      </c>
      <c r="O281" s="29"/>
      <c r="P281" s="21">
        <f>+P181-P183+P269</f>
        <v>686490.03</v>
      </c>
      <c r="Q281" s="14"/>
      <c r="R281" s="22">
        <f>IF(P$12=0,0,P281/P$12)</f>
        <v>0.11519795036561553</v>
      </c>
      <c r="S281" s="14"/>
      <c r="T281" s="21">
        <f>+T181-T183+T269</f>
        <v>597410.68999999983</v>
      </c>
      <c r="U281" s="14"/>
      <c r="V281" s="22">
        <f>IF(T$12=0,0,T281/T$12)</f>
        <v>9.6334661839370561E-2</v>
      </c>
      <c r="W281" s="16"/>
      <c r="X281" s="21">
        <f>+P281-T281</f>
        <v>89079.3400000002</v>
      </c>
      <c r="Y281" s="16"/>
      <c r="Z281" s="22">
        <f>IF(T281=0,0,X281/T281)</f>
        <v>0.14910904925387294</v>
      </c>
    </row>
    <row r="282" spans="1:26" x14ac:dyDescent="0.25">
      <c r="A282" s="9"/>
      <c r="B282" s="10"/>
      <c r="C282" s="9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3" customFormat="1" x14ac:dyDescent="0.25">
      <c r="A283" s="51"/>
      <c r="B283" s="10" t="s">
        <v>13</v>
      </c>
      <c r="C283" s="10"/>
      <c r="D283" s="4">
        <v>26908.63</v>
      </c>
      <c r="E283" s="4"/>
      <c r="F283" s="12">
        <f>IF(D$12=0,0,D283/D$12)</f>
        <v>4.3051089926386371E-2</v>
      </c>
      <c r="G283" s="4"/>
      <c r="H283" s="4">
        <v>76452.03</v>
      </c>
      <c r="I283" s="4"/>
      <c r="J283" s="12">
        <f>IF(H$12=0,0,H283/H$12)</f>
        <v>0.1173288858502359</v>
      </c>
      <c r="K283" s="4"/>
      <c r="L283" s="4">
        <f>+D283-H283</f>
        <v>-49543.399999999994</v>
      </c>
      <c r="M283" s="4"/>
      <c r="N283" s="12">
        <f>IF(H283=0,0,L283/H283)</f>
        <v>-0.64803249828683418</v>
      </c>
      <c r="O283" s="10"/>
      <c r="P283" s="4">
        <v>599870.38</v>
      </c>
      <c r="Q283" s="4"/>
      <c r="R283" s="12">
        <f>IF(P$12=0,0,P283/P$12)</f>
        <v>0.10066255188155163</v>
      </c>
      <c r="S283" s="4"/>
      <c r="T283" s="4">
        <v>569536.14</v>
      </c>
      <c r="U283" s="4"/>
      <c r="V283" s="12">
        <f>IF(T$12=0,0,T283/T$12)</f>
        <v>9.1839788558521485E-2</v>
      </c>
      <c r="W283" s="4"/>
      <c r="X283" s="4">
        <f>+P283-T283</f>
        <v>30334.239999999991</v>
      </c>
      <c r="Y283" s="4"/>
      <c r="Z283" s="12">
        <f>IF(T283=0,0,X283/T283)</f>
        <v>5.3261308404414842E-2</v>
      </c>
    </row>
    <row r="284" spans="1:26" x14ac:dyDescent="0.25">
      <c r="A284" s="9"/>
      <c r="B284" s="10"/>
      <c r="C284" s="10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O284" s="10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s="23" customFormat="1" ht="15.75" thickBot="1" x14ac:dyDescent="0.3">
      <c r="A285" s="10"/>
      <c r="B285" s="28" t="s">
        <v>4</v>
      </c>
      <c r="C285" s="28"/>
      <c r="D285" s="31">
        <f>+D281-D283</f>
        <v>-20739.809999999499</v>
      </c>
      <c r="E285" s="14"/>
      <c r="F285" s="34">
        <f>IF(D$12=0,0,D285/D$12)</f>
        <v>-3.3181601046435499E-2</v>
      </c>
      <c r="G285" s="14"/>
      <c r="H285" s="31">
        <f>+H281-H283</f>
        <v>-136904.11000000045</v>
      </c>
      <c r="I285" s="14"/>
      <c r="J285" s="34">
        <f>IF(H$12=0,0,H285/H$12)</f>
        <v>-0.21010307632927724</v>
      </c>
      <c r="K285" s="16"/>
      <c r="L285" s="31">
        <f>D285-H285</f>
        <v>116164.30000000095</v>
      </c>
      <c r="M285" s="16"/>
      <c r="N285" s="34">
        <f>IF(H285=0,0,L285/H285)</f>
        <v>-0.84850849255000871</v>
      </c>
      <c r="O285" s="29"/>
      <c r="P285" s="31">
        <f>+P281-P283</f>
        <v>86619.650000000023</v>
      </c>
      <c r="Q285" s="14"/>
      <c r="R285" s="34">
        <f>IF(P$12=0,0,P285/P$12)</f>
        <v>1.4535398484063915E-2</v>
      </c>
      <c r="S285" s="14"/>
      <c r="T285" s="31">
        <f>+T281-T283</f>
        <v>27874.549999999814</v>
      </c>
      <c r="U285" s="14"/>
      <c r="V285" s="34">
        <f>IF(T$12=0,0,T285/T$12)</f>
        <v>4.4948732808490748E-3</v>
      </c>
      <c r="W285" s="16"/>
      <c r="X285" s="31">
        <f>P285-T285</f>
        <v>58745.10000000021</v>
      </c>
      <c r="Y285" s="16"/>
      <c r="Z285" s="34">
        <f>IF(T285=0,0,X285/T285)</f>
        <v>2.1074815557560784</v>
      </c>
    </row>
    <row r="286" spans="1:26" ht="15.75" thickTop="1" x14ac:dyDescent="0.25">
      <c r="A286" s="9"/>
      <c r="B286" s="9"/>
      <c r="C286" s="9"/>
      <c r="D286" s="3"/>
      <c r="E286" s="3"/>
      <c r="F286" s="8"/>
      <c r="G286" s="3"/>
      <c r="H286" s="3"/>
      <c r="I286" s="3"/>
      <c r="J286" s="8"/>
      <c r="K286" s="3"/>
      <c r="L286" s="3"/>
      <c r="M286" s="3"/>
      <c r="N286" s="8"/>
      <c r="P286" s="3"/>
      <c r="Q286" s="3"/>
      <c r="R286" s="8"/>
      <c r="S286" s="3"/>
      <c r="T286" s="3"/>
      <c r="U286" s="3"/>
      <c r="V286" s="8"/>
      <c r="W286" s="3"/>
      <c r="X286" s="3"/>
      <c r="Y286" s="3"/>
      <c r="Z286" s="8"/>
    </row>
    <row r="287" spans="1:26" x14ac:dyDescent="0.25">
      <c r="A287" s="9"/>
      <c r="B287" s="9"/>
      <c r="C287" s="9"/>
      <c r="D287" s="3"/>
      <c r="E287" s="3"/>
      <c r="F287" s="8"/>
      <c r="G287" s="3"/>
      <c r="H287" s="3"/>
      <c r="I287" s="3"/>
      <c r="J287" s="8"/>
      <c r="K287" s="3"/>
      <c r="L287" s="3"/>
      <c r="M287" s="3"/>
      <c r="N287" s="8"/>
      <c r="P287" s="3"/>
      <c r="Q287" s="3"/>
      <c r="R287" s="8"/>
      <c r="S287" s="3"/>
      <c r="T287" s="3"/>
      <c r="U287" s="3"/>
      <c r="V287" s="8"/>
      <c r="W287" s="3"/>
      <c r="X287" s="3"/>
      <c r="Y287" s="3"/>
      <c r="Z287" s="8"/>
    </row>
    <row r="288" spans="1:26" s="23" customFormat="1" ht="15.75" thickBot="1" x14ac:dyDescent="0.3">
      <c r="A288" s="10"/>
      <c r="B288" s="28" t="s">
        <v>5</v>
      </c>
      <c r="C288" s="28"/>
      <c r="D288" s="36">
        <f>SUM(D285:D287)</f>
        <v>-20739.809999999499</v>
      </c>
      <c r="E288" s="14"/>
      <c r="F288" s="33">
        <f>IF(D$12=0,0,D288/D$12)</f>
        <v>-3.3181601046435499E-2</v>
      </c>
      <c r="G288" s="14"/>
      <c r="H288" s="36">
        <f>SUM(H285:H287)</f>
        <v>-136904.11000000045</v>
      </c>
      <c r="I288" s="14"/>
      <c r="J288" s="33">
        <f>IF(H$12=0,0,H288/H$12)</f>
        <v>-0.21010307632927724</v>
      </c>
      <c r="K288" s="16"/>
      <c r="L288" s="36">
        <f>+D288-H288</f>
        <v>116164.30000000095</v>
      </c>
      <c r="M288" s="16"/>
      <c r="N288" s="33">
        <f>IF(H288=0,0,L288/H288)</f>
        <v>-0.84850849255000871</v>
      </c>
      <c r="O288" s="29"/>
      <c r="P288" s="36">
        <f>SUM(P285:P287)</f>
        <v>86619.650000000023</v>
      </c>
      <c r="Q288" s="14"/>
      <c r="R288" s="33">
        <f>IF(P$12=0,0,P288/P$12)</f>
        <v>1.4535398484063915E-2</v>
      </c>
      <c r="S288" s="14"/>
      <c r="T288" s="36">
        <f>SUM(T285:T287)</f>
        <v>27874.549999999814</v>
      </c>
      <c r="U288" s="14"/>
      <c r="V288" s="33">
        <f>IF(T$12=0,0,T288/T$12)</f>
        <v>4.4948732808490748E-3</v>
      </c>
      <c r="W288" s="16"/>
      <c r="X288" s="36">
        <f>+P288-T288</f>
        <v>58745.10000000021</v>
      </c>
      <c r="Y288" s="16"/>
      <c r="Z288" s="33">
        <f>IF(T288=0,0,X288/T288)</f>
        <v>2.1074815557560784</v>
      </c>
    </row>
    <row r="289" spans="1:24" ht="15.75" thickTop="1" x14ac:dyDescent="0.25">
      <c r="A289" s="9"/>
      <c r="C289" s="9"/>
      <c r="D289" s="18"/>
      <c r="E289" s="18"/>
      <c r="G289" s="18"/>
      <c r="H289" s="18"/>
      <c r="I289" s="18"/>
      <c r="J289" s="42"/>
      <c r="K289" s="18"/>
      <c r="L289" s="18"/>
      <c r="M289" s="18"/>
      <c r="P289" s="18"/>
      <c r="Q289" s="18"/>
      <c r="R289" s="42"/>
      <c r="S289" s="18"/>
      <c r="T289" s="18"/>
      <c r="U289" s="18"/>
      <c r="V289" s="42"/>
      <c r="W289" s="18"/>
      <c r="X289" s="18"/>
    </row>
    <row r="290" spans="1:24" x14ac:dyDescent="0.25">
      <c r="A290" s="9"/>
      <c r="B290" s="61">
        <v>43791.354768090278</v>
      </c>
      <c r="D290" s="18"/>
      <c r="E290" s="18"/>
      <c r="G290" s="18"/>
      <c r="H290" s="18"/>
      <c r="I290" s="18"/>
      <c r="J290" s="42"/>
      <c r="K290" s="18"/>
      <c r="L290" s="18"/>
      <c r="M290" s="18"/>
      <c r="P290" s="18"/>
      <c r="Q290" s="18"/>
      <c r="R290" s="42"/>
      <c r="S290" s="18"/>
      <c r="T290" s="18"/>
      <c r="U290" s="18"/>
      <c r="V290" s="42"/>
      <c r="W290" s="18"/>
      <c r="X290" s="18"/>
    </row>
    <row r="291" spans="1:24" x14ac:dyDescent="0.25">
      <c r="A291" s="9"/>
      <c r="B291" s="56" t="s">
        <v>313</v>
      </c>
      <c r="D291" s="18"/>
      <c r="E291" s="18"/>
      <c r="G291" s="18"/>
      <c r="H291" s="18"/>
      <c r="I291" s="18"/>
      <c r="J291" s="42"/>
      <c r="K291" s="18"/>
      <c r="L291" s="18"/>
      <c r="M291" s="18"/>
      <c r="P291" s="18"/>
      <c r="Q291" s="18"/>
      <c r="R291" s="42"/>
      <c r="S291" s="18"/>
      <c r="T291" s="18"/>
      <c r="U291" s="18"/>
      <c r="V291" s="42"/>
      <c r="W291" s="18"/>
      <c r="X291" s="18"/>
    </row>
    <row r="292" spans="1:24" x14ac:dyDescent="0.25">
      <c r="A292" s="9"/>
      <c r="B292" s="57"/>
      <c r="D292" s="18"/>
      <c r="E292" s="18"/>
      <c r="G292" s="18"/>
      <c r="H292" s="18"/>
      <c r="I292" s="18"/>
      <c r="J292" s="42"/>
      <c r="K292" s="18"/>
      <c r="L292" s="18"/>
      <c r="M292" s="18"/>
      <c r="P292" s="18"/>
      <c r="Q292" s="18"/>
      <c r="R292" s="42"/>
      <c r="S292" s="18"/>
      <c r="T292" s="18"/>
      <c r="U292" s="18"/>
      <c r="V292" s="42"/>
      <c r="W292" s="18"/>
      <c r="X292" s="18"/>
    </row>
    <row r="293" spans="1:24" x14ac:dyDescent="0.25">
      <c r="D293" s="18"/>
      <c r="E293" s="18"/>
      <c r="G293" s="18"/>
      <c r="H293" s="18"/>
      <c r="I293" s="18"/>
      <c r="J293" s="42"/>
      <c r="K293" s="18"/>
      <c r="L293" s="18"/>
      <c r="M293" s="18"/>
      <c r="P293" s="18"/>
      <c r="Q293" s="18"/>
      <c r="R293" s="42"/>
      <c r="S293" s="18"/>
      <c r="T293" s="18"/>
      <c r="U293" s="18"/>
      <c r="V293" s="42"/>
      <c r="W293" s="18"/>
      <c r="X293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","301", " - ", "Bookstore")</f>
        <v>Department 301 - Bookstore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134428.11000000002</v>
      </c>
      <c r="E18" s="20"/>
      <c r="F18" s="35">
        <f t="shared" ref="F18:F27" si="0">IF(D$12=0,0,D18/D$12)</f>
        <v>0</v>
      </c>
      <c r="G18" s="20"/>
      <c r="H18" s="20">
        <f>SUM(OSRRefH22x_0)</f>
        <v>135536.71000000002</v>
      </c>
      <c r="I18" s="20"/>
      <c r="J18" s="35">
        <f t="shared" ref="J18:J27" si="1">IF(H$12=0,0,H18/H$12)</f>
        <v>0</v>
      </c>
      <c r="K18" s="4"/>
      <c r="L18" s="20">
        <f t="shared" ref="L18:L27" si="2">+D18-H18</f>
        <v>-1108.6000000000058</v>
      </c>
      <c r="M18" s="4"/>
      <c r="N18" s="35">
        <f t="shared" ref="N18:N27" si="3">IF(H18=0,0,L18/H18)</f>
        <v>-8.1793338498478054E-3</v>
      </c>
      <c r="O18" s="10"/>
      <c r="P18" s="20">
        <f>SUM(OSRRefP22x_0)</f>
        <v>560007.17000000004</v>
      </c>
      <c r="Q18" s="20"/>
      <c r="R18" s="35">
        <f t="shared" ref="R18:R27" si="4">IF(P$12=0,0,P18/P$12)</f>
        <v>0</v>
      </c>
      <c r="S18" s="20"/>
      <c r="T18" s="20">
        <f>SUM(OSRRefT22x_0)</f>
        <v>599459.77</v>
      </c>
      <c r="U18" s="20"/>
      <c r="V18" s="35">
        <f t="shared" ref="V18:V27" si="5">IF(T$12=0,0,T18/T$12)</f>
        <v>0</v>
      </c>
      <c r="W18" s="4"/>
      <c r="X18" s="20">
        <f t="shared" ref="X18:X27" si="6">+P18-T18</f>
        <v>-39452.599999999977</v>
      </c>
      <c r="Y18" s="4"/>
      <c r="Z18" s="35">
        <f t="shared" ref="Z18:Z27" si="7">IF(T18=0,0,X18/T18)</f>
        <v>-6.5813590793590657E-2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17675.87</v>
      </c>
      <c r="E19" s="1"/>
      <c r="F19" s="5">
        <f t="shared" si="0"/>
        <v>0</v>
      </c>
      <c r="G19" s="1"/>
      <c r="H19" s="1">
        <f>SUM(OSRRefH22_0x_0)</f>
        <v>18863.989999999998</v>
      </c>
      <c r="I19" s="1"/>
      <c r="J19" s="5">
        <f t="shared" si="1"/>
        <v>0</v>
      </c>
      <c r="K19" s="1"/>
      <c r="L19" s="1">
        <f t="shared" si="2"/>
        <v>-1188.119999999999</v>
      </c>
      <c r="M19" s="1"/>
      <c r="N19" s="5">
        <f t="shared" si="3"/>
        <v>-6.2983493947992922E-2</v>
      </c>
      <c r="O19" s="13"/>
      <c r="P19" s="1">
        <f>SUM(OSRRefP22_0x_0)</f>
        <v>62105.83</v>
      </c>
      <c r="Q19" s="1"/>
      <c r="R19" s="5">
        <f t="shared" si="4"/>
        <v>0</v>
      </c>
      <c r="S19" s="1"/>
      <c r="T19" s="1">
        <f>SUM(OSRRefT22_0x_0)</f>
        <v>56334.45</v>
      </c>
      <c r="U19" s="1"/>
      <c r="V19" s="5">
        <f t="shared" si="5"/>
        <v>0</v>
      </c>
      <c r="W19" s="1"/>
      <c r="X19" s="1">
        <f t="shared" si="6"/>
        <v>5771.3800000000047</v>
      </c>
      <c r="Y19" s="1"/>
      <c r="Z19" s="5">
        <f t="shared" si="7"/>
        <v>0.10244850176046814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5518.7</v>
      </c>
      <c r="E20" s="2"/>
      <c r="F20" s="7">
        <f t="shared" si="0"/>
        <v>0</v>
      </c>
      <c r="G20" s="2"/>
      <c r="H20" s="6">
        <v>4838.6899999999996</v>
      </c>
      <c r="I20" s="2"/>
      <c r="J20" s="7">
        <f t="shared" si="1"/>
        <v>0</v>
      </c>
      <c r="K20" s="2"/>
      <c r="L20" s="6">
        <f t="shared" si="2"/>
        <v>680.01000000000022</v>
      </c>
      <c r="M20" s="2"/>
      <c r="N20" s="7">
        <f t="shared" si="3"/>
        <v>0.14053597151295089</v>
      </c>
      <c r="O20" s="11"/>
      <c r="P20" s="6">
        <v>14538.22</v>
      </c>
      <c r="Q20" s="2"/>
      <c r="R20" s="7">
        <f t="shared" si="4"/>
        <v>0</v>
      </c>
      <c r="S20" s="2"/>
      <c r="T20" s="6">
        <v>12402.51</v>
      </c>
      <c r="U20" s="2"/>
      <c r="V20" s="7">
        <f t="shared" si="5"/>
        <v>0</v>
      </c>
      <c r="W20" s="2"/>
      <c r="X20" s="6">
        <f t="shared" si="6"/>
        <v>2135.7099999999991</v>
      </c>
      <c r="Y20" s="2"/>
      <c r="Z20" s="7">
        <f t="shared" si="7"/>
        <v>0.17219982084271643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-12.72</v>
      </c>
      <c r="E21" s="2"/>
      <c r="F21" s="7">
        <f t="shared" si="0"/>
        <v>0</v>
      </c>
      <c r="G21" s="2"/>
      <c r="H21" s="6">
        <v>922</v>
      </c>
      <c r="I21" s="2"/>
      <c r="J21" s="7">
        <f t="shared" si="1"/>
        <v>0</v>
      </c>
      <c r="K21" s="2"/>
      <c r="L21" s="6">
        <f t="shared" si="2"/>
        <v>-934.72</v>
      </c>
      <c r="M21" s="2"/>
      <c r="N21" s="7">
        <f t="shared" si="3"/>
        <v>-1.0137960954446854</v>
      </c>
      <c r="O21" s="11"/>
      <c r="P21" s="6">
        <v>2222.29</v>
      </c>
      <c r="Q21" s="2"/>
      <c r="R21" s="7">
        <f t="shared" si="4"/>
        <v>0</v>
      </c>
      <c r="S21" s="2"/>
      <c r="T21" s="6">
        <v>1631.49</v>
      </c>
      <c r="U21" s="2"/>
      <c r="V21" s="7">
        <f t="shared" si="5"/>
        <v>0</v>
      </c>
      <c r="W21" s="2"/>
      <c r="X21" s="6">
        <f t="shared" si="6"/>
        <v>590.79999999999995</v>
      </c>
      <c r="Y21" s="2"/>
      <c r="Z21" s="7">
        <f t="shared" si="7"/>
        <v>0.36212296734886512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4075.74</v>
      </c>
      <c r="E22" s="2"/>
      <c r="F22" s="7">
        <f t="shared" si="0"/>
        <v>0</v>
      </c>
      <c r="G22" s="2"/>
      <c r="H22" s="6">
        <v>5756.54</v>
      </c>
      <c r="I22" s="2"/>
      <c r="J22" s="7">
        <f t="shared" si="1"/>
        <v>0</v>
      </c>
      <c r="K22" s="2"/>
      <c r="L22" s="6">
        <f t="shared" si="2"/>
        <v>-1680.8000000000002</v>
      </c>
      <c r="M22" s="2"/>
      <c r="N22" s="7">
        <f t="shared" si="3"/>
        <v>-0.291980946888235</v>
      </c>
      <c r="O22" s="11"/>
      <c r="P22" s="6">
        <v>21105.15</v>
      </c>
      <c r="Q22" s="2"/>
      <c r="R22" s="7">
        <f t="shared" si="4"/>
        <v>0</v>
      </c>
      <c r="S22" s="2"/>
      <c r="T22" s="6">
        <v>19451.830000000002</v>
      </c>
      <c r="U22" s="2"/>
      <c r="V22" s="7">
        <f t="shared" si="5"/>
        <v>0</v>
      </c>
      <c r="W22" s="2"/>
      <c r="X22" s="6">
        <f t="shared" si="6"/>
        <v>1653.3199999999997</v>
      </c>
      <c r="Y22" s="2"/>
      <c r="Z22" s="7">
        <f t="shared" si="7"/>
        <v>8.4995601956216957E-2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193.32</v>
      </c>
      <c r="E23" s="2"/>
      <c r="F23" s="7">
        <f t="shared" si="0"/>
        <v>0</v>
      </c>
      <c r="G23" s="2"/>
      <c r="H23" s="6">
        <v>163.47999999999999</v>
      </c>
      <c r="I23" s="2"/>
      <c r="J23" s="7">
        <f t="shared" si="1"/>
        <v>0</v>
      </c>
      <c r="K23" s="2"/>
      <c r="L23" s="6">
        <f t="shared" si="2"/>
        <v>29.840000000000003</v>
      </c>
      <c r="M23" s="2"/>
      <c r="N23" s="7">
        <f t="shared" si="3"/>
        <v>0.18252997308539273</v>
      </c>
      <c r="O23" s="11"/>
      <c r="P23" s="6">
        <v>624.91999999999996</v>
      </c>
      <c r="Q23" s="2"/>
      <c r="R23" s="7">
        <f t="shared" si="4"/>
        <v>0</v>
      </c>
      <c r="S23" s="2"/>
      <c r="T23" s="6">
        <v>543.02</v>
      </c>
      <c r="U23" s="2"/>
      <c r="V23" s="7">
        <f t="shared" si="5"/>
        <v>0</v>
      </c>
      <c r="W23" s="2"/>
      <c r="X23" s="6">
        <f t="shared" si="6"/>
        <v>81.899999999999977</v>
      </c>
      <c r="Y23" s="2"/>
      <c r="Z23" s="7">
        <f t="shared" si="7"/>
        <v>0.15082317410040141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3953.22</v>
      </c>
      <c r="E24" s="2"/>
      <c r="F24" s="7">
        <f t="shared" si="0"/>
        <v>0</v>
      </c>
      <c r="G24" s="2"/>
      <c r="H24" s="6">
        <v>3253.3</v>
      </c>
      <c r="I24" s="2"/>
      <c r="J24" s="7">
        <f t="shared" si="1"/>
        <v>0</v>
      </c>
      <c r="K24" s="2"/>
      <c r="L24" s="6">
        <f t="shared" si="2"/>
        <v>699.91999999999962</v>
      </c>
      <c r="M24" s="2"/>
      <c r="N24" s="7">
        <f t="shared" si="3"/>
        <v>0.21514154858144025</v>
      </c>
      <c r="O24" s="11"/>
      <c r="P24" s="6">
        <v>9257.86</v>
      </c>
      <c r="Q24" s="2"/>
      <c r="R24" s="7">
        <f t="shared" si="4"/>
        <v>0</v>
      </c>
      <c r="S24" s="2"/>
      <c r="T24" s="6">
        <v>8703.7199999999993</v>
      </c>
      <c r="U24" s="2"/>
      <c r="V24" s="7">
        <f t="shared" si="5"/>
        <v>0</v>
      </c>
      <c r="W24" s="2"/>
      <c r="X24" s="6">
        <f t="shared" si="6"/>
        <v>554.14000000000124</v>
      </c>
      <c r="Y24" s="2"/>
      <c r="Z24" s="7">
        <f t="shared" si="7"/>
        <v>6.3667029729816818E-2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2316.9299999999998</v>
      </c>
      <c r="E25" s="2"/>
      <c r="F25" s="7">
        <f t="shared" si="0"/>
        <v>0</v>
      </c>
      <c r="G25" s="2"/>
      <c r="H25" s="6">
        <v>2193.14</v>
      </c>
      <c r="I25" s="2"/>
      <c r="J25" s="7">
        <f t="shared" si="1"/>
        <v>0</v>
      </c>
      <c r="K25" s="2"/>
      <c r="L25" s="6">
        <f t="shared" si="2"/>
        <v>123.78999999999996</v>
      </c>
      <c r="M25" s="2"/>
      <c r="N25" s="7">
        <f t="shared" si="3"/>
        <v>5.6444185049746014E-2</v>
      </c>
      <c r="O25" s="11"/>
      <c r="P25" s="6">
        <v>7922.05</v>
      </c>
      <c r="Q25" s="2"/>
      <c r="R25" s="7">
        <f t="shared" si="4"/>
        <v>0</v>
      </c>
      <c r="S25" s="2"/>
      <c r="T25" s="6">
        <v>7272.95</v>
      </c>
      <c r="U25" s="2"/>
      <c r="V25" s="7">
        <f t="shared" si="5"/>
        <v>0</v>
      </c>
      <c r="W25" s="2"/>
      <c r="X25" s="6">
        <f t="shared" si="6"/>
        <v>649.10000000000036</v>
      </c>
      <c r="Y25" s="2"/>
      <c r="Z25" s="7">
        <f t="shared" si="7"/>
        <v>8.9248516764174154E-2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1342.66</v>
      </c>
      <c r="E26" s="2"/>
      <c r="F26" s="7">
        <f t="shared" si="0"/>
        <v>0</v>
      </c>
      <c r="G26" s="2"/>
      <c r="H26" s="6">
        <v>1294.57</v>
      </c>
      <c r="I26" s="2"/>
      <c r="J26" s="7">
        <f t="shared" si="1"/>
        <v>0</v>
      </c>
      <c r="K26" s="2"/>
      <c r="L26" s="6">
        <f t="shared" si="2"/>
        <v>48.090000000000146</v>
      </c>
      <c r="M26" s="2"/>
      <c r="N26" s="7">
        <f t="shared" si="3"/>
        <v>3.7147469816232528E-2</v>
      </c>
      <c r="O26" s="11"/>
      <c r="P26" s="6">
        <v>4916.75</v>
      </c>
      <c r="Q26" s="2"/>
      <c r="R26" s="7">
        <f t="shared" si="4"/>
        <v>0</v>
      </c>
      <c r="S26" s="2"/>
      <c r="T26" s="6">
        <v>4645.53</v>
      </c>
      <c r="U26" s="2"/>
      <c r="V26" s="7">
        <f t="shared" si="5"/>
        <v>0</v>
      </c>
      <c r="W26" s="2"/>
      <c r="X26" s="6">
        <f t="shared" si="6"/>
        <v>271.22000000000025</v>
      </c>
      <c r="Y26" s="2"/>
      <c r="Z26" s="7">
        <f t="shared" si="7"/>
        <v>5.8383004737887878E-2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288.02</v>
      </c>
      <c r="E27" s="2"/>
      <c r="F27" s="7">
        <f t="shared" si="0"/>
        <v>0</v>
      </c>
      <c r="G27" s="2"/>
      <c r="H27" s="6">
        <v>442.27</v>
      </c>
      <c r="I27" s="2"/>
      <c r="J27" s="7">
        <f t="shared" si="1"/>
        <v>0</v>
      </c>
      <c r="K27" s="2"/>
      <c r="L27" s="6">
        <f t="shared" si="2"/>
        <v>-154.25</v>
      </c>
      <c r="M27" s="2"/>
      <c r="N27" s="7">
        <f t="shared" si="3"/>
        <v>-0.34876885160648474</v>
      </c>
      <c r="O27" s="11"/>
      <c r="P27" s="6">
        <v>1518.59</v>
      </c>
      <c r="Q27" s="2"/>
      <c r="R27" s="7">
        <f t="shared" si="4"/>
        <v>0</v>
      </c>
      <c r="S27" s="2"/>
      <c r="T27" s="6">
        <v>1683.4</v>
      </c>
      <c r="U27" s="2"/>
      <c r="V27" s="7">
        <f t="shared" si="5"/>
        <v>0</v>
      </c>
      <c r="W27" s="2"/>
      <c r="X27" s="6">
        <f t="shared" si="6"/>
        <v>-164.81000000000017</v>
      </c>
      <c r="Y27" s="2"/>
      <c r="Z27" s="7">
        <f t="shared" si="7"/>
        <v>-9.7903053344422106E-2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46328.160000000003</v>
      </c>
      <c r="E28" s="1"/>
      <c r="F28" s="5">
        <f t="shared" ref="F28:F35" si="8">IF(D$12=0,0,D28/D$12)</f>
        <v>0</v>
      </c>
      <c r="G28" s="1"/>
      <c r="H28" s="1">
        <f>SUM(OSRRefH22_1x_0)</f>
        <v>45052.45</v>
      </c>
      <c r="I28" s="1"/>
      <c r="J28" s="5">
        <f t="shared" ref="J28:J35" si="9">IF(H$12=0,0,H28/H$12)</f>
        <v>0</v>
      </c>
      <c r="K28" s="1"/>
      <c r="L28" s="1">
        <f t="shared" ref="L28:L35" si="10">+D28-H28</f>
        <v>1275.7100000000064</v>
      </c>
      <c r="M28" s="1"/>
      <c r="N28" s="5">
        <f t="shared" ref="N28:N35" si="11">IF(H28=0,0,L28/H28)</f>
        <v>2.8316107115151486E-2</v>
      </c>
      <c r="O28" s="13"/>
      <c r="P28" s="1">
        <f>SUM(OSRRefP22_1x_0)</f>
        <v>212318.2</v>
      </c>
      <c r="Q28" s="1"/>
      <c r="R28" s="5">
        <f t="shared" ref="R28:R35" si="12">IF(P$12=0,0,P28/P$12)</f>
        <v>0</v>
      </c>
      <c r="S28" s="1"/>
      <c r="T28" s="1">
        <f>SUM(OSRRefT22_1x_0)</f>
        <v>187979.53</v>
      </c>
      <c r="U28" s="1"/>
      <c r="V28" s="5">
        <f t="shared" ref="V28:V35" si="13">IF(T$12=0,0,T28/T$12)</f>
        <v>0</v>
      </c>
      <c r="W28" s="1"/>
      <c r="X28" s="1">
        <f t="shared" ref="X28:X35" si="14">+P28-T28</f>
        <v>24338.670000000013</v>
      </c>
      <c r="Y28" s="1"/>
      <c r="Z28" s="5">
        <f t="shared" ref="Z28:Z35" si="15">IF(T28=0,0,X28/T28)</f>
        <v>0.12947510827375733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>
        <v>12324.99</v>
      </c>
      <c r="E29" s="2"/>
      <c r="F29" s="7">
        <f t="shared" si="8"/>
        <v>0</v>
      </c>
      <c r="G29" s="2"/>
      <c r="H29" s="6">
        <v>13006.5</v>
      </c>
      <c r="I29" s="2"/>
      <c r="J29" s="7">
        <f t="shared" si="9"/>
        <v>0</v>
      </c>
      <c r="K29" s="2"/>
      <c r="L29" s="6">
        <f t="shared" si="10"/>
        <v>-681.51000000000022</v>
      </c>
      <c r="M29" s="2"/>
      <c r="N29" s="7">
        <f t="shared" si="11"/>
        <v>-5.2397647330181082E-2</v>
      </c>
      <c r="O29" s="11"/>
      <c r="P29" s="6">
        <v>46083.689999999995</v>
      </c>
      <c r="Q29" s="2"/>
      <c r="R29" s="7">
        <f t="shared" si="12"/>
        <v>0</v>
      </c>
      <c r="S29" s="2"/>
      <c r="T29" s="6">
        <v>46302.25</v>
      </c>
      <c r="U29" s="2"/>
      <c r="V29" s="7">
        <f t="shared" si="13"/>
        <v>0</v>
      </c>
      <c r="W29" s="2"/>
      <c r="X29" s="6">
        <f t="shared" si="14"/>
        <v>-218.56000000000495</v>
      </c>
      <c r="Y29" s="2"/>
      <c r="Z29" s="7">
        <f t="shared" si="15"/>
        <v>-4.7202889708384569E-3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9380.98</v>
      </c>
      <c r="E30" s="2"/>
      <c r="F30" s="7">
        <f t="shared" si="8"/>
        <v>0</v>
      </c>
      <c r="G30" s="2"/>
      <c r="H30" s="6">
        <v>9442.75</v>
      </c>
      <c r="I30" s="2"/>
      <c r="J30" s="7">
        <f t="shared" si="9"/>
        <v>0</v>
      </c>
      <c r="K30" s="2"/>
      <c r="L30" s="6">
        <f t="shared" si="10"/>
        <v>-61.770000000000437</v>
      </c>
      <c r="M30" s="2"/>
      <c r="N30" s="7">
        <f t="shared" si="11"/>
        <v>-6.5415265680019525E-3</v>
      </c>
      <c r="O30" s="11"/>
      <c r="P30" s="6">
        <v>36247.97</v>
      </c>
      <c r="Q30" s="2"/>
      <c r="R30" s="7">
        <f t="shared" si="12"/>
        <v>0</v>
      </c>
      <c r="S30" s="2"/>
      <c r="T30" s="6">
        <v>33252.300000000003</v>
      </c>
      <c r="U30" s="2"/>
      <c r="V30" s="7">
        <f t="shared" si="13"/>
        <v>0</v>
      </c>
      <c r="W30" s="2"/>
      <c r="X30" s="6">
        <f t="shared" si="14"/>
        <v>2995.6699999999983</v>
      </c>
      <c r="Y30" s="2"/>
      <c r="Z30" s="7">
        <f t="shared" si="15"/>
        <v>9.0089106618188752E-2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-1647.01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-1647.01</v>
      </c>
      <c r="Y31" s="2"/>
      <c r="Z31" s="7">
        <f t="shared" si="15"/>
        <v>0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8592.99</v>
      </c>
      <c r="E32" s="2"/>
      <c r="F32" s="7">
        <f t="shared" si="8"/>
        <v>0</v>
      </c>
      <c r="G32" s="2"/>
      <c r="H32" s="6">
        <v>7177.05</v>
      </c>
      <c r="I32" s="2"/>
      <c r="J32" s="7">
        <f t="shared" si="9"/>
        <v>0</v>
      </c>
      <c r="K32" s="2"/>
      <c r="L32" s="6">
        <f t="shared" si="10"/>
        <v>1415.9399999999996</v>
      </c>
      <c r="M32" s="2"/>
      <c r="N32" s="7">
        <f t="shared" si="11"/>
        <v>0.19728718623947158</v>
      </c>
      <c r="O32" s="11"/>
      <c r="P32" s="6">
        <v>32760.560000000001</v>
      </c>
      <c r="Q32" s="2"/>
      <c r="R32" s="7">
        <f t="shared" si="12"/>
        <v>0</v>
      </c>
      <c r="S32" s="2"/>
      <c r="T32" s="6">
        <v>20532.72</v>
      </c>
      <c r="U32" s="2"/>
      <c r="V32" s="7">
        <f t="shared" si="13"/>
        <v>0</v>
      </c>
      <c r="W32" s="2"/>
      <c r="X32" s="6">
        <f t="shared" si="14"/>
        <v>12227.84</v>
      </c>
      <c r="Y32" s="2"/>
      <c r="Z32" s="7">
        <f t="shared" si="15"/>
        <v>0.59552947685450341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>
        <v>2659.25</v>
      </c>
      <c r="E33" s="2"/>
      <c r="F33" s="7">
        <f t="shared" si="8"/>
        <v>0</v>
      </c>
      <c r="G33" s="2"/>
      <c r="H33" s="6">
        <v>671</v>
      </c>
      <c r="I33" s="2"/>
      <c r="J33" s="7">
        <f t="shared" si="9"/>
        <v>0</v>
      </c>
      <c r="K33" s="2"/>
      <c r="L33" s="6">
        <f t="shared" si="10"/>
        <v>1988.25</v>
      </c>
      <c r="M33" s="2"/>
      <c r="N33" s="7">
        <f t="shared" si="11"/>
        <v>2.9631147540983607</v>
      </c>
      <c r="O33" s="11"/>
      <c r="P33" s="6">
        <v>9495.26</v>
      </c>
      <c r="Q33" s="2"/>
      <c r="R33" s="7">
        <f t="shared" si="12"/>
        <v>0</v>
      </c>
      <c r="S33" s="2"/>
      <c r="T33" s="6">
        <v>2317.37</v>
      </c>
      <c r="U33" s="2"/>
      <c r="V33" s="7">
        <f t="shared" si="13"/>
        <v>0</v>
      </c>
      <c r="W33" s="2"/>
      <c r="X33" s="6">
        <f t="shared" si="14"/>
        <v>7177.89</v>
      </c>
      <c r="Y33" s="2"/>
      <c r="Z33" s="7">
        <f t="shared" si="15"/>
        <v>3.0974294135161844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13369.95</v>
      </c>
      <c r="E34" s="2"/>
      <c r="F34" s="7">
        <f t="shared" si="8"/>
        <v>0</v>
      </c>
      <c r="G34" s="2"/>
      <c r="H34" s="6">
        <v>14271.15</v>
      </c>
      <c r="I34" s="2"/>
      <c r="J34" s="7">
        <f t="shared" si="9"/>
        <v>0</v>
      </c>
      <c r="K34" s="2"/>
      <c r="L34" s="6">
        <f t="shared" si="10"/>
        <v>-901.19999999999891</v>
      </c>
      <c r="M34" s="2"/>
      <c r="N34" s="7">
        <f t="shared" si="11"/>
        <v>-6.3148379773178678E-2</v>
      </c>
      <c r="O34" s="11"/>
      <c r="P34" s="6">
        <v>88825.73000000001</v>
      </c>
      <c r="Q34" s="2"/>
      <c r="R34" s="7">
        <f t="shared" si="12"/>
        <v>0</v>
      </c>
      <c r="S34" s="2"/>
      <c r="T34" s="6">
        <v>84859.89</v>
      </c>
      <c r="U34" s="2"/>
      <c r="V34" s="7">
        <f t="shared" si="13"/>
        <v>0</v>
      </c>
      <c r="W34" s="2"/>
      <c r="X34" s="6">
        <f t="shared" si="14"/>
        <v>3965.8400000000111</v>
      </c>
      <c r="Y34" s="2"/>
      <c r="Z34" s="7">
        <f t="shared" si="15"/>
        <v>4.6733975262046784E-2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8"/>
        <v>0</v>
      </c>
      <c r="G35" s="2"/>
      <c r="H35" s="6">
        <v>484</v>
      </c>
      <c r="I35" s="2"/>
      <c r="J35" s="7">
        <f t="shared" si="9"/>
        <v>0</v>
      </c>
      <c r="K35" s="2"/>
      <c r="L35" s="6">
        <f t="shared" si="10"/>
        <v>-484</v>
      </c>
      <c r="M35" s="2"/>
      <c r="N35" s="7">
        <f t="shared" si="11"/>
        <v>-1</v>
      </c>
      <c r="O35" s="11"/>
      <c r="P35" s="6">
        <v>552</v>
      </c>
      <c r="Q35" s="2"/>
      <c r="R35" s="7">
        <f t="shared" si="12"/>
        <v>0</v>
      </c>
      <c r="S35" s="2"/>
      <c r="T35" s="6">
        <v>715</v>
      </c>
      <c r="U35" s="2"/>
      <c r="V35" s="7">
        <f t="shared" si="13"/>
        <v>0</v>
      </c>
      <c r="W35" s="2"/>
      <c r="X35" s="6">
        <f t="shared" si="14"/>
        <v>-163</v>
      </c>
      <c r="Y35" s="2"/>
      <c r="Z35" s="7">
        <f t="shared" si="15"/>
        <v>-0.22797202797202798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6536.5</v>
      </c>
      <c r="E36" s="1"/>
      <c r="F36" s="5">
        <f t="shared" ref="F36:F40" si="16">IF(D$12=0,0,D36/D$12)</f>
        <v>0</v>
      </c>
      <c r="G36" s="1"/>
      <c r="H36" s="1">
        <f>SUM(OSRRefH22_2x_0)</f>
        <v>4583.8599999999997</v>
      </c>
      <c r="I36" s="1"/>
      <c r="J36" s="5">
        <f t="shared" ref="J36:J40" si="17">IF(H$12=0,0,H36/H$12)</f>
        <v>0</v>
      </c>
      <c r="K36" s="1"/>
      <c r="L36" s="1">
        <f t="shared" ref="L36:L40" si="18">+D36-H36</f>
        <v>1952.6400000000003</v>
      </c>
      <c r="M36" s="1"/>
      <c r="N36" s="5">
        <f t="shared" ref="N36:N40" si="19">IF(H36=0,0,L36/H36)</f>
        <v>0.42598159629657112</v>
      </c>
      <c r="O36" s="13"/>
      <c r="P36" s="1">
        <f>SUM(OSRRefP22_2x_0)</f>
        <v>7332.55</v>
      </c>
      <c r="Q36" s="1"/>
      <c r="R36" s="5">
        <f t="shared" ref="R36:R40" si="20">IF(P$12=0,0,P36/P$12)</f>
        <v>0</v>
      </c>
      <c r="S36" s="1"/>
      <c r="T36" s="1">
        <f>SUM(OSRRefT22_2x_0)</f>
        <v>11230.86</v>
      </c>
      <c r="U36" s="1"/>
      <c r="V36" s="5">
        <f t="shared" ref="V36:V40" si="21">IF(T$12=0,0,T36/T$12)</f>
        <v>0</v>
      </c>
      <c r="W36" s="1"/>
      <c r="X36" s="1">
        <f t="shared" ref="X36:X40" si="22">+P36-T36</f>
        <v>-3898.3100000000004</v>
      </c>
      <c r="Y36" s="1"/>
      <c r="Z36" s="5">
        <f t="shared" ref="Z36:Z40" si="23">IF(T36=0,0,X36/T36)</f>
        <v>-0.34710698913529331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>
        <v>6536.5</v>
      </c>
      <c r="E37" s="2"/>
      <c r="F37" s="7">
        <f t="shared" si="16"/>
        <v>0</v>
      </c>
      <c r="G37" s="2"/>
      <c r="H37" s="6">
        <v>4583.8599999999997</v>
      </c>
      <c r="I37" s="2"/>
      <c r="J37" s="7">
        <f t="shared" si="17"/>
        <v>0</v>
      </c>
      <c r="K37" s="2"/>
      <c r="L37" s="6">
        <f t="shared" si="18"/>
        <v>1952.6400000000003</v>
      </c>
      <c r="M37" s="2"/>
      <c r="N37" s="7">
        <f t="shared" si="19"/>
        <v>0.42598159629657112</v>
      </c>
      <c r="O37" s="11"/>
      <c r="P37" s="6">
        <v>7332.55</v>
      </c>
      <c r="Q37" s="2"/>
      <c r="R37" s="7">
        <f t="shared" si="20"/>
        <v>0</v>
      </c>
      <c r="S37" s="2"/>
      <c r="T37" s="6">
        <v>11230.86</v>
      </c>
      <c r="U37" s="2"/>
      <c r="V37" s="7">
        <f t="shared" si="21"/>
        <v>0</v>
      </c>
      <c r="W37" s="2"/>
      <c r="X37" s="6">
        <f t="shared" si="22"/>
        <v>-3898.3100000000004</v>
      </c>
      <c r="Y37" s="2"/>
      <c r="Z37" s="7">
        <f t="shared" si="23"/>
        <v>-0.34710698913529331</v>
      </c>
    </row>
    <row r="38" spans="1:26" s="27" customFormat="1" outlineLevel="1" collapsed="1" x14ac:dyDescent="0.25">
      <c r="A38" s="25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SUM(OSRRefD22_3x_0)</f>
        <v>102.46</v>
      </c>
      <c r="E38" s="1"/>
      <c r="F38" s="5">
        <f t="shared" si="16"/>
        <v>0</v>
      </c>
      <c r="G38" s="1"/>
      <c r="H38" s="1">
        <f>SUM(OSRRefH22_3x_0)</f>
        <v>979.85</v>
      </c>
      <c r="I38" s="1"/>
      <c r="J38" s="5">
        <f t="shared" si="17"/>
        <v>0</v>
      </c>
      <c r="K38" s="1"/>
      <c r="L38" s="1">
        <f t="shared" si="18"/>
        <v>-877.39</v>
      </c>
      <c r="M38" s="1"/>
      <c r="N38" s="5">
        <f t="shared" si="19"/>
        <v>-0.89543297443486247</v>
      </c>
      <c r="O38" s="13"/>
      <c r="P38" s="1">
        <f>SUM(OSRRefP22_3x_0)</f>
        <v>-53.120000000000005</v>
      </c>
      <c r="Q38" s="1"/>
      <c r="R38" s="5">
        <f t="shared" si="20"/>
        <v>0</v>
      </c>
      <c r="S38" s="1"/>
      <c r="T38" s="1">
        <f>SUM(OSRRefT22_3x_0)</f>
        <v>964.9</v>
      </c>
      <c r="U38" s="1"/>
      <c r="V38" s="5">
        <f t="shared" si="21"/>
        <v>0</v>
      </c>
      <c r="W38" s="1"/>
      <c r="X38" s="1">
        <f t="shared" si="22"/>
        <v>-1018.02</v>
      </c>
      <c r="Y38" s="1"/>
      <c r="Z38" s="5">
        <f t="shared" si="23"/>
        <v>-1.055052337029744</v>
      </c>
    </row>
    <row r="39" spans="1:26" s="24" customFormat="1" hidden="1" outlineLevel="2" x14ac:dyDescent="0.25">
      <c r="A39" s="26"/>
      <c r="B39" s="11" t="str">
        <f>CONCATENATE("          ", "6272", " - ", "CASH (OVER/SHORT)")</f>
        <v xml:space="preserve">          6272 - CASH (OVER/SHORT)</v>
      </c>
      <c r="C39" s="11"/>
      <c r="D39" s="6">
        <v>57.66</v>
      </c>
      <c r="E39" s="2"/>
      <c r="F39" s="7">
        <f t="shared" si="16"/>
        <v>0</v>
      </c>
      <c r="G39" s="2"/>
      <c r="H39" s="6">
        <v>979.85</v>
      </c>
      <c r="I39" s="2"/>
      <c r="J39" s="7">
        <f t="shared" si="17"/>
        <v>0</v>
      </c>
      <c r="K39" s="2"/>
      <c r="L39" s="6">
        <f t="shared" si="18"/>
        <v>-922.19</v>
      </c>
      <c r="M39" s="2"/>
      <c r="N39" s="7">
        <f t="shared" si="19"/>
        <v>-0.94115425830484256</v>
      </c>
      <c r="O39" s="11"/>
      <c r="P39" s="6">
        <v>-97.92</v>
      </c>
      <c r="Q39" s="2"/>
      <c r="R39" s="7">
        <f t="shared" si="20"/>
        <v>0</v>
      </c>
      <c r="S39" s="2"/>
      <c r="T39" s="6">
        <v>964.9</v>
      </c>
      <c r="U39" s="2"/>
      <c r="V39" s="7">
        <f t="shared" si="21"/>
        <v>0</v>
      </c>
      <c r="W39" s="2"/>
      <c r="X39" s="6">
        <f t="shared" si="22"/>
        <v>-1062.82</v>
      </c>
      <c r="Y39" s="2"/>
      <c r="Z39" s="7">
        <f t="shared" si="23"/>
        <v>-1.1014820188620582</v>
      </c>
    </row>
    <row r="40" spans="1:26" s="24" customFormat="1" hidden="1" outlineLevel="2" x14ac:dyDescent="0.25">
      <c r="A40" s="26"/>
      <c r="B40" s="11" t="str">
        <f>CONCATENATE("          ", "6342", " - ", "BAD DEBT")</f>
        <v xml:space="preserve">          6342 - BAD DEBT</v>
      </c>
      <c r="C40" s="11"/>
      <c r="D40" s="6">
        <v>44.8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44.8</v>
      </c>
      <c r="M40" s="2"/>
      <c r="N40" s="7">
        <f t="shared" si="19"/>
        <v>0</v>
      </c>
      <c r="O40" s="11"/>
      <c r="P40" s="6">
        <v>44.8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44.8</v>
      </c>
      <c r="Y40" s="2"/>
      <c r="Z40" s="7">
        <f t="shared" si="23"/>
        <v>0</v>
      </c>
    </row>
    <row r="41" spans="1:26" s="27" customFormat="1" outlineLevel="1" collapsed="1" x14ac:dyDescent="0.25">
      <c r="A41" s="25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10525.5</v>
      </c>
      <c r="E41" s="1"/>
      <c r="F41" s="5">
        <f t="shared" ref="F41:F45" si="24">IF(D$12=0,0,D41/D$12)</f>
        <v>0</v>
      </c>
      <c r="G41" s="1"/>
      <c r="H41" s="1">
        <f>SUM(OSRRefH22_4x_0)</f>
        <v>9579.35</v>
      </c>
      <c r="I41" s="1"/>
      <c r="J41" s="5">
        <f t="shared" ref="J41:J45" si="25">IF(H$12=0,0,H41/H$12)</f>
        <v>0</v>
      </c>
      <c r="K41" s="1"/>
      <c r="L41" s="1">
        <f t="shared" ref="L41:L45" si="26">+D41-H41</f>
        <v>946.14999999999964</v>
      </c>
      <c r="M41" s="1"/>
      <c r="N41" s="5">
        <f t="shared" ref="N41:N45" si="27">IF(H41=0,0,L41/H41)</f>
        <v>9.8769749513275912E-2</v>
      </c>
      <c r="O41" s="13"/>
      <c r="P41" s="1">
        <f>SUM(OSRRefP22_4x_0)</f>
        <v>68759.78</v>
      </c>
      <c r="Q41" s="1"/>
      <c r="R41" s="5">
        <f t="shared" ref="R41:R45" si="28">IF(P$12=0,0,P41/P$12)</f>
        <v>0</v>
      </c>
      <c r="S41" s="1"/>
      <c r="T41" s="1">
        <f>SUM(OSRRefT22_4x_0)</f>
        <v>68641.81</v>
      </c>
      <c r="U41" s="1"/>
      <c r="V41" s="5">
        <f t="shared" ref="V41:V45" si="29">IF(T$12=0,0,T41/T$12)</f>
        <v>0</v>
      </c>
      <c r="W41" s="1"/>
      <c r="X41" s="1">
        <f t="shared" ref="X41:X45" si="30">+P41-T41</f>
        <v>117.97000000000116</v>
      </c>
      <c r="Y41" s="1"/>
      <c r="Z41" s="5">
        <f t="shared" ref="Z41:Z45" si="31">IF(T41=0,0,X41/T41)</f>
        <v>1.7186318367770485E-3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>
        <v>10525.5</v>
      </c>
      <c r="E42" s="2"/>
      <c r="F42" s="7">
        <f t="shared" si="24"/>
        <v>0</v>
      </c>
      <c r="G42" s="2"/>
      <c r="H42" s="6">
        <v>9579.35</v>
      </c>
      <c r="I42" s="2"/>
      <c r="J42" s="7">
        <f t="shared" si="25"/>
        <v>0</v>
      </c>
      <c r="K42" s="2"/>
      <c r="L42" s="6">
        <f t="shared" si="26"/>
        <v>946.14999999999964</v>
      </c>
      <c r="M42" s="2"/>
      <c r="N42" s="7">
        <f t="shared" si="27"/>
        <v>9.8769749513275912E-2</v>
      </c>
      <c r="O42" s="11"/>
      <c r="P42" s="6">
        <v>68759.78</v>
      </c>
      <c r="Q42" s="2"/>
      <c r="R42" s="7">
        <f t="shared" si="28"/>
        <v>0</v>
      </c>
      <c r="S42" s="2"/>
      <c r="T42" s="6">
        <v>68641.81</v>
      </c>
      <c r="U42" s="2"/>
      <c r="V42" s="7">
        <f t="shared" si="29"/>
        <v>0</v>
      </c>
      <c r="W42" s="2"/>
      <c r="X42" s="6">
        <f t="shared" si="30"/>
        <v>117.97000000000116</v>
      </c>
      <c r="Y42" s="2"/>
      <c r="Z42" s="7">
        <f t="shared" si="31"/>
        <v>1.7186318367770485E-3</v>
      </c>
    </row>
    <row r="43" spans="1:26" s="27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29607.43</v>
      </c>
      <c r="E43" s="1"/>
      <c r="F43" s="5">
        <f t="shared" si="24"/>
        <v>0</v>
      </c>
      <c r="G43" s="1"/>
      <c r="H43" s="1">
        <f>SUM(OSRRefH22_5x_0)</f>
        <v>29330.07</v>
      </c>
      <c r="I43" s="1"/>
      <c r="J43" s="5">
        <f t="shared" si="25"/>
        <v>0</v>
      </c>
      <c r="K43" s="1"/>
      <c r="L43" s="1">
        <f t="shared" si="26"/>
        <v>277.36000000000058</v>
      </c>
      <c r="M43" s="1"/>
      <c r="N43" s="5">
        <f t="shared" si="27"/>
        <v>9.4565065818117914E-3</v>
      </c>
      <c r="O43" s="13"/>
      <c r="P43" s="1">
        <f>SUM(OSRRefP22_5x_0)</f>
        <v>118429.72</v>
      </c>
      <c r="Q43" s="1"/>
      <c r="R43" s="5">
        <f t="shared" si="28"/>
        <v>0</v>
      </c>
      <c r="S43" s="1"/>
      <c r="T43" s="1">
        <f>SUM(OSRRefT22_5x_0)</f>
        <v>117320.28</v>
      </c>
      <c r="U43" s="1"/>
      <c r="V43" s="5">
        <f t="shared" si="29"/>
        <v>0</v>
      </c>
      <c r="W43" s="1"/>
      <c r="X43" s="1">
        <f t="shared" si="30"/>
        <v>1109.4400000000023</v>
      </c>
      <c r="Y43" s="1"/>
      <c r="Z43" s="5">
        <f t="shared" si="31"/>
        <v>9.4565065818117914E-3</v>
      </c>
    </row>
    <row r="44" spans="1:26" s="24" customFormat="1" hidden="1" outlineLevel="2" x14ac:dyDescent="0.25">
      <c r="A44" s="26"/>
      <c r="B44" s="11" t="str">
        <f>CONCATENATE("          ", "6321", " - ", "BUILDING DEPRECIATION")</f>
        <v xml:space="preserve">          6321 - BUILDING DEPRECIATION</v>
      </c>
      <c r="C44" s="11"/>
      <c r="D44" s="6">
        <v>16396.52</v>
      </c>
      <c r="E44" s="2"/>
      <c r="F44" s="7">
        <f t="shared" si="24"/>
        <v>0</v>
      </c>
      <c r="G44" s="2"/>
      <c r="H44" s="6">
        <v>16453.38</v>
      </c>
      <c r="I44" s="2"/>
      <c r="J44" s="7">
        <f t="shared" si="25"/>
        <v>0</v>
      </c>
      <c r="K44" s="2"/>
      <c r="L44" s="6">
        <f t="shared" si="26"/>
        <v>-56.860000000000582</v>
      </c>
      <c r="M44" s="2"/>
      <c r="N44" s="7">
        <f t="shared" si="27"/>
        <v>-3.4558248821822978E-3</v>
      </c>
      <c r="O44" s="11"/>
      <c r="P44" s="6">
        <v>65586.080000000002</v>
      </c>
      <c r="Q44" s="2"/>
      <c r="R44" s="7">
        <f t="shared" si="28"/>
        <v>0</v>
      </c>
      <c r="S44" s="2"/>
      <c r="T44" s="6">
        <v>65813.52</v>
      </c>
      <c r="U44" s="2"/>
      <c r="V44" s="7">
        <f t="shared" si="29"/>
        <v>0</v>
      </c>
      <c r="W44" s="2"/>
      <c r="X44" s="6">
        <f t="shared" si="30"/>
        <v>-227.44000000000233</v>
      </c>
      <c r="Y44" s="2"/>
      <c r="Z44" s="7">
        <f t="shared" si="31"/>
        <v>-3.4558248821822978E-3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13210.91</v>
      </c>
      <c r="E45" s="2"/>
      <c r="F45" s="7">
        <f t="shared" si="24"/>
        <v>0</v>
      </c>
      <c r="G45" s="2"/>
      <c r="H45" s="6">
        <v>12876.69</v>
      </c>
      <c r="I45" s="2"/>
      <c r="J45" s="7">
        <f t="shared" si="25"/>
        <v>0</v>
      </c>
      <c r="K45" s="2"/>
      <c r="L45" s="6">
        <f t="shared" si="26"/>
        <v>334.21999999999935</v>
      </c>
      <c r="M45" s="2"/>
      <c r="N45" s="7">
        <f t="shared" si="27"/>
        <v>2.5955427986539967E-2</v>
      </c>
      <c r="O45" s="11"/>
      <c r="P45" s="6">
        <v>52843.64</v>
      </c>
      <c r="Q45" s="2"/>
      <c r="R45" s="7">
        <f t="shared" si="28"/>
        <v>0</v>
      </c>
      <c r="S45" s="2"/>
      <c r="T45" s="6">
        <v>51506.76</v>
      </c>
      <c r="U45" s="2"/>
      <c r="V45" s="7">
        <f t="shared" si="29"/>
        <v>0</v>
      </c>
      <c r="W45" s="2"/>
      <c r="X45" s="6">
        <f t="shared" si="30"/>
        <v>1336.8799999999974</v>
      </c>
      <c r="Y45" s="2"/>
      <c r="Z45" s="7">
        <f t="shared" si="31"/>
        <v>2.5955427986539967E-2</v>
      </c>
    </row>
    <row r="46" spans="1:26" s="27" customFormat="1" outlineLevel="1" collapsed="1" x14ac:dyDescent="0.25">
      <c r="A46" s="25"/>
      <c r="B46" s="13" t="str">
        <f>CONCATENATE("     ","Discounts and Markdowns                           ")</f>
        <v xml:space="preserve">     Discounts and Markdowns                           </v>
      </c>
      <c r="C46" s="13"/>
      <c r="D46" s="1">
        <f>SUM(OSRRefD22_6x_0)</f>
        <v>-283.99</v>
      </c>
      <c r="E46" s="1"/>
      <c r="F46" s="5">
        <f t="shared" ref="F46:F48" si="32">IF(D$12=0,0,D46/D$12)</f>
        <v>0</v>
      </c>
      <c r="G46" s="1"/>
      <c r="H46" s="1">
        <f>SUM(OSRRefH22_6x_0)</f>
        <v>-1334.91</v>
      </c>
      <c r="I46" s="1"/>
      <c r="J46" s="5">
        <f t="shared" ref="J46:J48" si="33">IF(H$12=0,0,H46/H$12)</f>
        <v>0</v>
      </c>
      <c r="K46" s="1"/>
      <c r="L46" s="1">
        <f t="shared" ref="L46:L48" si="34">+D46-H46</f>
        <v>1050.92</v>
      </c>
      <c r="M46" s="1"/>
      <c r="N46" s="5">
        <f t="shared" ref="N46:N48" si="35">IF(H46=0,0,L46/H46)</f>
        <v>-0.78725906615427255</v>
      </c>
      <c r="O46" s="13"/>
      <c r="P46" s="1">
        <f>SUM(OSRRefP22_6x_0)</f>
        <v>-1157.6799999999998</v>
      </c>
      <c r="Q46" s="1"/>
      <c r="R46" s="5">
        <f t="shared" ref="R46:R48" si="36">IF(P$12=0,0,P46/P$12)</f>
        <v>0</v>
      </c>
      <c r="S46" s="1"/>
      <c r="T46" s="1">
        <f>SUM(OSRRefT22_6x_0)</f>
        <v>-2971.94</v>
      </c>
      <c r="U46" s="1"/>
      <c r="V46" s="5">
        <f t="shared" ref="V46:V48" si="37">IF(T$12=0,0,T46/T$12)</f>
        <v>0</v>
      </c>
      <c r="W46" s="1"/>
      <c r="X46" s="1">
        <f t="shared" ref="X46:X48" si="38">+P46-T46</f>
        <v>1814.2600000000002</v>
      </c>
      <c r="Y46" s="1"/>
      <c r="Z46" s="5">
        <f t="shared" ref="Z46:Z48" si="39">IF(T46=0,0,X46/T46)</f>
        <v>-0.61046319912245883</v>
      </c>
    </row>
    <row r="47" spans="1:26" s="24" customFormat="1" hidden="1" outlineLevel="2" x14ac:dyDescent="0.25">
      <c r="A47" s="26"/>
      <c r="B47" s="11" t="str">
        <f>CONCATENATE("          ", "6382", " - ", "DISCOUNTS/MARK DOWNS")</f>
        <v xml:space="preserve">          6382 - DISCOUNTS/MARK DOWNS</v>
      </c>
      <c r="C47" s="11"/>
      <c r="D47" s="6">
        <v>140.9</v>
      </c>
      <c r="E47" s="2"/>
      <c r="F47" s="7">
        <f t="shared" si="32"/>
        <v>0</v>
      </c>
      <c r="G47" s="2"/>
      <c r="H47" s="6"/>
      <c r="I47" s="2"/>
      <c r="J47" s="7">
        <f t="shared" si="33"/>
        <v>0</v>
      </c>
      <c r="K47" s="2"/>
      <c r="L47" s="6">
        <f t="shared" si="34"/>
        <v>140.9</v>
      </c>
      <c r="M47" s="2"/>
      <c r="N47" s="7">
        <f t="shared" si="35"/>
        <v>0</v>
      </c>
      <c r="O47" s="11"/>
      <c r="P47" s="6">
        <v>330.4</v>
      </c>
      <c r="Q47" s="2"/>
      <c r="R47" s="7">
        <f t="shared" si="36"/>
        <v>0</v>
      </c>
      <c r="S47" s="2"/>
      <c r="T47" s="6"/>
      <c r="U47" s="2"/>
      <c r="V47" s="7">
        <f t="shared" si="37"/>
        <v>0</v>
      </c>
      <c r="W47" s="2"/>
      <c r="X47" s="6">
        <f t="shared" si="38"/>
        <v>330.4</v>
      </c>
      <c r="Y47" s="2"/>
      <c r="Z47" s="7">
        <f t="shared" si="39"/>
        <v>0</v>
      </c>
    </row>
    <row r="48" spans="1:26" s="24" customFormat="1" hidden="1" outlineLevel="2" x14ac:dyDescent="0.25">
      <c r="A48" s="26"/>
      <c r="B48" s="11" t="str">
        <f>CONCATENATE("          ", "9175", " - ", "EARNED DISCOUNTS")</f>
        <v xml:space="preserve">          9175 - EARNED DISCOUNTS</v>
      </c>
      <c r="C48" s="11"/>
      <c r="D48" s="6">
        <v>-424.89</v>
      </c>
      <c r="E48" s="2"/>
      <c r="F48" s="7">
        <f t="shared" si="32"/>
        <v>0</v>
      </c>
      <c r="G48" s="2"/>
      <c r="H48" s="6">
        <v>-1334.91</v>
      </c>
      <c r="I48" s="2"/>
      <c r="J48" s="7">
        <f t="shared" si="33"/>
        <v>0</v>
      </c>
      <c r="K48" s="2"/>
      <c r="L48" s="6">
        <f t="shared" si="34"/>
        <v>910.0200000000001</v>
      </c>
      <c r="M48" s="2"/>
      <c r="N48" s="7">
        <f t="shared" si="35"/>
        <v>-0.68170887925028656</v>
      </c>
      <c r="O48" s="11"/>
      <c r="P48" s="6">
        <v>-1488.08</v>
      </c>
      <c r="Q48" s="2"/>
      <c r="R48" s="7">
        <f t="shared" si="36"/>
        <v>0</v>
      </c>
      <c r="S48" s="2"/>
      <c r="T48" s="6">
        <v>-2971.94</v>
      </c>
      <c r="U48" s="2"/>
      <c r="V48" s="7">
        <f t="shared" si="37"/>
        <v>0</v>
      </c>
      <c r="W48" s="2"/>
      <c r="X48" s="6">
        <f t="shared" si="38"/>
        <v>1483.8600000000001</v>
      </c>
      <c r="Y48" s="2"/>
      <c r="Z48" s="7">
        <f t="shared" si="39"/>
        <v>-0.49929002604359446</v>
      </c>
    </row>
    <row r="49" spans="1:26" s="27" customFormat="1" outlineLevel="1" collapsed="1" x14ac:dyDescent="0.25">
      <c r="A49" s="25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SUM(OSRRefD22_7x_0)</f>
        <v>1006.14</v>
      </c>
      <c r="E49" s="1"/>
      <c r="F49" s="5">
        <f t="shared" ref="F49:F66" si="40">IF(D$12=0,0,D49/D$12)</f>
        <v>0</v>
      </c>
      <c r="G49" s="1"/>
      <c r="H49" s="1">
        <f>SUM(OSRRefH22_7x_0)</f>
        <v>1306.07</v>
      </c>
      <c r="I49" s="1"/>
      <c r="J49" s="5">
        <f t="shared" ref="J49:J66" si="41">IF(H$12=0,0,H49/H$12)</f>
        <v>0</v>
      </c>
      <c r="K49" s="1"/>
      <c r="L49" s="1">
        <f t="shared" ref="L49:L66" si="42">+D49-H49</f>
        <v>-299.92999999999995</v>
      </c>
      <c r="M49" s="1"/>
      <c r="N49" s="5">
        <f t="shared" ref="N49:N66" si="43">IF(H49=0,0,L49/H49)</f>
        <v>-0.22964312785685298</v>
      </c>
      <c r="O49" s="13"/>
      <c r="P49" s="1">
        <f>SUM(OSRRefP22_7x_0)</f>
        <v>6231.48</v>
      </c>
      <c r="Q49" s="1"/>
      <c r="R49" s="5">
        <f t="shared" ref="R49:R66" si="44">IF(P$12=0,0,P49/P$12)</f>
        <v>0</v>
      </c>
      <c r="S49" s="1"/>
      <c r="T49" s="1">
        <f>SUM(OSRRefT22_7x_0)</f>
        <v>4541.8</v>
      </c>
      <c r="U49" s="1"/>
      <c r="V49" s="5">
        <f t="shared" ref="V49:V66" si="45">IF(T$12=0,0,T49/T$12)</f>
        <v>0</v>
      </c>
      <c r="W49" s="1"/>
      <c r="X49" s="1">
        <f t="shared" ref="X49:X66" si="46">+P49-T49</f>
        <v>1689.6799999999994</v>
      </c>
      <c r="Y49" s="1"/>
      <c r="Z49" s="5">
        <f t="shared" ref="Z49:Z66" si="47">IF(T49=0,0,X49/T49)</f>
        <v>0.37202871108371116</v>
      </c>
    </row>
    <row r="50" spans="1:26" s="24" customFormat="1" hidden="1" outlineLevel="2" x14ac:dyDescent="0.25">
      <c r="A50" s="26"/>
      <c r="B50" s="11" t="str">
        <f>CONCATENATE("          ", "6399", " - ", "DONATION-ON CAMPUS")</f>
        <v xml:space="preserve">          6399 - DONATION-ON CAMPUS</v>
      </c>
      <c r="C50" s="11"/>
      <c r="D50" s="6">
        <v>1006.14</v>
      </c>
      <c r="E50" s="2"/>
      <c r="F50" s="7">
        <f t="shared" si="40"/>
        <v>0</v>
      </c>
      <c r="G50" s="2"/>
      <c r="H50" s="6">
        <v>1306.07</v>
      </c>
      <c r="I50" s="2"/>
      <c r="J50" s="7">
        <f t="shared" si="41"/>
        <v>0</v>
      </c>
      <c r="K50" s="2"/>
      <c r="L50" s="6">
        <f t="shared" si="42"/>
        <v>-299.92999999999995</v>
      </c>
      <c r="M50" s="2"/>
      <c r="N50" s="7">
        <f t="shared" si="43"/>
        <v>-0.22964312785685298</v>
      </c>
      <c r="O50" s="11"/>
      <c r="P50" s="6">
        <v>6231.48</v>
      </c>
      <c r="Q50" s="2"/>
      <c r="R50" s="7">
        <f t="shared" si="44"/>
        <v>0</v>
      </c>
      <c r="S50" s="2"/>
      <c r="T50" s="6">
        <v>4541.8</v>
      </c>
      <c r="U50" s="2"/>
      <c r="V50" s="7">
        <f t="shared" si="45"/>
        <v>0</v>
      </c>
      <c r="W50" s="2"/>
      <c r="X50" s="6">
        <f t="shared" si="46"/>
        <v>1689.6799999999994</v>
      </c>
      <c r="Y50" s="2"/>
      <c r="Z50" s="7">
        <f t="shared" si="47"/>
        <v>0.37202871108371116</v>
      </c>
    </row>
    <row r="51" spans="1:26" s="27" customFormat="1" outlineLevel="1" collapsed="1" x14ac:dyDescent="0.25">
      <c r="A51" s="25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SUM(OSRRefD22_8x_0)</f>
        <v>0</v>
      </c>
      <c r="E51" s="1"/>
      <c r="F51" s="5">
        <f t="shared" si="40"/>
        <v>0</v>
      </c>
      <c r="G51" s="1"/>
      <c r="H51" s="1">
        <f>SUM(OSRRefH22_8x_0)</f>
        <v>643.04999999999995</v>
      </c>
      <c r="I51" s="1"/>
      <c r="J51" s="5">
        <f t="shared" si="41"/>
        <v>0</v>
      </c>
      <c r="K51" s="1"/>
      <c r="L51" s="1">
        <f t="shared" si="42"/>
        <v>-643.04999999999995</v>
      </c>
      <c r="M51" s="1"/>
      <c r="N51" s="5">
        <f t="shared" si="43"/>
        <v>-1</v>
      </c>
      <c r="O51" s="13"/>
      <c r="P51" s="1">
        <f>SUM(OSRRefP22_8x_0)</f>
        <v>451.22</v>
      </c>
      <c r="Q51" s="1"/>
      <c r="R51" s="5">
        <f t="shared" si="44"/>
        <v>0</v>
      </c>
      <c r="S51" s="1"/>
      <c r="T51" s="1">
        <f>SUM(OSRRefT22_8x_0)</f>
        <v>1910.06</v>
      </c>
      <c r="U51" s="1"/>
      <c r="V51" s="5">
        <f t="shared" si="45"/>
        <v>0</v>
      </c>
      <c r="W51" s="1"/>
      <c r="X51" s="1">
        <f t="shared" si="46"/>
        <v>-1458.84</v>
      </c>
      <c r="Y51" s="1"/>
      <c r="Z51" s="5">
        <f t="shared" si="47"/>
        <v>-0.76376658324869373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40"/>
        <v>0</v>
      </c>
      <c r="G52" s="2"/>
      <c r="H52" s="6">
        <v>643.04999999999995</v>
      </c>
      <c r="I52" s="2"/>
      <c r="J52" s="7">
        <f t="shared" si="41"/>
        <v>0</v>
      </c>
      <c r="K52" s="2"/>
      <c r="L52" s="6">
        <f t="shared" si="42"/>
        <v>-643.04999999999995</v>
      </c>
      <c r="M52" s="2"/>
      <c r="N52" s="7">
        <f t="shared" si="43"/>
        <v>-1</v>
      </c>
      <c r="O52" s="11"/>
      <c r="P52" s="6">
        <v>451.22</v>
      </c>
      <c r="Q52" s="2"/>
      <c r="R52" s="7">
        <f t="shared" si="44"/>
        <v>0</v>
      </c>
      <c r="S52" s="2"/>
      <c r="T52" s="6">
        <v>1910.06</v>
      </c>
      <c r="U52" s="2"/>
      <c r="V52" s="7">
        <f t="shared" si="45"/>
        <v>0</v>
      </c>
      <c r="W52" s="2"/>
      <c r="X52" s="6">
        <f t="shared" si="46"/>
        <v>-1458.84</v>
      </c>
      <c r="Y52" s="2"/>
      <c r="Z52" s="7">
        <f t="shared" si="47"/>
        <v>-0.76376658324869373</v>
      </c>
    </row>
    <row r="53" spans="1:26" s="27" customFormat="1" outlineLevel="1" collapsed="1" x14ac:dyDescent="0.25">
      <c r="A53" s="25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SUM(OSRRefD22_9x_0)</f>
        <v>14.39</v>
      </c>
      <c r="E53" s="1"/>
      <c r="F53" s="5">
        <f t="shared" si="40"/>
        <v>0</v>
      </c>
      <c r="G53" s="1"/>
      <c r="H53" s="1">
        <f>SUM(OSRRefH22_9x_0)</f>
        <v>4.17</v>
      </c>
      <c r="I53" s="1"/>
      <c r="J53" s="5">
        <f t="shared" si="41"/>
        <v>0</v>
      </c>
      <c r="K53" s="1"/>
      <c r="L53" s="1">
        <f t="shared" si="42"/>
        <v>10.220000000000001</v>
      </c>
      <c r="M53" s="1"/>
      <c r="N53" s="5">
        <f t="shared" si="43"/>
        <v>2.4508393285371706</v>
      </c>
      <c r="O53" s="13"/>
      <c r="P53" s="1">
        <f>SUM(OSRRefP22_9x_0)</f>
        <v>14.39</v>
      </c>
      <c r="Q53" s="1"/>
      <c r="R53" s="5">
        <f t="shared" si="44"/>
        <v>0</v>
      </c>
      <c r="S53" s="1"/>
      <c r="T53" s="1">
        <f>SUM(OSRRefT22_9x_0)</f>
        <v>18.53</v>
      </c>
      <c r="U53" s="1"/>
      <c r="V53" s="5">
        <f t="shared" si="45"/>
        <v>0</v>
      </c>
      <c r="W53" s="1"/>
      <c r="X53" s="1">
        <f t="shared" si="46"/>
        <v>-4.1400000000000006</v>
      </c>
      <c r="Y53" s="1"/>
      <c r="Z53" s="5">
        <f t="shared" si="47"/>
        <v>-0.22342147868321643</v>
      </c>
    </row>
    <row r="54" spans="1:26" s="24" customFormat="1" hidden="1" outlineLevel="2" x14ac:dyDescent="0.25">
      <c r="A54" s="26"/>
      <c r="B54" s="11" t="str">
        <f>CONCATENATE("          ", "6307", " - ", "POSTAGE")</f>
        <v xml:space="preserve">          6307 - POSTAGE</v>
      </c>
      <c r="C54" s="11"/>
      <c r="D54" s="6">
        <v>14.39</v>
      </c>
      <c r="E54" s="2"/>
      <c r="F54" s="7">
        <f t="shared" si="40"/>
        <v>0</v>
      </c>
      <c r="G54" s="2"/>
      <c r="H54" s="6">
        <v>4.17</v>
      </c>
      <c r="I54" s="2"/>
      <c r="J54" s="7">
        <f t="shared" si="41"/>
        <v>0</v>
      </c>
      <c r="K54" s="2"/>
      <c r="L54" s="6">
        <f t="shared" si="42"/>
        <v>10.220000000000001</v>
      </c>
      <c r="M54" s="2"/>
      <c r="N54" s="7">
        <f t="shared" si="43"/>
        <v>2.4508393285371706</v>
      </c>
      <c r="O54" s="11"/>
      <c r="P54" s="6">
        <v>14.39</v>
      </c>
      <c r="Q54" s="2"/>
      <c r="R54" s="7">
        <f t="shared" si="44"/>
        <v>0</v>
      </c>
      <c r="S54" s="2"/>
      <c r="T54" s="6">
        <v>18.53</v>
      </c>
      <c r="U54" s="2"/>
      <c r="V54" s="7">
        <f t="shared" si="45"/>
        <v>0</v>
      </c>
      <c r="W54" s="2"/>
      <c r="X54" s="6">
        <f t="shared" si="46"/>
        <v>-4.1400000000000006</v>
      </c>
      <c r="Y54" s="2"/>
      <c r="Z54" s="7">
        <f t="shared" si="47"/>
        <v>-0.22342147868321643</v>
      </c>
    </row>
    <row r="55" spans="1:26" s="27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SUM(OSRRefD22_10x_0)</f>
        <v>0</v>
      </c>
      <c r="E55" s="1"/>
      <c r="F55" s="5">
        <f t="shared" si="40"/>
        <v>0</v>
      </c>
      <c r="G55" s="1"/>
      <c r="H55" s="1">
        <f>SUM(OSRRefH22_10x_0)</f>
        <v>210.99</v>
      </c>
      <c r="I55" s="1"/>
      <c r="J55" s="5">
        <f t="shared" si="41"/>
        <v>0</v>
      </c>
      <c r="K55" s="1"/>
      <c r="L55" s="1">
        <f t="shared" si="42"/>
        <v>-210.99</v>
      </c>
      <c r="M55" s="1"/>
      <c r="N55" s="5">
        <f t="shared" si="43"/>
        <v>-1</v>
      </c>
      <c r="O55" s="13"/>
      <c r="P55" s="1">
        <f>SUM(OSRRefP22_10x_0)</f>
        <v>-14984.3</v>
      </c>
      <c r="Q55" s="1"/>
      <c r="R55" s="5">
        <f t="shared" si="44"/>
        <v>0</v>
      </c>
      <c r="S55" s="1"/>
      <c r="T55" s="1">
        <f>SUM(OSRRefT22_10x_0)</f>
        <v>-290.31</v>
      </c>
      <c r="U55" s="1"/>
      <c r="V55" s="5">
        <f t="shared" si="45"/>
        <v>0</v>
      </c>
      <c r="W55" s="1"/>
      <c r="X55" s="1">
        <f t="shared" si="46"/>
        <v>-14693.99</v>
      </c>
      <c r="Y55" s="1"/>
      <c r="Z55" s="5">
        <f t="shared" si="47"/>
        <v>50.614825531328577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40"/>
        <v>0</v>
      </c>
      <c r="G56" s="2"/>
      <c r="H56" s="6">
        <v>210.99</v>
      </c>
      <c r="I56" s="2"/>
      <c r="J56" s="7">
        <f t="shared" si="41"/>
        <v>0</v>
      </c>
      <c r="K56" s="2"/>
      <c r="L56" s="6">
        <f t="shared" si="42"/>
        <v>-210.99</v>
      </c>
      <c r="M56" s="2"/>
      <c r="N56" s="7">
        <f t="shared" si="43"/>
        <v>-1</v>
      </c>
      <c r="O56" s="11"/>
      <c r="P56" s="6">
        <v>-14984.3</v>
      </c>
      <c r="Q56" s="2"/>
      <c r="R56" s="7">
        <f t="shared" si="44"/>
        <v>0</v>
      </c>
      <c r="S56" s="2"/>
      <c r="T56" s="6">
        <v>-290.31</v>
      </c>
      <c r="U56" s="2"/>
      <c r="V56" s="7">
        <f t="shared" si="45"/>
        <v>0</v>
      </c>
      <c r="W56" s="2"/>
      <c r="X56" s="6">
        <f t="shared" si="46"/>
        <v>-14693.99</v>
      </c>
      <c r="Y56" s="2"/>
      <c r="Z56" s="7">
        <f t="shared" si="47"/>
        <v>50.614825531328577</v>
      </c>
    </row>
    <row r="57" spans="1:26" s="27" customFormat="1" outlineLevel="1" collapsed="1" x14ac:dyDescent="0.25">
      <c r="A57" s="25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SUM(OSRRefD22_11x_0)</f>
        <v>3883.56</v>
      </c>
      <c r="E57" s="1"/>
      <c r="F57" s="5">
        <f t="shared" si="40"/>
        <v>0</v>
      </c>
      <c r="G57" s="1"/>
      <c r="H57" s="1">
        <f>SUM(OSRRefH22_11x_0)</f>
        <v>3658.12</v>
      </c>
      <c r="I57" s="1"/>
      <c r="J57" s="5">
        <f t="shared" si="41"/>
        <v>0</v>
      </c>
      <c r="K57" s="1"/>
      <c r="L57" s="1">
        <f t="shared" si="42"/>
        <v>225.44000000000005</v>
      </c>
      <c r="M57" s="1"/>
      <c r="N57" s="5">
        <f t="shared" si="43"/>
        <v>6.1627283960066934E-2</v>
      </c>
      <c r="O57" s="13"/>
      <c r="P57" s="1">
        <f>SUM(OSRRefP22_11x_0)</f>
        <v>15534.24</v>
      </c>
      <c r="Q57" s="1"/>
      <c r="R57" s="5">
        <f t="shared" si="44"/>
        <v>0</v>
      </c>
      <c r="S57" s="1"/>
      <c r="T57" s="1">
        <f>SUM(OSRRefT22_11x_0)</f>
        <v>14632.48</v>
      </c>
      <c r="U57" s="1"/>
      <c r="V57" s="5">
        <f t="shared" si="45"/>
        <v>0</v>
      </c>
      <c r="W57" s="1"/>
      <c r="X57" s="1">
        <f t="shared" si="46"/>
        <v>901.76000000000022</v>
      </c>
      <c r="Y57" s="1"/>
      <c r="Z57" s="5">
        <f t="shared" si="47"/>
        <v>6.1627283960066934E-2</v>
      </c>
    </row>
    <row r="58" spans="1:26" s="24" customFormat="1" hidden="1" outlineLevel="2" x14ac:dyDescent="0.25">
      <c r="A58" s="26"/>
      <c r="B58" s="11" t="str">
        <f>CONCATENATE("          ", "6314", " - ", "LIABILITY INSURANCE")</f>
        <v xml:space="preserve">          6314 - LIABILITY INSURANCE</v>
      </c>
      <c r="C58" s="11"/>
      <c r="D58" s="6">
        <v>3883.56</v>
      </c>
      <c r="E58" s="2"/>
      <c r="F58" s="7">
        <f t="shared" si="40"/>
        <v>0</v>
      </c>
      <c r="G58" s="2"/>
      <c r="H58" s="6">
        <v>3658.12</v>
      </c>
      <c r="I58" s="2"/>
      <c r="J58" s="7">
        <f t="shared" si="41"/>
        <v>0</v>
      </c>
      <c r="K58" s="2"/>
      <c r="L58" s="6">
        <f t="shared" si="42"/>
        <v>225.44000000000005</v>
      </c>
      <c r="M58" s="2"/>
      <c r="N58" s="7">
        <f t="shared" si="43"/>
        <v>6.1627283960066934E-2</v>
      </c>
      <c r="O58" s="11"/>
      <c r="P58" s="6">
        <v>15534.24</v>
      </c>
      <c r="Q58" s="2"/>
      <c r="R58" s="7">
        <f t="shared" si="44"/>
        <v>0</v>
      </c>
      <c r="S58" s="2"/>
      <c r="T58" s="6">
        <v>14632.48</v>
      </c>
      <c r="U58" s="2"/>
      <c r="V58" s="7">
        <f t="shared" si="45"/>
        <v>0</v>
      </c>
      <c r="W58" s="2"/>
      <c r="X58" s="6">
        <f t="shared" si="46"/>
        <v>901.76000000000022</v>
      </c>
      <c r="Y58" s="2"/>
      <c r="Z58" s="7">
        <f t="shared" si="47"/>
        <v>6.1627283960066934E-2</v>
      </c>
    </row>
    <row r="59" spans="1:26" s="27" customFormat="1" outlineLevel="1" collapsed="1" x14ac:dyDescent="0.25">
      <c r="A59" s="25"/>
      <c r="B59" s="13" t="str">
        <f>CONCATENATE("     ","Professional Services                             ")</f>
        <v xml:space="preserve">     Professional Services                             </v>
      </c>
      <c r="C59" s="13"/>
      <c r="D59" s="1">
        <f>SUM(OSRRefD22_12x_0)</f>
        <v>0</v>
      </c>
      <c r="E59" s="1"/>
      <c r="F59" s="5">
        <f t="shared" si="40"/>
        <v>0</v>
      </c>
      <c r="G59" s="1"/>
      <c r="H59" s="1">
        <f>SUM(OSRRefH22_12x_0)</f>
        <v>0</v>
      </c>
      <c r="I59" s="1"/>
      <c r="J59" s="5">
        <f t="shared" si="41"/>
        <v>0</v>
      </c>
      <c r="K59" s="1"/>
      <c r="L59" s="1">
        <f t="shared" si="42"/>
        <v>0</v>
      </c>
      <c r="M59" s="1"/>
      <c r="N59" s="5">
        <f t="shared" si="43"/>
        <v>0</v>
      </c>
      <c r="O59" s="13"/>
      <c r="P59" s="1">
        <f>SUM(OSRRefP22_12x_0)</f>
        <v>4658.41</v>
      </c>
      <c r="Q59" s="1"/>
      <c r="R59" s="5">
        <f t="shared" si="44"/>
        <v>0</v>
      </c>
      <c r="S59" s="1"/>
      <c r="T59" s="1">
        <f>SUM(OSRRefT22_12x_0)</f>
        <v>6776.43</v>
      </c>
      <c r="U59" s="1"/>
      <c r="V59" s="5">
        <f t="shared" si="45"/>
        <v>0</v>
      </c>
      <c r="W59" s="1"/>
      <c r="X59" s="1">
        <f t="shared" si="46"/>
        <v>-2118.0200000000004</v>
      </c>
      <c r="Y59" s="1"/>
      <c r="Z59" s="5">
        <f t="shared" si="47"/>
        <v>-0.31255690680786202</v>
      </c>
    </row>
    <row r="60" spans="1:26" s="24" customFormat="1" hidden="1" outlineLevel="2" x14ac:dyDescent="0.25">
      <c r="A60" s="26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>
        <v>4658.41</v>
      </c>
      <c r="Q60" s="2"/>
      <c r="R60" s="7">
        <f t="shared" si="44"/>
        <v>0</v>
      </c>
      <c r="S60" s="2"/>
      <c r="T60" s="6">
        <v>6776.43</v>
      </c>
      <c r="U60" s="2"/>
      <c r="V60" s="7">
        <f t="shared" si="45"/>
        <v>0</v>
      </c>
      <c r="W60" s="2"/>
      <c r="X60" s="6">
        <f t="shared" si="46"/>
        <v>-2118.0200000000004</v>
      </c>
      <c r="Y60" s="2"/>
      <c r="Z60" s="7">
        <f t="shared" si="47"/>
        <v>-0.31255690680786202</v>
      </c>
    </row>
    <row r="61" spans="1:26" s="27" customFormat="1" outlineLevel="1" collapsed="1" x14ac:dyDescent="0.25">
      <c r="A61" s="25"/>
      <c r="B61" s="13" t="str">
        <f>CONCATENATE("     ","Rent                                              ")</f>
        <v xml:space="preserve">     Rent                                              </v>
      </c>
      <c r="C61" s="13"/>
      <c r="D61" s="1">
        <f>SUM(OSRRefD22_13x_0)</f>
        <v>-800</v>
      </c>
      <c r="E61" s="1"/>
      <c r="F61" s="5">
        <f t="shared" si="40"/>
        <v>0</v>
      </c>
      <c r="G61" s="1"/>
      <c r="H61" s="1">
        <f>SUM(OSRRefH22_13x_0)</f>
        <v>-800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3"/>
      <c r="P61" s="1">
        <f>SUM(OSRRefP22_13x_0)</f>
        <v>-3200</v>
      </c>
      <c r="Q61" s="1"/>
      <c r="R61" s="5">
        <f t="shared" si="44"/>
        <v>0</v>
      </c>
      <c r="S61" s="1"/>
      <c r="T61" s="1">
        <f>SUM(OSRRefT22_13x_0)</f>
        <v>-2298.92</v>
      </c>
      <c r="U61" s="1"/>
      <c r="V61" s="5">
        <f t="shared" si="45"/>
        <v>0</v>
      </c>
      <c r="W61" s="1"/>
      <c r="X61" s="1">
        <f t="shared" si="46"/>
        <v>-901.07999999999993</v>
      </c>
      <c r="Y61" s="1"/>
      <c r="Z61" s="5">
        <f t="shared" si="47"/>
        <v>0.39195796286952128</v>
      </c>
    </row>
    <row r="62" spans="1:26" s="24" customFormat="1" hidden="1" outlineLevel="2" x14ac:dyDescent="0.25">
      <c r="A62" s="26"/>
      <c r="B62" s="11" t="str">
        <f>CONCATENATE("          ", "6273", " - ", "RENT")</f>
        <v xml:space="preserve">          6273 - RENT</v>
      </c>
      <c r="C62" s="11"/>
      <c r="D62" s="6">
        <v>-800</v>
      </c>
      <c r="E62" s="2"/>
      <c r="F62" s="7">
        <f t="shared" si="40"/>
        <v>0</v>
      </c>
      <c r="G62" s="2"/>
      <c r="H62" s="6">
        <v>-800</v>
      </c>
      <c r="I62" s="2"/>
      <c r="J62" s="7">
        <f t="shared" si="41"/>
        <v>0</v>
      </c>
      <c r="K62" s="2"/>
      <c r="L62" s="6">
        <f t="shared" si="42"/>
        <v>0</v>
      </c>
      <c r="M62" s="2"/>
      <c r="N62" s="7">
        <f t="shared" si="43"/>
        <v>0</v>
      </c>
      <c r="O62" s="11"/>
      <c r="P62" s="6">
        <v>-3200</v>
      </c>
      <c r="Q62" s="2"/>
      <c r="R62" s="7">
        <f t="shared" si="44"/>
        <v>0</v>
      </c>
      <c r="S62" s="2"/>
      <c r="T62" s="6">
        <v>-2298.92</v>
      </c>
      <c r="U62" s="2"/>
      <c r="V62" s="7">
        <f t="shared" si="45"/>
        <v>0</v>
      </c>
      <c r="W62" s="2"/>
      <c r="X62" s="6">
        <f t="shared" si="46"/>
        <v>-901.07999999999993</v>
      </c>
      <c r="Y62" s="2"/>
      <c r="Z62" s="7">
        <f t="shared" si="47"/>
        <v>0.39195796286952128</v>
      </c>
    </row>
    <row r="63" spans="1:26" s="27" customFormat="1" outlineLevel="1" collapsed="1" x14ac:dyDescent="0.25">
      <c r="A63" s="25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SUM(OSRRefD22_14x_0)</f>
        <v>6605.9800000000005</v>
      </c>
      <c r="E63" s="1"/>
      <c r="F63" s="5">
        <f t="shared" si="40"/>
        <v>0</v>
      </c>
      <c r="G63" s="1"/>
      <c r="H63" s="1">
        <f>SUM(OSRRefH22_14x_0)</f>
        <v>7044.49</v>
      </c>
      <c r="I63" s="1"/>
      <c r="J63" s="5">
        <f t="shared" si="41"/>
        <v>0</v>
      </c>
      <c r="K63" s="1"/>
      <c r="L63" s="1">
        <f t="shared" si="42"/>
        <v>-438.50999999999931</v>
      </c>
      <c r="M63" s="1"/>
      <c r="N63" s="5">
        <f t="shared" si="43"/>
        <v>-6.2248651073392017E-2</v>
      </c>
      <c r="O63" s="13"/>
      <c r="P63" s="1">
        <f>SUM(OSRRefP22_14x_0)</f>
        <v>36418.400000000001</v>
      </c>
      <c r="Q63" s="1"/>
      <c r="R63" s="5">
        <f t="shared" si="44"/>
        <v>0</v>
      </c>
      <c r="S63" s="1"/>
      <c r="T63" s="1">
        <f>SUM(OSRRefT22_14x_0)</f>
        <v>67651.570000000007</v>
      </c>
      <c r="U63" s="1"/>
      <c r="V63" s="5">
        <f t="shared" si="45"/>
        <v>0</v>
      </c>
      <c r="W63" s="1"/>
      <c r="X63" s="1">
        <f t="shared" si="46"/>
        <v>-31233.170000000006</v>
      </c>
      <c r="Y63" s="1"/>
      <c r="Z63" s="5">
        <f t="shared" si="47"/>
        <v>-0.46167694260458408</v>
      </c>
    </row>
    <row r="64" spans="1:26" s="24" customFormat="1" hidden="1" outlineLevel="2" x14ac:dyDescent="0.25">
      <c r="A64" s="26"/>
      <c r="B64" s="11" t="str">
        <f>CONCATENATE("          ", "6371", " - ", "COMPUTER SOFTWARE MAINTENANCE")</f>
        <v xml:space="preserve">          6371 - COMPUTER SOFTWARE MAINTENANCE</v>
      </c>
      <c r="C64" s="11"/>
      <c r="D64" s="6">
        <v>601</v>
      </c>
      <c r="E64" s="2"/>
      <c r="F64" s="7">
        <f t="shared" si="40"/>
        <v>0</v>
      </c>
      <c r="G64" s="2"/>
      <c r="H64" s="6">
        <v>4049.7</v>
      </c>
      <c r="I64" s="2"/>
      <c r="J64" s="7">
        <f t="shared" si="41"/>
        <v>0</v>
      </c>
      <c r="K64" s="2"/>
      <c r="L64" s="6">
        <f t="shared" si="42"/>
        <v>-3448.7</v>
      </c>
      <c r="M64" s="2"/>
      <c r="N64" s="7">
        <f t="shared" si="43"/>
        <v>-0.85159394523051091</v>
      </c>
      <c r="O64" s="11"/>
      <c r="P64" s="6">
        <v>12751.4</v>
      </c>
      <c r="Q64" s="2"/>
      <c r="R64" s="7">
        <f t="shared" si="44"/>
        <v>0</v>
      </c>
      <c r="S64" s="2"/>
      <c r="T64" s="6">
        <v>48649.25</v>
      </c>
      <c r="U64" s="2"/>
      <c r="V64" s="7">
        <f t="shared" si="45"/>
        <v>0</v>
      </c>
      <c r="W64" s="2"/>
      <c r="X64" s="6">
        <f t="shared" si="46"/>
        <v>-35897.85</v>
      </c>
      <c r="Y64" s="2"/>
      <c r="Z64" s="7">
        <f t="shared" si="47"/>
        <v>-0.73789112884576835</v>
      </c>
    </row>
    <row r="65" spans="1:26" s="24" customFormat="1" hidden="1" outlineLevel="2" x14ac:dyDescent="0.25">
      <c r="A65" s="26"/>
      <c r="B65" s="11" t="str">
        <f>CONCATENATE("          ", "6373", " - ", "MAINTENANCE CONTRACTS")</f>
        <v xml:space="preserve">          6373 - MAINTENANCE CONTRACTS</v>
      </c>
      <c r="C65" s="11"/>
      <c r="D65" s="6">
        <v>1598.05</v>
      </c>
      <c r="E65" s="2"/>
      <c r="F65" s="7">
        <f t="shared" si="40"/>
        <v>0</v>
      </c>
      <c r="G65" s="2"/>
      <c r="H65" s="6">
        <v>1257.55</v>
      </c>
      <c r="I65" s="2"/>
      <c r="J65" s="7">
        <f t="shared" si="41"/>
        <v>0</v>
      </c>
      <c r="K65" s="2"/>
      <c r="L65" s="6">
        <f t="shared" si="42"/>
        <v>340.5</v>
      </c>
      <c r="M65" s="2"/>
      <c r="N65" s="7">
        <f t="shared" si="43"/>
        <v>0.270764581925172</v>
      </c>
      <c r="O65" s="11"/>
      <c r="P65" s="6">
        <v>2114.0500000000002</v>
      </c>
      <c r="Q65" s="2"/>
      <c r="R65" s="7">
        <f t="shared" si="44"/>
        <v>0</v>
      </c>
      <c r="S65" s="2"/>
      <c r="T65" s="6">
        <v>6263.9</v>
      </c>
      <c r="U65" s="2"/>
      <c r="V65" s="7">
        <f t="shared" si="45"/>
        <v>0</v>
      </c>
      <c r="W65" s="2"/>
      <c r="X65" s="6">
        <f t="shared" si="46"/>
        <v>-4149.8499999999995</v>
      </c>
      <c r="Y65" s="2"/>
      <c r="Z65" s="7">
        <f t="shared" si="47"/>
        <v>-0.66250259423043145</v>
      </c>
    </row>
    <row r="66" spans="1:26" s="24" customFormat="1" hidden="1" outlineLevel="2" x14ac:dyDescent="0.25">
      <c r="A66" s="26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4406.93</v>
      </c>
      <c r="E66" s="2"/>
      <c r="F66" s="7">
        <f t="shared" si="40"/>
        <v>0</v>
      </c>
      <c r="G66" s="2"/>
      <c r="H66" s="6">
        <v>1737.24</v>
      </c>
      <c r="I66" s="2"/>
      <c r="J66" s="7">
        <f t="shared" si="41"/>
        <v>0</v>
      </c>
      <c r="K66" s="2"/>
      <c r="L66" s="6">
        <f t="shared" si="42"/>
        <v>2669.6900000000005</v>
      </c>
      <c r="M66" s="2"/>
      <c r="N66" s="7">
        <f t="shared" si="43"/>
        <v>1.5367421887591814</v>
      </c>
      <c r="O66" s="11"/>
      <c r="P66" s="6">
        <v>21552.95</v>
      </c>
      <c r="Q66" s="2"/>
      <c r="R66" s="7">
        <f t="shared" si="44"/>
        <v>0</v>
      </c>
      <c r="S66" s="2"/>
      <c r="T66" s="6">
        <v>12738.42</v>
      </c>
      <c r="U66" s="2"/>
      <c r="V66" s="7">
        <f t="shared" si="45"/>
        <v>0</v>
      </c>
      <c r="W66" s="2"/>
      <c r="X66" s="6">
        <f t="shared" si="46"/>
        <v>8814.5300000000007</v>
      </c>
      <c r="Y66" s="2"/>
      <c r="Z66" s="7">
        <f t="shared" si="47"/>
        <v>0.69196415254011101</v>
      </c>
    </row>
    <row r="67" spans="1:26" s="27" customFormat="1" outlineLevel="1" collapsed="1" x14ac:dyDescent="0.25">
      <c r="A67" s="25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SUM(OSRRefD22_15x_0)</f>
        <v>4058.93</v>
      </c>
      <c r="E67" s="1"/>
      <c r="F67" s="5">
        <f t="shared" ref="F67:F70" si="48">IF(D$12=0,0,D67/D$12)</f>
        <v>0</v>
      </c>
      <c r="G67" s="1"/>
      <c r="H67" s="1">
        <f>SUM(OSRRefH22_15x_0)</f>
        <v>3952.74</v>
      </c>
      <c r="I67" s="1"/>
      <c r="J67" s="5">
        <f t="shared" ref="J67:J70" si="49">IF(H$12=0,0,H67/H$12)</f>
        <v>0</v>
      </c>
      <c r="K67" s="1"/>
      <c r="L67" s="1">
        <f t="shared" ref="L67:L70" si="50">+D67-H67</f>
        <v>106.19000000000005</v>
      </c>
      <c r="M67" s="1"/>
      <c r="N67" s="5">
        <f t="shared" ref="N67:N70" si="51">IF(H67=0,0,L67/H67)</f>
        <v>2.6864908898637418E-2</v>
      </c>
      <c r="O67" s="13"/>
      <c r="P67" s="1">
        <f>SUM(OSRRefP22_15x_0)</f>
        <v>15866.05</v>
      </c>
      <c r="Q67" s="1"/>
      <c r="R67" s="5">
        <f t="shared" ref="R67:R70" si="52">IF(P$12=0,0,P67/P$12)</f>
        <v>0</v>
      </c>
      <c r="S67" s="1"/>
      <c r="T67" s="1">
        <f>SUM(OSRRefT22_15x_0)</f>
        <v>15745.84</v>
      </c>
      <c r="U67" s="1"/>
      <c r="V67" s="5">
        <f t="shared" ref="V67:V70" si="53">IF(T$12=0,0,T67/T$12)</f>
        <v>0</v>
      </c>
      <c r="W67" s="1"/>
      <c r="X67" s="1">
        <f t="shared" ref="X67:X70" si="54">+P67-T67</f>
        <v>120.20999999999913</v>
      </c>
      <c r="Y67" s="1"/>
      <c r="Z67" s="5">
        <f t="shared" ref="Z67:Z70" si="55">IF(T67=0,0,X67/T67)</f>
        <v>7.6343974027425097E-3</v>
      </c>
    </row>
    <row r="68" spans="1:26" s="24" customFormat="1" hidden="1" outlineLevel="2" x14ac:dyDescent="0.25">
      <c r="A68" s="26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222.5</v>
      </c>
      <c r="E68" s="2"/>
      <c r="F68" s="7">
        <f t="shared" si="48"/>
        <v>0</v>
      </c>
      <c r="G68" s="2"/>
      <c r="H68" s="6">
        <v>152</v>
      </c>
      <c r="I68" s="2"/>
      <c r="J68" s="7">
        <f t="shared" si="49"/>
        <v>0</v>
      </c>
      <c r="K68" s="2"/>
      <c r="L68" s="6">
        <f t="shared" si="50"/>
        <v>70.5</v>
      </c>
      <c r="M68" s="2"/>
      <c r="N68" s="7">
        <f t="shared" si="51"/>
        <v>0.46381578947368424</v>
      </c>
      <c r="O68" s="11"/>
      <c r="P68" s="6">
        <v>890</v>
      </c>
      <c r="Q68" s="2"/>
      <c r="R68" s="7">
        <f t="shared" si="52"/>
        <v>0</v>
      </c>
      <c r="S68" s="2"/>
      <c r="T68" s="6">
        <v>735.5</v>
      </c>
      <c r="U68" s="2"/>
      <c r="V68" s="7">
        <f t="shared" si="53"/>
        <v>0</v>
      </c>
      <c r="W68" s="2"/>
      <c r="X68" s="6">
        <f t="shared" si="54"/>
        <v>154.5</v>
      </c>
      <c r="Y68" s="2"/>
      <c r="Z68" s="7">
        <f t="shared" si="55"/>
        <v>0.21006118286879674</v>
      </c>
    </row>
    <row r="69" spans="1:26" s="24" customFormat="1" hidden="1" outlineLevel="2" x14ac:dyDescent="0.25">
      <c r="A69" s="26"/>
      <c r="B69" s="11" t="str">
        <f>CONCATENATE("          ", "6283", " - ", "PLANT SERVICE")</f>
        <v xml:space="preserve">          6283 - PLANT SERVICE</v>
      </c>
      <c r="C69" s="11"/>
      <c r="D69" s="6"/>
      <c r="E69" s="2"/>
      <c r="F69" s="7">
        <f t="shared" si="48"/>
        <v>0</v>
      </c>
      <c r="G69" s="2"/>
      <c r="H69" s="6">
        <v>239.5</v>
      </c>
      <c r="I69" s="2"/>
      <c r="J69" s="7">
        <f t="shared" si="49"/>
        <v>0</v>
      </c>
      <c r="K69" s="2"/>
      <c r="L69" s="6">
        <f t="shared" si="50"/>
        <v>-239.5</v>
      </c>
      <c r="M69" s="2"/>
      <c r="N69" s="7">
        <f t="shared" si="51"/>
        <v>-1</v>
      </c>
      <c r="O69" s="11"/>
      <c r="P69" s="6">
        <v>363.33</v>
      </c>
      <c r="Q69" s="2"/>
      <c r="R69" s="7">
        <f t="shared" si="52"/>
        <v>0</v>
      </c>
      <c r="S69" s="2"/>
      <c r="T69" s="6">
        <v>590.5</v>
      </c>
      <c r="U69" s="2"/>
      <c r="V69" s="7">
        <f t="shared" si="53"/>
        <v>0</v>
      </c>
      <c r="W69" s="2"/>
      <c r="X69" s="6">
        <f t="shared" si="54"/>
        <v>-227.17000000000002</v>
      </c>
      <c r="Y69" s="2"/>
      <c r="Z69" s="7">
        <f t="shared" si="55"/>
        <v>-0.38470787468247253</v>
      </c>
    </row>
    <row r="70" spans="1:26" s="24" customFormat="1" hidden="1" outlineLevel="2" x14ac:dyDescent="0.25">
      <c r="A70" s="26"/>
      <c r="B70" s="11" t="str">
        <f>CONCATENATE("          ", "6285", " - ", "JANITORIAL SERVICES")</f>
        <v xml:space="preserve">          6285 - JANITORIAL SERVICES</v>
      </c>
      <c r="C70" s="11"/>
      <c r="D70" s="6">
        <v>3836.43</v>
      </c>
      <c r="E70" s="2"/>
      <c r="F70" s="7">
        <f t="shared" si="48"/>
        <v>0</v>
      </c>
      <c r="G70" s="2"/>
      <c r="H70" s="6">
        <v>3561.24</v>
      </c>
      <c r="I70" s="2"/>
      <c r="J70" s="7">
        <f t="shared" si="49"/>
        <v>0</v>
      </c>
      <c r="K70" s="2"/>
      <c r="L70" s="6">
        <f t="shared" si="50"/>
        <v>275.19000000000005</v>
      </c>
      <c r="M70" s="2"/>
      <c r="N70" s="7">
        <f t="shared" si="51"/>
        <v>7.7273646258044976E-2</v>
      </c>
      <c r="O70" s="11"/>
      <c r="P70" s="6">
        <v>14612.72</v>
      </c>
      <c r="Q70" s="2"/>
      <c r="R70" s="7">
        <f t="shared" si="52"/>
        <v>0</v>
      </c>
      <c r="S70" s="2"/>
      <c r="T70" s="6">
        <v>14419.84</v>
      </c>
      <c r="U70" s="2"/>
      <c r="V70" s="7">
        <f t="shared" si="53"/>
        <v>0</v>
      </c>
      <c r="W70" s="2"/>
      <c r="X70" s="6">
        <f t="shared" si="54"/>
        <v>192.8799999999992</v>
      </c>
      <c r="Y70" s="2"/>
      <c r="Z70" s="7">
        <f t="shared" si="55"/>
        <v>1.3376015267853125E-2</v>
      </c>
    </row>
    <row r="71" spans="1:26" s="27" customFormat="1" outlineLevel="1" collapsed="1" x14ac:dyDescent="0.25">
      <c r="A71" s="25"/>
      <c r="B71" s="13" t="str">
        <f>CONCATENATE("     ","Subscriptions &amp; Dues                              ")</f>
        <v xml:space="preserve">     Subscriptions &amp; Dues                              </v>
      </c>
      <c r="C71" s="13"/>
      <c r="D71" s="1">
        <f>SUM(OSRRefD22_16x_0)</f>
        <v>0</v>
      </c>
      <c r="E71" s="1"/>
      <c r="F71" s="5">
        <f t="shared" ref="F71:F78" si="56">IF(D$12=0,0,D71/D$12)</f>
        <v>0</v>
      </c>
      <c r="G71" s="1"/>
      <c r="H71" s="1">
        <f>SUM(OSRRefH22_16x_0)</f>
        <v>144.97999999999999</v>
      </c>
      <c r="I71" s="1"/>
      <c r="J71" s="5">
        <f t="shared" ref="J71:J78" si="57">IF(H$12=0,0,H71/H$12)</f>
        <v>0</v>
      </c>
      <c r="K71" s="1"/>
      <c r="L71" s="1">
        <f t="shared" ref="L71:L78" si="58">+D71-H71</f>
        <v>-144.97999999999999</v>
      </c>
      <c r="M71" s="1"/>
      <c r="N71" s="5">
        <f t="shared" ref="N71:N78" si="59">IF(H71=0,0,L71/H71)</f>
        <v>-1</v>
      </c>
      <c r="O71" s="13"/>
      <c r="P71" s="1">
        <f>SUM(OSRRefP22_16x_0)</f>
        <v>479.94</v>
      </c>
      <c r="Q71" s="1"/>
      <c r="R71" s="5">
        <f t="shared" ref="R71:R78" si="60">IF(P$12=0,0,P71/P$12)</f>
        <v>0</v>
      </c>
      <c r="S71" s="1"/>
      <c r="T71" s="1">
        <f>SUM(OSRRefT22_16x_0)</f>
        <v>584.16999999999996</v>
      </c>
      <c r="U71" s="1"/>
      <c r="V71" s="5">
        <f t="shared" ref="V71:V78" si="61">IF(T$12=0,0,T71/T$12)</f>
        <v>0</v>
      </c>
      <c r="W71" s="1"/>
      <c r="X71" s="1">
        <f t="shared" ref="X71:X78" si="62">+P71-T71</f>
        <v>-104.22999999999996</v>
      </c>
      <c r="Y71" s="1"/>
      <c r="Z71" s="5">
        <f t="shared" ref="Z71:Z78" si="63">IF(T71=0,0,X71/T71)</f>
        <v>-0.17842408887823744</v>
      </c>
    </row>
    <row r="72" spans="1:26" s="24" customFormat="1" hidden="1" outlineLevel="2" x14ac:dyDescent="0.25">
      <c r="A72" s="26"/>
      <c r="B72" s="11" t="str">
        <f>CONCATENATE("          ", "6275", " - ", "SUBSCRIPTIONS")</f>
        <v xml:space="preserve">          6275 - SUBSCRIPTIONS</v>
      </c>
      <c r="C72" s="11"/>
      <c r="D72" s="6"/>
      <c r="E72" s="2"/>
      <c r="F72" s="7">
        <f t="shared" si="56"/>
        <v>0</v>
      </c>
      <c r="G72" s="2"/>
      <c r="H72" s="6">
        <v>144.97999999999999</v>
      </c>
      <c r="I72" s="2"/>
      <c r="J72" s="7">
        <f t="shared" si="57"/>
        <v>0</v>
      </c>
      <c r="K72" s="2"/>
      <c r="L72" s="6">
        <f t="shared" si="58"/>
        <v>-144.97999999999999</v>
      </c>
      <c r="M72" s="2"/>
      <c r="N72" s="7">
        <f t="shared" si="59"/>
        <v>-1</v>
      </c>
      <c r="O72" s="11"/>
      <c r="P72" s="6">
        <v>479.94</v>
      </c>
      <c r="Q72" s="2"/>
      <c r="R72" s="7">
        <f t="shared" si="60"/>
        <v>0</v>
      </c>
      <c r="S72" s="2"/>
      <c r="T72" s="6">
        <v>584.16999999999996</v>
      </c>
      <c r="U72" s="2"/>
      <c r="V72" s="7">
        <f t="shared" si="61"/>
        <v>0</v>
      </c>
      <c r="W72" s="2"/>
      <c r="X72" s="6">
        <f t="shared" si="62"/>
        <v>-104.22999999999996</v>
      </c>
      <c r="Y72" s="2"/>
      <c r="Z72" s="7">
        <f t="shared" si="63"/>
        <v>-0.17842408887823744</v>
      </c>
    </row>
    <row r="73" spans="1:26" s="27" customFormat="1" outlineLevel="1" collapsed="1" x14ac:dyDescent="0.25">
      <c r="A73" s="25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SUM(OSRRefD22_17x_0)</f>
        <v>1139.5999999999999</v>
      </c>
      <c r="E73" s="1"/>
      <c r="F73" s="5">
        <f t="shared" si="56"/>
        <v>0</v>
      </c>
      <c r="G73" s="1"/>
      <c r="H73" s="1">
        <f>SUM(OSRRefH22_17x_0)</f>
        <v>12092.32</v>
      </c>
      <c r="I73" s="1"/>
      <c r="J73" s="5">
        <f t="shared" si="57"/>
        <v>0</v>
      </c>
      <c r="K73" s="1"/>
      <c r="L73" s="1">
        <f t="shared" si="58"/>
        <v>-10952.72</v>
      </c>
      <c r="M73" s="1"/>
      <c r="N73" s="5">
        <f t="shared" si="59"/>
        <v>-0.90575836564034029</v>
      </c>
      <c r="O73" s="13"/>
      <c r="P73" s="1">
        <f>SUM(OSRRefP22_17x_0)</f>
        <v>7801.079999999999</v>
      </c>
      <c r="Q73" s="1"/>
      <c r="R73" s="5">
        <f t="shared" si="60"/>
        <v>0</v>
      </c>
      <c r="S73" s="1"/>
      <c r="T73" s="1">
        <f>SUM(OSRRefT22_17x_0)</f>
        <v>31116.58</v>
      </c>
      <c r="U73" s="1"/>
      <c r="V73" s="5">
        <f t="shared" si="61"/>
        <v>0</v>
      </c>
      <c r="W73" s="1"/>
      <c r="X73" s="1">
        <f t="shared" si="62"/>
        <v>-23315.500000000004</v>
      </c>
      <c r="Y73" s="1"/>
      <c r="Z73" s="5">
        <f t="shared" si="63"/>
        <v>-0.74929507034513443</v>
      </c>
    </row>
    <row r="74" spans="1:26" s="24" customFormat="1" hidden="1" outlineLevel="2" x14ac:dyDescent="0.25">
      <c r="A74" s="26"/>
      <c r="B74" s="11" t="str">
        <f>CONCATENATE("          ", "6234", " - ", "EXPENDABLE SUPPLIES &amp; EQUIPMEN")</f>
        <v xml:space="preserve">          6234 - EXPENDABLE SUPPLIES &amp; EQUIPMEN</v>
      </c>
      <c r="C74" s="11"/>
      <c r="D74" s="6"/>
      <c r="E74" s="2"/>
      <c r="F74" s="7">
        <f t="shared" si="56"/>
        <v>0</v>
      </c>
      <c r="G74" s="2"/>
      <c r="H74" s="6">
        <v>807.27</v>
      </c>
      <c r="I74" s="2"/>
      <c r="J74" s="7">
        <f t="shared" si="57"/>
        <v>0</v>
      </c>
      <c r="K74" s="2"/>
      <c r="L74" s="6">
        <f t="shared" si="58"/>
        <v>-807.27</v>
      </c>
      <c r="M74" s="2"/>
      <c r="N74" s="7">
        <f t="shared" si="59"/>
        <v>-1</v>
      </c>
      <c r="O74" s="11"/>
      <c r="P74" s="6">
        <v>714.78</v>
      </c>
      <c r="Q74" s="2"/>
      <c r="R74" s="7">
        <f t="shared" si="60"/>
        <v>0</v>
      </c>
      <c r="S74" s="2"/>
      <c r="T74" s="6">
        <v>1164.48</v>
      </c>
      <c r="U74" s="2"/>
      <c r="V74" s="7">
        <f t="shared" si="61"/>
        <v>0</v>
      </c>
      <c r="W74" s="2"/>
      <c r="X74" s="6">
        <f t="shared" si="62"/>
        <v>-449.70000000000005</v>
      </c>
      <c r="Y74" s="2"/>
      <c r="Z74" s="7">
        <f t="shared" si="63"/>
        <v>-0.3861809563066777</v>
      </c>
    </row>
    <row r="75" spans="1:26" s="24" customFormat="1" hidden="1" outlineLevel="2" x14ac:dyDescent="0.25">
      <c r="A75" s="26"/>
      <c r="B75" s="11" t="str">
        <f>CONCATENATE("          ", "6237", " - ", "JANITORIAL SUPPLIES")</f>
        <v xml:space="preserve">          6237 - JANITORIAL SUPPLIES</v>
      </c>
      <c r="C75" s="11"/>
      <c r="D75" s="6">
        <v>219.55</v>
      </c>
      <c r="E75" s="2"/>
      <c r="F75" s="7">
        <f t="shared" si="56"/>
        <v>0</v>
      </c>
      <c r="G75" s="2"/>
      <c r="H75" s="6">
        <v>1207.28</v>
      </c>
      <c r="I75" s="2"/>
      <c r="J75" s="7">
        <f t="shared" si="57"/>
        <v>0</v>
      </c>
      <c r="K75" s="2"/>
      <c r="L75" s="6">
        <f t="shared" si="58"/>
        <v>-987.73</v>
      </c>
      <c r="M75" s="2"/>
      <c r="N75" s="7">
        <f t="shared" si="59"/>
        <v>-0.81814492081373003</v>
      </c>
      <c r="O75" s="11"/>
      <c r="P75" s="6">
        <v>1878.5</v>
      </c>
      <c r="Q75" s="2"/>
      <c r="R75" s="7">
        <f t="shared" si="60"/>
        <v>0</v>
      </c>
      <c r="S75" s="2"/>
      <c r="T75" s="6">
        <v>2346.3200000000002</v>
      </c>
      <c r="U75" s="2"/>
      <c r="V75" s="7">
        <f t="shared" si="61"/>
        <v>0</v>
      </c>
      <c r="W75" s="2"/>
      <c r="X75" s="6">
        <f t="shared" si="62"/>
        <v>-467.82000000000016</v>
      </c>
      <c r="Y75" s="2"/>
      <c r="Z75" s="7">
        <f t="shared" si="63"/>
        <v>-0.19938456817484407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6">
        <v>840.52</v>
      </c>
      <c r="E76" s="2"/>
      <c r="F76" s="7">
        <f t="shared" si="56"/>
        <v>0</v>
      </c>
      <c r="G76" s="2"/>
      <c r="H76" s="6">
        <v>815.06</v>
      </c>
      <c r="I76" s="2"/>
      <c r="J76" s="7">
        <f t="shared" si="57"/>
        <v>0</v>
      </c>
      <c r="K76" s="2"/>
      <c r="L76" s="6">
        <f t="shared" si="58"/>
        <v>25.460000000000036</v>
      </c>
      <c r="M76" s="2"/>
      <c r="N76" s="7">
        <f t="shared" si="59"/>
        <v>3.1236964149878584E-2</v>
      </c>
      <c r="O76" s="11"/>
      <c r="P76" s="6">
        <v>5091.46</v>
      </c>
      <c r="Q76" s="2"/>
      <c r="R76" s="7">
        <f t="shared" si="60"/>
        <v>0</v>
      </c>
      <c r="S76" s="2"/>
      <c r="T76" s="6">
        <v>4927.41</v>
      </c>
      <c r="U76" s="2"/>
      <c r="V76" s="7">
        <f t="shared" si="61"/>
        <v>0</v>
      </c>
      <c r="W76" s="2"/>
      <c r="X76" s="6">
        <f t="shared" si="62"/>
        <v>164.05000000000018</v>
      </c>
      <c r="Y76" s="2"/>
      <c r="Z76" s="7">
        <f t="shared" si="63"/>
        <v>3.3293352897363966E-2</v>
      </c>
    </row>
    <row r="77" spans="1:26" s="24" customFormat="1" hidden="1" outlineLevel="2" x14ac:dyDescent="0.25">
      <c r="A77" s="26"/>
      <c r="B77" s="11" t="str">
        <f>CONCATENATE("          ", "6245", " - ", "PRINTING")</f>
        <v xml:space="preserve">          6245 - PRINTING</v>
      </c>
      <c r="C77" s="11"/>
      <c r="D77" s="6"/>
      <c r="E77" s="2"/>
      <c r="F77" s="7">
        <f t="shared" si="56"/>
        <v>0</v>
      </c>
      <c r="G77" s="2"/>
      <c r="H77" s="6">
        <v>195.14</v>
      </c>
      <c r="I77" s="2"/>
      <c r="J77" s="7">
        <f t="shared" si="57"/>
        <v>0</v>
      </c>
      <c r="K77" s="2"/>
      <c r="L77" s="6">
        <f t="shared" si="58"/>
        <v>-195.14</v>
      </c>
      <c r="M77" s="2"/>
      <c r="N77" s="7">
        <f t="shared" si="59"/>
        <v>-1</v>
      </c>
      <c r="O77" s="11"/>
      <c r="P77" s="6">
        <v>19.73</v>
      </c>
      <c r="Q77" s="2"/>
      <c r="R77" s="7">
        <f t="shared" si="60"/>
        <v>0</v>
      </c>
      <c r="S77" s="2"/>
      <c r="T77" s="6">
        <v>565.12</v>
      </c>
      <c r="U77" s="2"/>
      <c r="V77" s="7">
        <f t="shared" si="61"/>
        <v>0</v>
      </c>
      <c r="W77" s="2"/>
      <c r="X77" s="6">
        <f t="shared" si="62"/>
        <v>-545.39</v>
      </c>
      <c r="Y77" s="2"/>
      <c r="Z77" s="7">
        <f t="shared" si="63"/>
        <v>-0.96508706115515286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6">
        <v>79.53</v>
      </c>
      <c r="E78" s="2"/>
      <c r="F78" s="7">
        <f t="shared" si="56"/>
        <v>0</v>
      </c>
      <c r="G78" s="2"/>
      <c r="H78" s="6">
        <v>9067.57</v>
      </c>
      <c r="I78" s="2"/>
      <c r="J78" s="7">
        <f t="shared" si="57"/>
        <v>0</v>
      </c>
      <c r="K78" s="2"/>
      <c r="L78" s="6">
        <f t="shared" si="58"/>
        <v>-8988.0399999999991</v>
      </c>
      <c r="M78" s="2"/>
      <c r="N78" s="7">
        <f t="shared" si="59"/>
        <v>-0.99122918268069604</v>
      </c>
      <c r="O78" s="11"/>
      <c r="P78" s="6">
        <v>96.61</v>
      </c>
      <c r="Q78" s="2"/>
      <c r="R78" s="7">
        <f t="shared" si="60"/>
        <v>0</v>
      </c>
      <c r="S78" s="2"/>
      <c r="T78" s="6">
        <v>22113.25</v>
      </c>
      <c r="U78" s="2"/>
      <c r="V78" s="7">
        <f t="shared" si="61"/>
        <v>0</v>
      </c>
      <c r="W78" s="2"/>
      <c r="X78" s="6">
        <f t="shared" si="62"/>
        <v>-22016.639999999999</v>
      </c>
      <c r="Y78" s="2"/>
      <c r="Z78" s="7">
        <f t="shared" si="63"/>
        <v>-0.99563112613478344</v>
      </c>
    </row>
    <row r="79" spans="1:26" s="27" customFormat="1" outlineLevel="1" collapsed="1" x14ac:dyDescent="0.25">
      <c r="A79" s="25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SUM(OSRRefD22_18x_0)</f>
        <v>528.71</v>
      </c>
      <c r="E79" s="1"/>
      <c r="F79" s="5">
        <f t="shared" ref="F79:F85" si="64">IF(D$12=0,0,D79/D$12)</f>
        <v>0</v>
      </c>
      <c r="G79" s="1"/>
      <c r="H79" s="1">
        <f>SUM(OSRRefH22_18x_0)</f>
        <v>468.16</v>
      </c>
      <c r="I79" s="1"/>
      <c r="J79" s="5">
        <f t="shared" ref="J79:J85" si="65">IF(H$12=0,0,H79/H$12)</f>
        <v>0</v>
      </c>
      <c r="K79" s="1"/>
      <c r="L79" s="1">
        <f t="shared" ref="L79:L85" si="66">+D79-H79</f>
        <v>60.550000000000011</v>
      </c>
      <c r="M79" s="1"/>
      <c r="N79" s="5">
        <f t="shared" ref="N79:N85" si="67">IF(H79=0,0,L79/H79)</f>
        <v>0.12933612440191389</v>
      </c>
      <c r="O79" s="13"/>
      <c r="P79" s="1">
        <f>SUM(OSRRefP22_18x_0)</f>
        <v>2132.79</v>
      </c>
      <c r="Q79" s="1"/>
      <c r="R79" s="5">
        <f t="shared" ref="R79:R85" si="68">IF(P$12=0,0,P79/P$12)</f>
        <v>0</v>
      </c>
      <c r="S79" s="1"/>
      <c r="T79" s="1">
        <f>SUM(OSRRefT22_18x_0)</f>
        <v>1950.09</v>
      </c>
      <c r="U79" s="1"/>
      <c r="V79" s="5">
        <f t="shared" ref="V79:V85" si="69">IF(T$12=0,0,T79/T$12)</f>
        <v>0</v>
      </c>
      <c r="W79" s="1"/>
      <c r="X79" s="1">
        <f t="shared" ref="X79:X85" si="70">+P79-T79</f>
        <v>182.70000000000005</v>
      </c>
      <c r="Y79" s="1"/>
      <c r="Z79" s="5">
        <f t="shared" ref="Z79:Z85" si="71">IF(T79=0,0,X79/T79)</f>
        <v>9.3687983631524724E-2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6">
        <v>528.71</v>
      </c>
      <c r="E80" s="2"/>
      <c r="F80" s="7">
        <f t="shared" si="64"/>
        <v>0</v>
      </c>
      <c r="G80" s="2"/>
      <c r="H80" s="6">
        <v>468.16</v>
      </c>
      <c r="I80" s="2"/>
      <c r="J80" s="7">
        <f t="shared" si="65"/>
        <v>0</v>
      </c>
      <c r="K80" s="2"/>
      <c r="L80" s="6">
        <f t="shared" si="66"/>
        <v>60.550000000000011</v>
      </c>
      <c r="M80" s="2"/>
      <c r="N80" s="7">
        <f t="shared" si="67"/>
        <v>0.12933612440191389</v>
      </c>
      <c r="O80" s="11"/>
      <c r="P80" s="6">
        <v>2132.79</v>
      </c>
      <c r="Q80" s="2"/>
      <c r="R80" s="7">
        <f t="shared" si="68"/>
        <v>0</v>
      </c>
      <c r="S80" s="2"/>
      <c r="T80" s="6">
        <v>1950.09</v>
      </c>
      <c r="U80" s="2"/>
      <c r="V80" s="7">
        <f t="shared" si="69"/>
        <v>0</v>
      </c>
      <c r="W80" s="2"/>
      <c r="X80" s="6">
        <f t="shared" si="70"/>
        <v>182.70000000000005</v>
      </c>
      <c r="Y80" s="2"/>
      <c r="Z80" s="7">
        <f t="shared" si="71"/>
        <v>9.3687983631524724E-2</v>
      </c>
    </row>
    <row r="81" spans="1:26" s="27" customFormat="1" outlineLevel="1" collapsed="1" x14ac:dyDescent="0.25">
      <c r="A81" s="25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SUM(OSRRefD22_19x_0)</f>
        <v>1797.96</v>
      </c>
      <c r="E81" s="1"/>
      <c r="F81" s="5">
        <f t="shared" si="64"/>
        <v>0</v>
      </c>
      <c r="G81" s="1"/>
      <c r="H81" s="1">
        <f>SUM(OSRRefH22_19x_0)</f>
        <v>1432.16</v>
      </c>
      <c r="I81" s="1"/>
      <c r="J81" s="5">
        <f t="shared" si="65"/>
        <v>0</v>
      </c>
      <c r="K81" s="1"/>
      <c r="L81" s="1">
        <f t="shared" si="66"/>
        <v>365.79999999999995</v>
      </c>
      <c r="M81" s="1"/>
      <c r="N81" s="5">
        <f t="shared" si="67"/>
        <v>0.25541838900681485</v>
      </c>
      <c r="O81" s="13"/>
      <c r="P81" s="1">
        <f>SUM(OSRRefP22_19x_0)</f>
        <v>3469.52</v>
      </c>
      <c r="Q81" s="1"/>
      <c r="R81" s="5">
        <f t="shared" si="68"/>
        <v>0</v>
      </c>
      <c r="S81" s="1"/>
      <c r="T81" s="1">
        <f>SUM(OSRRefT22_19x_0)</f>
        <v>2044.16</v>
      </c>
      <c r="U81" s="1"/>
      <c r="V81" s="5">
        <f t="shared" si="69"/>
        <v>0</v>
      </c>
      <c r="W81" s="1"/>
      <c r="X81" s="1">
        <f t="shared" si="70"/>
        <v>1425.36</v>
      </c>
      <c r="Y81" s="1"/>
      <c r="Z81" s="5">
        <f t="shared" si="71"/>
        <v>0.69728396994364428</v>
      </c>
    </row>
    <row r="82" spans="1:26" s="24" customFormat="1" hidden="1" outlineLevel="2" x14ac:dyDescent="0.25">
      <c r="A82" s="26"/>
      <c r="B82" s="11" t="str">
        <f>CONCATENATE("          ", "6376", " - ", "TRAINING")</f>
        <v xml:space="preserve">          6376 - TRAINING</v>
      </c>
      <c r="C82" s="11"/>
      <c r="D82" s="6">
        <v>1797.96</v>
      </c>
      <c r="E82" s="2"/>
      <c r="F82" s="7">
        <f t="shared" si="64"/>
        <v>0</v>
      </c>
      <c r="G82" s="2"/>
      <c r="H82" s="6">
        <v>1432.16</v>
      </c>
      <c r="I82" s="2"/>
      <c r="J82" s="7">
        <f t="shared" si="65"/>
        <v>0</v>
      </c>
      <c r="K82" s="2"/>
      <c r="L82" s="6">
        <f t="shared" si="66"/>
        <v>365.79999999999995</v>
      </c>
      <c r="M82" s="2"/>
      <c r="N82" s="7">
        <f t="shared" si="67"/>
        <v>0.25541838900681485</v>
      </c>
      <c r="O82" s="11"/>
      <c r="P82" s="6">
        <v>3469.52</v>
      </c>
      <c r="Q82" s="2"/>
      <c r="R82" s="7">
        <f t="shared" si="68"/>
        <v>0</v>
      </c>
      <c r="S82" s="2"/>
      <c r="T82" s="6">
        <v>2044.16</v>
      </c>
      <c r="U82" s="2"/>
      <c r="V82" s="7">
        <f t="shared" si="69"/>
        <v>0</v>
      </c>
      <c r="W82" s="2"/>
      <c r="X82" s="6">
        <f t="shared" si="70"/>
        <v>1425.36</v>
      </c>
      <c r="Y82" s="2"/>
      <c r="Z82" s="7">
        <f t="shared" si="71"/>
        <v>0.69728396994364428</v>
      </c>
    </row>
    <row r="83" spans="1:26" s="27" customFormat="1" outlineLevel="1" collapsed="1" x14ac:dyDescent="0.25">
      <c r="A83" s="25"/>
      <c r="B83" s="13" t="str">
        <f>CONCATENATE("     ","Travel                                            ")</f>
        <v xml:space="preserve">     Travel                                            </v>
      </c>
      <c r="C83" s="13"/>
      <c r="D83" s="1">
        <f>SUM(OSRRefD22_20x_0)</f>
        <v>107.91</v>
      </c>
      <c r="E83" s="1"/>
      <c r="F83" s="5">
        <f t="shared" si="64"/>
        <v>0</v>
      </c>
      <c r="G83" s="1"/>
      <c r="H83" s="1">
        <f>SUM(OSRRefH22_20x_0)</f>
        <v>91.800000000000011</v>
      </c>
      <c r="I83" s="1"/>
      <c r="J83" s="5">
        <f t="shared" si="65"/>
        <v>0</v>
      </c>
      <c r="K83" s="1"/>
      <c r="L83" s="1">
        <f t="shared" si="66"/>
        <v>16.109999999999985</v>
      </c>
      <c r="M83" s="1"/>
      <c r="N83" s="5">
        <f t="shared" si="67"/>
        <v>0.17549019607843119</v>
      </c>
      <c r="O83" s="13"/>
      <c r="P83" s="1">
        <f>SUM(OSRRefP22_20x_0)</f>
        <v>619.67000000000007</v>
      </c>
      <c r="Q83" s="1"/>
      <c r="R83" s="5">
        <f t="shared" si="68"/>
        <v>0</v>
      </c>
      <c r="S83" s="1"/>
      <c r="T83" s="1">
        <f>SUM(OSRRefT22_20x_0)</f>
        <v>565.4</v>
      </c>
      <c r="U83" s="1"/>
      <c r="V83" s="5">
        <f t="shared" si="69"/>
        <v>0</v>
      </c>
      <c r="W83" s="1"/>
      <c r="X83" s="1">
        <f t="shared" si="70"/>
        <v>54.270000000000095</v>
      </c>
      <c r="Y83" s="1"/>
      <c r="Z83" s="5">
        <f t="shared" si="71"/>
        <v>9.5985143261408029E-2</v>
      </c>
    </row>
    <row r="84" spans="1:26" s="24" customFormat="1" hidden="1" outlineLevel="2" x14ac:dyDescent="0.25">
      <c r="A84" s="26"/>
      <c r="B84" s="11" t="str">
        <f>CONCATENATE("          ", "6292", " - ", "TRAVEL/CONFERENCE")</f>
        <v xml:space="preserve">          6292 - TRAVEL/CONFERENCE</v>
      </c>
      <c r="C84" s="11"/>
      <c r="D84" s="6">
        <v>107.91</v>
      </c>
      <c r="E84" s="2"/>
      <c r="F84" s="7">
        <f t="shared" si="64"/>
        <v>0</v>
      </c>
      <c r="G84" s="2"/>
      <c r="H84" s="6">
        <v>49.56</v>
      </c>
      <c r="I84" s="2"/>
      <c r="J84" s="7">
        <f t="shared" si="65"/>
        <v>0</v>
      </c>
      <c r="K84" s="2"/>
      <c r="L84" s="6">
        <f t="shared" si="66"/>
        <v>58.349999999999994</v>
      </c>
      <c r="M84" s="2"/>
      <c r="N84" s="7">
        <f t="shared" si="67"/>
        <v>1.1773607748184018</v>
      </c>
      <c r="O84" s="11"/>
      <c r="P84" s="6">
        <v>449.68</v>
      </c>
      <c r="Q84" s="2"/>
      <c r="R84" s="7">
        <f t="shared" si="68"/>
        <v>0</v>
      </c>
      <c r="S84" s="2"/>
      <c r="T84" s="6">
        <v>450.16</v>
      </c>
      <c r="U84" s="2"/>
      <c r="V84" s="7">
        <f t="shared" si="69"/>
        <v>0</v>
      </c>
      <c r="W84" s="2"/>
      <c r="X84" s="6">
        <f t="shared" si="70"/>
        <v>-0.48000000000001819</v>
      </c>
      <c r="Y84" s="2"/>
      <c r="Z84" s="7">
        <f t="shared" si="71"/>
        <v>-1.0662875422072556E-3</v>
      </c>
    </row>
    <row r="85" spans="1:26" s="24" customFormat="1" hidden="1" outlineLevel="2" x14ac:dyDescent="0.25">
      <c r="A85" s="26"/>
      <c r="B85" s="11" t="str">
        <f>CONCATENATE("          ", "6298", " - ", "VEHICLE MILEAGE")</f>
        <v xml:space="preserve">          6298 - VEHICLE MILEAGE</v>
      </c>
      <c r="C85" s="11"/>
      <c r="D85" s="6"/>
      <c r="E85" s="2"/>
      <c r="F85" s="7">
        <f t="shared" si="64"/>
        <v>0</v>
      </c>
      <c r="G85" s="2"/>
      <c r="H85" s="6">
        <v>42.24</v>
      </c>
      <c r="I85" s="2"/>
      <c r="J85" s="7">
        <f t="shared" si="65"/>
        <v>0</v>
      </c>
      <c r="K85" s="2"/>
      <c r="L85" s="6">
        <f t="shared" si="66"/>
        <v>-42.24</v>
      </c>
      <c r="M85" s="2"/>
      <c r="N85" s="7">
        <f t="shared" si="67"/>
        <v>-1</v>
      </c>
      <c r="O85" s="11"/>
      <c r="P85" s="6">
        <v>169.99</v>
      </c>
      <c r="Q85" s="2"/>
      <c r="R85" s="7">
        <f t="shared" si="68"/>
        <v>0</v>
      </c>
      <c r="S85" s="2"/>
      <c r="T85" s="6">
        <v>115.24</v>
      </c>
      <c r="U85" s="2"/>
      <c r="V85" s="7">
        <f t="shared" si="69"/>
        <v>0</v>
      </c>
      <c r="W85" s="2"/>
      <c r="X85" s="6">
        <f t="shared" si="70"/>
        <v>54.750000000000014</v>
      </c>
      <c r="Y85" s="2"/>
      <c r="Z85" s="7">
        <f t="shared" si="71"/>
        <v>0.47509545296771971</v>
      </c>
    </row>
    <row r="86" spans="1:26" s="27" customFormat="1" outlineLevel="1" collapsed="1" x14ac:dyDescent="0.25">
      <c r="A86" s="25"/>
      <c r="B86" s="13" t="str">
        <f>CONCATENATE("     ","Utilities                                         ")</f>
        <v xml:space="preserve">     Utilities                                         </v>
      </c>
      <c r="C86" s="13"/>
      <c r="D86" s="1">
        <f>SUM(OSRRefD22_21x_0)</f>
        <v>5593</v>
      </c>
      <c r="E86" s="1"/>
      <c r="F86" s="5">
        <f t="shared" ref="F86:F87" si="72">IF(D$12=0,0,D86/D$12)</f>
        <v>0</v>
      </c>
      <c r="G86" s="1"/>
      <c r="H86" s="1">
        <f>SUM(OSRRefH22_21x_0)</f>
        <v>-1767</v>
      </c>
      <c r="I86" s="1"/>
      <c r="J86" s="5">
        <f t="shared" ref="J86:J87" si="73">IF(H$12=0,0,H86/H$12)</f>
        <v>0</v>
      </c>
      <c r="K86" s="1"/>
      <c r="L86" s="1">
        <f t="shared" ref="L86:L87" si="74">+D86-H86</f>
        <v>7360</v>
      </c>
      <c r="M86" s="1"/>
      <c r="N86" s="5">
        <f t="shared" ref="N86:N87" si="75">IF(H86=0,0,L86/H86)</f>
        <v>-4.1652518392756086</v>
      </c>
      <c r="O86" s="13"/>
      <c r="P86" s="1">
        <f>SUM(OSRRefP22_21x_0)</f>
        <v>16779</v>
      </c>
      <c r="Q86" s="1"/>
      <c r="R86" s="5">
        <f t="shared" ref="R86:R87" si="76">IF(P$12=0,0,P86/P$12)</f>
        <v>0</v>
      </c>
      <c r="S86" s="1"/>
      <c r="T86" s="1">
        <f>SUM(OSRRefT22_21x_0)</f>
        <v>15012</v>
      </c>
      <c r="U86" s="1"/>
      <c r="V86" s="5">
        <f t="shared" ref="V86:V87" si="77">IF(T$12=0,0,T86/T$12)</f>
        <v>0</v>
      </c>
      <c r="W86" s="1"/>
      <c r="X86" s="1">
        <f t="shared" ref="X86:X87" si="78">+P86-T86</f>
        <v>1767</v>
      </c>
      <c r="Y86" s="1"/>
      <c r="Z86" s="5">
        <f t="shared" ref="Z86:Z87" si="79">IF(T86=0,0,X86/T86)</f>
        <v>0.11770583533173461</v>
      </c>
    </row>
    <row r="87" spans="1:26" s="24" customFormat="1" hidden="1" outlineLevel="2" x14ac:dyDescent="0.25">
      <c r="A87" s="26"/>
      <c r="B87" s="11" t="str">
        <f>CONCATENATE("          ", "6274", " - ", "UTILITIES")</f>
        <v xml:space="preserve">          6274 - UTILITIES</v>
      </c>
      <c r="C87" s="11"/>
      <c r="D87" s="6">
        <v>5593</v>
      </c>
      <c r="E87" s="2"/>
      <c r="F87" s="7">
        <f t="shared" si="72"/>
        <v>0</v>
      </c>
      <c r="G87" s="2"/>
      <c r="H87" s="6">
        <v>-1767</v>
      </c>
      <c r="I87" s="2"/>
      <c r="J87" s="7">
        <f t="shared" si="73"/>
        <v>0</v>
      </c>
      <c r="K87" s="2"/>
      <c r="L87" s="6">
        <f t="shared" si="74"/>
        <v>7360</v>
      </c>
      <c r="M87" s="2"/>
      <c r="N87" s="7">
        <f t="shared" si="75"/>
        <v>-4.1652518392756086</v>
      </c>
      <c r="O87" s="11"/>
      <c r="P87" s="6">
        <v>16779</v>
      </c>
      <c r="Q87" s="2"/>
      <c r="R87" s="7">
        <f t="shared" si="76"/>
        <v>0</v>
      </c>
      <c r="S87" s="2"/>
      <c r="T87" s="6">
        <v>15012</v>
      </c>
      <c r="U87" s="2"/>
      <c r="V87" s="7">
        <f t="shared" si="77"/>
        <v>0</v>
      </c>
      <c r="W87" s="2"/>
      <c r="X87" s="6">
        <f t="shared" si="78"/>
        <v>1767</v>
      </c>
      <c r="Y87" s="2"/>
      <c r="Z87" s="7">
        <f t="shared" si="79"/>
        <v>0.11770583533173461</v>
      </c>
    </row>
    <row r="88" spans="1:26" s="55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25">
      <c r="A89" s="10"/>
      <c r="B89" s="29" t="s">
        <v>0</v>
      </c>
      <c r="C89" s="10"/>
      <c r="D89" s="4">
        <f>SUM(OSRRefD25x_0)</f>
        <v>15216.93</v>
      </c>
      <c r="E89" s="4"/>
      <c r="F89" s="12">
        <f t="shared" ref="F89:F91" si="80">IF(D$12=0,0,D89/D$12)</f>
        <v>0</v>
      </c>
      <c r="G89" s="4"/>
      <c r="H89" s="4">
        <f>SUM(OSRRefH25x_0)</f>
        <v>59745.520000000004</v>
      </c>
      <c r="I89" s="4"/>
      <c r="J89" s="12">
        <f t="shared" ref="J89:J91" si="81">IF(H$12=0,0,H89/H$12)</f>
        <v>0</v>
      </c>
      <c r="K89" s="4"/>
      <c r="L89" s="4">
        <f t="shared" ref="L89:L91" si="82">+D89-H89</f>
        <v>-44528.590000000004</v>
      </c>
      <c r="M89" s="4"/>
      <c r="N89" s="12">
        <f t="shared" ref="N89:N91" si="83">IF(H89=0,0,L89/H89)</f>
        <v>-0.74530425042747972</v>
      </c>
      <c r="O89" s="10"/>
      <c r="P89" s="4">
        <f>SUM(OSRRefP25x_0)</f>
        <v>84851.23000000001</v>
      </c>
      <c r="Q89" s="4"/>
      <c r="R89" s="12">
        <f t="shared" ref="R89:R91" si="84">IF(P$12=0,0,P89/P$12)</f>
        <v>0</v>
      </c>
      <c r="S89" s="4"/>
      <c r="T89" s="4">
        <f>SUM(OSRRefT25x_0)</f>
        <v>179846.02</v>
      </c>
      <c r="U89" s="4"/>
      <c r="V89" s="12">
        <f t="shared" ref="V89:V91" si="85">IF(T$12=0,0,T89/T$12)</f>
        <v>0</v>
      </c>
      <c r="W89" s="4"/>
      <c r="X89" s="4">
        <f t="shared" ref="X89:X91" si="86">+P89-T89</f>
        <v>-94994.789999999979</v>
      </c>
      <c r="Y89" s="4"/>
      <c r="Z89" s="12">
        <f t="shared" ref="Z89:Z91" si="87">IF(T89=0,0,X89/T89)</f>
        <v>-0.52820067967030904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--11186.17</f>
        <v>11186.17</v>
      </c>
      <c r="E90" s="2"/>
      <c r="F90" s="19">
        <f t="shared" si="80"/>
        <v>0</v>
      </c>
      <c r="G90" s="2"/>
      <c r="H90" s="2">
        <f>--60156.54</f>
        <v>60156.54</v>
      </c>
      <c r="I90" s="2"/>
      <c r="J90" s="19">
        <f t="shared" si="81"/>
        <v>0</v>
      </c>
      <c r="K90" s="2"/>
      <c r="L90" s="2">
        <f t="shared" si="82"/>
        <v>-48970.37</v>
      </c>
      <c r="M90" s="2"/>
      <c r="N90" s="19">
        <f t="shared" si="83"/>
        <v>-0.81404897954569866</v>
      </c>
      <c r="O90" s="11"/>
      <c r="P90" s="2">
        <f>--85303.16</f>
        <v>85303.16</v>
      </c>
      <c r="Q90" s="2"/>
      <c r="R90" s="19">
        <f t="shared" si="84"/>
        <v>0</v>
      </c>
      <c r="S90" s="2"/>
      <c r="T90" s="2">
        <f>--179196.25</f>
        <v>179196.25</v>
      </c>
      <c r="U90" s="2"/>
      <c r="V90" s="19">
        <f t="shared" si="85"/>
        <v>0</v>
      </c>
      <c r="W90" s="2"/>
      <c r="X90" s="2">
        <f t="shared" si="86"/>
        <v>-93893.09</v>
      </c>
      <c r="Y90" s="2"/>
      <c r="Z90" s="19">
        <f t="shared" si="87"/>
        <v>-0.52396794017731951</v>
      </c>
    </row>
    <row r="91" spans="1:26" s="24" customFormat="1" hidden="1" outlineLevel="1" x14ac:dyDescent="0.25">
      <c r="A91" s="44"/>
      <c r="B91" s="11" t="str">
        <f>CONCATENATE("          ", "9151", " - ", "MISC. INCOME")</f>
        <v xml:space="preserve">          9151 - MISC. INCOME</v>
      </c>
      <c r="C91" s="11"/>
      <c r="D91" s="2">
        <f>--4030.76</f>
        <v>4030.76</v>
      </c>
      <c r="E91" s="2"/>
      <c r="F91" s="19">
        <f t="shared" si="80"/>
        <v>0</v>
      </c>
      <c r="G91" s="2"/>
      <c r="H91" s="2">
        <f>-411.02</f>
        <v>-411.02</v>
      </c>
      <c r="I91" s="2"/>
      <c r="J91" s="19">
        <f t="shared" si="81"/>
        <v>0</v>
      </c>
      <c r="K91" s="2"/>
      <c r="L91" s="2">
        <f t="shared" si="82"/>
        <v>4441.7800000000007</v>
      </c>
      <c r="M91" s="2"/>
      <c r="N91" s="19">
        <f t="shared" si="83"/>
        <v>-10.806724733589608</v>
      </c>
      <c r="O91" s="11"/>
      <c r="P91" s="2">
        <f>-451.93</f>
        <v>-451.93</v>
      </c>
      <c r="Q91" s="2"/>
      <c r="R91" s="19">
        <f t="shared" si="84"/>
        <v>0</v>
      </c>
      <c r="S91" s="2"/>
      <c r="T91" s="2">
        <f>--649.77</f>
        <v>649.77</v>
      </c>
      <c r="U91" s="2"/>
      <c r="V91" s="19">
        <f t="shared" si="85"/>
        <v>0</v>
      </c>
      <c r="W91" s="2"/>
      <c r="X91" s="2">
        <f t="shared" si="86"/>
        <v>-1101.7</v>
      </c>
      <c r="Y91" s="2"/>
      <c r="Z91" s="19">
        <f t="shared" si="87"/>
        <v>-1.695523031226434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1">
        <f>+D16-D18+D89</f>
        <v>-119211.18000000002</v>
      </c>
      <c r="E93" s="14"/>
      <c r="F93" s="22">
        <f>IF(D$12=0,0,D93/D$12)</f>
        <v>0</v>
      </c>
      <c r="G93" s="14"/>
      <c r="H93" s="21">
        <f>+H16-H18+H89</f>
        <v>-75791.190000000017</v>
      </c>
      <c r="I93" s="14"/>
      <c r="J93" s="22">
        <f>IF(H$12=0,0,H93/H$12)</f>
        <v>0</v>
      </c>
      <c r="K93" s="16"/>
      <c r="L93" s="21">
        <f>+D93-H93</f>
        <v>-43419.990000000005</v>
      </c>
      <c r="M93" s="16"/>
      <c r="N93" s="22">
        <f>IF(H93=0,0,L93/H93)</f>
        <v>0.57288967226929666</v>
      </c>
      <c r="O93" s="29"/>
      <c r="P93" s="21">
        <f>+P16-P18+P89</f>
        <v>-475155.94000000006</v>
      </c>
      <c r="Q93" s="14"/>
      <c r="R93" s="22">
        <f>IF(P$12=0,0,P93/P$12)</f>
        <v>0</v>
      </c>
      <c r="S93" s="14"/>
      <c r="T93" s="21">
        <f>+T16-T18+T89</f>
        <v>-419613.75</v>
      </c>
      <c r="U93" s="14"/>
      <c r="V93" s="22">
        <f>IF(T$12=0,0,T93/T$12)</f>
        <v>0</v>
      </c>
      <c r="W93" s="16"/>
      <c r="X93" s="21">
        <f>+P93-T93</f>
        <v>-55542.190000000061</v>
      </c>
      <c r="Y93" s="16"/>
      <c r="Z93" s="22">
        <f>IF(T93=0,0,X93/T93)</f>
        <v>0.13236503808562056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13</v>
      </c>
      <c r="C95" s="10"/>
      <c r="D95" s="4"/>
      <c r="E95" s="4"/>
      <c r="F95" s="12">
        <f>IF(D$12=0,0,D95/D$12)</f>
        <v>0</v>
      </c>
      <c r="G95" s="4"/>
      <c r="H95" s="4"/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/>
      <c r="Q95" s="4"/>
      <c r="R95" s="12">
        <f>IF(P$12=0,0,P95/P$12)</f>
        <v>0</v>
      </c>
      <c r="S95" s="4"/>
      <c r="T95" s="4"/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1">
        <f>+D93-D95</f>
        <v>-119211.18000000002</v>
      </c>
      <c r="E97" s="14"/>
      <c r="F97" s="34">
        <f>IF(D$12=0,0,D97/D$12)</f>
        <v>0</v>
      </c>
      <c r="G97" s="14"/>
      <c r="H97" s="31">
        <f>+H93-H95</f>
        <v>-75791.190000000017</v>
      </c>
      <c r="I97" s="14"/>
      <c r="J97" s="34">
        <f>IF(H$12=0,0,H97/H$12)</f>
        <v>0</v>
      </c>
      <c r="K97" s="16"/>
      <c r="L97" s="31">
        <f>D97-H97</f>
        <v>-43419.990000000005</v>
      </c>
      <c r="M97" s="16"/>
      <c r="N97" s="34">
        <f>IF(H97=0,0,L97/H97)</f>
        <v>0.57288967226929666</v>
      </c>
      <c r="O97" s="29"/>
      <c r="P97" s="31">
        <f>+P93-P95</f>
        <v>-475155.94000000006</v>
      </c>
      <c r="Q97" s="14"/>
      <c r="R97" s="34">
        <f>IF(P$12=0,0,P97/P$12)</f>
        <v>0</v>
      </c>
      <c r="S97" s="14"/>
      <c r="T97" s="31">
        <f>+T93-T95</f>
        <v>-419613.75</v>
      </c>
      <c r="U97" s="14"/>
      <c r="V97" s="34">
        <f>IF(T$12=0,0,T97/T$12)</f>
        <v>0</v>
      </c>
      <c r="W97" s="16"/>
      <c r="X97" s="31">
        <f>P97-T97</f>
        <v>-55542.190000000061</v>
      </c>
      <c r="Y97" s="16"/>
      <c r="Z97" s="34">
        <f>IF(T97=0,0,X97/T97)</f>
        <v>0.13236503808562056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6">
        <f>SUM(D97:D99)</f>
        <v>-119211.18000000002</v>
      </c>
      <c r="E100" s="14"/>
      <c r="F100" s="33">
        <f>IF(D$12=0,0,D100/D$12)</f>
        <v>0</v>
      </c>
      <c r="G100" s="14"/>
      <c r="H100" s="36">
        <f>SUM(H97:H99)</f>
        <v>-75791.190000000017</v>
      </c>
      <c r="I100" s="14"/>
      <c r="J100" s="33">
        <f>IF(H$12=0,0,H100/H$12)</f>
        <v>0</v>
      </c>
      <c r="K100" s="16"/>
      <c r="L100" s="36">
        <f>+D100-H100</f>
        <v>-43419.990000000005</v>
      </c>
      <c r="M100" s="16"/>
      <c r="N100" s="33">
        <f>IF(H100=0,0,L100/H100)</f>
        <v>0.57288967226929666</v>
      </c>
      <c r="O100" s="29"/>
      <c r="P100" s="36">
        <f>SUM(P97:P99)</f>
        <v>-475155.94000000006</v>
      </c>
      <c r="Q100" s="14"/>
      <c r="R100" s="33">
        <f>IF(P$12=0,0,P100/P$12)</f>
        <v>0</v>
      </c>
      <c r="S100" s="14"/>
      <c r="T100" s="36">
        <f>SUM(T97:T99)</f>
        <v>-419613.75</v>
      </c>
      <c r="U100" s="14"/>
      <c r="V100" s="33">
        <f>IF(T$12=0,0,T100/T$12)</f>
        <v>0</v>
      </c>
      <c r="W100" s="16"/>
      <c r="X100" s="36">
        <f>+P100-T100</f>
        <v>-55542.190000000061</v>
      </c>
      <c r="Y100" s="16"/>
      <c r="Z100" s="33">
        <f>IF(T100=0,0,X100/T100)</f>
        <v>0.13236503808562056</v>
      </c>
    </row>
    <row r="101" spans="1:26" ht="15.75" thickTop="1" x14ac:dyDescent="0.25">
      <c r="A101" s="9"/>
      <c r="C101" s="9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61">
        <v>43791.35516608796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6" t="s">
        <v>313</v>
      </c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7"/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","306", " - ", "Warehouse")</f>
        <v>Department 306 - Warehouse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35902.289999999994</v>
      </c>
      <c r="E18" s="20"/>
      <c r="F18" s="35">
        <f t="shared" ref="F18:F28" si="0">IF(D$12=0,0,D18/D$12)</f>
        <v>0</v>
      </c>
      <c r="G18" s="20"/>
      <c r="H18" s="20">
        <f>SUM(OSRRefH22x_0)</f>
        <v>36528.86</v>
      </c>
      <c r="I18" s="20"/>
      <c r="J18" s="35">
        <f t="shared" ref="J18:J28" si="1">IF(H$12=0,0,H18/H$12)</f>
        <v>0</v>
      </c>
      <c r="K18" s="4"/>
      <c r="L18" s="20">
        <f t="shared" ref="L18:L28" si="2">+D18-H18</f>
        <v>-626.57000000000698</v>
      </c>
      <c r="M18" s="4"/>
      <c r="N18" s="35">
        <f t="shared" ref="N18:N28" si="3">IF(H18=0,0,L18/H18)</f>
        <v>-1.7152738957635333E-2</v>
      </c>
      <c r="O18" s="10"/>
      <c r="P18" s="20">
        <f>SUM(OSRRefP22x_0)</f>
        <v>185765.77999999997</v>
      </c>
      <c r="Q18" s="20"/>
      <c r="R18" s="35">
        <f t="shared" ref="R18:R28" si="4">IF(P$12=0,0,P18/P$12)</f>
        <v>0</v>
      </c>
      <c r="S18" s="20"/>
      <c r="T18" s="20">
        <f>SUM(OSRRefT22x_0)</f>
        <v>206365.25</v>
      </c>
      <c r="U18" s="20"/>
      <c r="V18" s="35">
        <f t="shared" ref="V18:V28" si="5">IF(T$12=0,0,T18/T$12)</f>
        <v>0</v>
      </c>
      <c r="W18" s="4"/>
      <c r="X18" s="20">
        <f t="shared" ref="X18:X28" si="6">+P18-T18</f>
        <v>-20599.47000000003</v>
      </c>
      <c r="Y18" s="4"/>
      <c r="Z18" s="35">
        <f t="shared" ref="Z18:Z28" si="7">IF(T18=0,0,X18/T18)</f>
        <v>-9.9820439730041899E-2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6095.32</v>
      </c>
      <c r="E19" s="1"/>
      <c r="F19" s="5">
        <f t="shared" si="0"/>
        <v>0</v>
      </c>
      <c r="G19" s="1"/>
      <c r="H19" s="1">
        <f>SUM(OSRRefH22_0x_0)</f>
        <v>7754.2599999999984</v>
      </c>
      <c r="I19" s="1"/>
      <c r="J19" s="5">
        <f t="shared" si="1"/>
        <v>0</v>
      </c>
      <c r="K19" s="1"/>
      <c r="L19" s="1">
        <f t="shared" si="2"/>
        <v>-1658.9399999999987</v>
      </c>
      <c r="M19" s="1"/>
      <c r="N19" s="5">
        <f t="shared" si="3"/>
        <v>-0.21393917665902343</v>
      </c>
      <c r="O19" s="13"/>
      <c r="P19" s="1">
        <f>SUM(OSRRefP22_0x_0)</f>
        <v>27423.230000000003</v>
      </c>
      <c r="Q19" s="1"/>
      <c r="R19" s="5">
        <f t="shared" si="4"/>
        <v>0</v>
      </c>
      <c r="S19" s="1"/>
      <c r="T19" s="1">
        <f>SUM(OSRRefT22_0x_0)</f>
        <v>29258.649999999998</v>
      </c>
      <c r="U19" s="1"/>
      <c r="V19" s="5">
        <f t="shared" si="5"/>
        <v>0</v>
      </c>
      <c r="W19" s="1"/>
      <c r="X19" s="1">
        <f t="shared" si="6"/>
        <v>-1835.4199999999946</v>
      </c>
      <c r="Y19" s="1"/>
      <c r="Z19" s="5">
        <f t="shared" si="7"/>
        <v>-6.2730850534798932E-2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1744.8</v>
      </c>
      <c r="E20" s="2"/>
      <c r="F20" s="7">
        <f t="shared" si="0"/>
        <v>0</v>
      </c>
      <c r="G20" s="2"/>
      <c r="H20" s="6">
        <v>1949.11</v>
      </c>
      <c r="I20" s="2"/>
      <c r="J20" s="7">
        <f t="shared" si="1"/>
        <v>0</v>
      </c>
      <c r="K20" s="2"/>
      <c r="L20" s="6">
        <f t="shared" si="2"/>
        <v>-204.30999999999995</v>
      </c>
      <c r="M20" s="2"/>
      <c r="N20" s="7">
        <f t="shared" si="3"/>
        <v>-0.1048222009019501</v>
      </c>
      <c r="O20" s="11"/>
      <c r="P20" s="6">
        <v>8535.43</v>
      </c>
      <c r="Q20" s="2"/>
      <c r="R20" s="7">
        <f t="shared" si="4"/>
        <v>0</v>
      </c>
      <c r="S20" s="2"/>
      <c r="T20" s="6">
        <v>9835.51</v>
      </c>
      <c r="U20" s="2"/>
      <c r="V20" s="7">
        <f t="shared" si="5"/>
        <v>0</v>
      </c>
      <c r="W20" s="2"/>
      <c r="X20" s="6">
        <f t="shared" si="6"/>
        <v>-1300.08</v>
      </c>
      <c r="Y20" s="2"/>
      <c r="Z20" s="7">
        <f t="shared" si="7"/>
        <v>-0.13218226609499659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-141.36000000000001</v>
      </c>
      <c r="E21" s="2"/>
      <c r="F21" s="7">
        <f t="shared" si="0"/>
        <v>0</v>
      </c>
      <c r="G21" s="2"/>
      <c r="H21" s="6">
        <v>993.65</v>
      </c>
      <c r="I21" s="2"/>
      <c r="J21" s="7">
        <f t="shared" si="1"/>
        <v>0</v>
      </c>
      <c r="K21" s="2"/>
      <c r="L21" s="6">
        <f t="shared" si="2"/>
        <v>-1135.01</v>
      </c>
      <c r="M21" s="2"/>
      <c r="N21" s="7">
        <f t="shared" si="3"/>
        <v>-1.1422633724148341</v>
      </c>
      <c r="O21" s="11"/>
      <c r="P21" s="6">
        <v>2222.96</v>
      </c>
      <c r="Q21" s="2"/>
      <c r="R21" s="7">
        <f t="shared" si="4"/>
        <v>0</v>
      </c>
      <c r="S21" s="2"/>
      <c r="T21" s="6">
        <v>2064.54</v>
      </c>
      <c r="U21" s="2"/>
      <c r="V21" s="7">
        <f t="shared" si="5"/>
        <v>0</v>
      </c>
      <c r="W21" s="2"/>
      <c r="X21" s="6">
        <f t="shared" si="6"/>
        <v>158.42000000000007</v>
      </c>
      <c r="Y21" s="2"/>
      <c r="Z21" s="7">
        <f t="shared" si="7"/>
        <v>7.6733800265434471E-2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1949.27</v>
      </c>
      <c r="E22" s="2"/>
      <c r="F22" s="7">
        <f t="shared" si="0"/>
        <v>0</v>
      </c>
      <c r="G22" s="2"/>
      <c r="H22" s="6">
        <v>2104.1999999999998</v>
      </c>
      <c r="I22" s="2"/>
      <c r="J22" s="7">
        <f t="shared" si="1"/>
        <v>0</v>
      </c>
      <c r="K22" s="2"/>
      <c r="L22" s="6">
        <f t="shared" si="2"/>
        <v>-154.92999999999984</v>
      </c>
      <c r="M22" s="2"/>
      <c r="N22" s="7">
        <f t="shared" si="3"/>
        <v>-7.3628932610968464E-2</v>
      </c>
      <c r="O22" s="11"/>
      <c r="P22" s="6">
        <v>7797.08</v>
      </c>
      <c r="Q22" s="2"/>
      <c r="R22" s="7">
        <f t="shared" si="4"/>
        <v>0</v>
      </c>
      <c r="S22" s="2"/>
      <c r="T22" s="6">
        <v>7103.57</v>
      </c>
      <c r="U22" s="2"/>
      <c r="V22" s="7">
        <f t="shared" si="5"/>
        <v>0</v>
      </c>
      <c r="W22" s="2"/>
      <c r="X22" s="6">
        <f t="shared" si="6"/>
        <v>693.51000000000022</v>
      </c>
      <c r="Y22" s="2"/>
      <c r="Z22" s="7">
        <f t="shared" si="7"/>
        <v>9.7628375591428007E-2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84.31</v>
      </c>
      <c r="E23" s="2"/>
      <c r="F23" s="7">
        <f t="shared" si="0"/>
        <v>0</v>
      </c>
      <c r="G23" s="2"/>
      <c r="H23" s="6">
        <v>81.400000000000006</v>
      </c>
      <c r="I23" s="2"/>
      <c r="J23" s="7">
        <f t="shared" si="1"/>
        <v>0</v>
      </c>
      <c r="K23" s="2"/>
      <c r="L23" s="6">
        <f t="shared" si="2"/>
        <v>2.9099999999999966</v>
      </c>
      <c r="M23" s="2"/>
      <c r="N23" s="7">
        <f t="shared" si="3"/>
        <v>3.5749385749385708E-2</v>
      </c>
      <c r="O23" s="11"/>
      <c r="P23" s="6">
        <v>400.06</v>
      </c>
      <c r="Q23" s="2"/>
      <c r="R23" s="7">
        <f t="shared" si="4"/>
        <v>0</v>
      </c>
      <c r="S23" s="2"/>
      <c r="T23" s="6">
        <v>470.93</v>
      </c>
      <c r="U23" s="2"/>
      <c r="V23" s="7">
        <f t="shared" si="5"/>
        <v>0</v>
      </c>
      <c r="W23" s="2"/>
      <c r="X23" s="6">
        <f t="shared" si="6"/>
        <v>-70.87</v>
      </c>
      <c r="Y23" s="2"/>
      <c r="Z23" s="7">
        <f t="shared" si="7"/>
        <v>-0.15048945703183064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971.92</v>
      </c>
      <c r="E24" s="2"/>
      <c r="F24" s="7">
        <f t="shared" si="0"/>
        <v>0</v>
      </c>
      <c r="G24" s="2"/>
      <c r="H24" s="6">
        <v>927.21</v>
      </c>
      <c r="I24" s="2"/>
      <c r="J24" s="7">
        <f t="shared" si="1"/>
        <v>0</v>
      </c>
      <c r="K24" s="2"/>
      <c r="L24" s="6">
        <f t="shared" si="2"/>
        <v>44.709999999999923</v>
      </c>
      <c r="M24" s="2"/>
      <c r="N24" s="7">
        <f t="shared" si="3"/>
        <v>4.8219928603013253E-2</v>
      </c>
      <c r="O24" s="11"/>
      <c r="P24" s="6">
        <v>3045.82</v>
      </c>
      <c r="Q24" s="2"/>
      <c r="R24" s="7">
        <f t="shared" si="4"/>
        <v>0</v>
      </c>
      <c r="S24" s="2"/>
      <c r="T24" s="6">
        <v>3076.96</v>
      </c>
      <c r="U24" s="2"/>
      <c r="V24" s="7">
        <f t="shared" si="5"/>
        <v>0</v>
      </c>
      <c r="W24" s="2"/>
      <c r="X24" s="6">
        <f t="shared" si="6"/>
        <v>-31.139999999999873</v>
      </c>
      <c r="Y24" s="2"/>
      <c r="Z24" s="7">
        <f t="shared" si="7"/>
        <v>-1.0120378555457292E-2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>
        <v>47.7</v>
      </c>
      <c r="I25" s="2"/>
      <c r="J25" s="7">
        <f t="shared" si="1"/>
        <v>0</v>
      </c>
      <c r="K25" s="2"/>
      <c r="L25" s="6">
        <f t="shared" si="2"/>
        <v>-47.7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302.08</v>
      </c>
      <c r="U25" s="2"/>
      <c r="V25" s="7">
        <f t="shared" si="5"/>
        <v>0</v>
      </c>
      <c r="W25" s="2"/>
      <c r="X25" s="6">
        <f t="shared" si="6"/>
        <v>-302.08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575.33000000000004</v>
      </c>
      <c r="E26" s="2"/>
      <c r="F26" s="7">
        <f t="shared" si="0"/>
        <v>0</v>
      </c>
      <c r="G26" s="2"/>
      <c r="H26" s="6">
        <v>839.58</v>
      </c>
      <c r="I26" s="2"/>
      <c r="J26" s="7">
        <f t="shared" si="1"/>
        <v>0</v>
      </c>
      <c r="K26" s="2"/>
      <c r="L26" s="6">
        <f t="shared" si="2"/>
        <v>-264.25</v>
      </c>
      <c r="M26" s="2"/>
      <c r="N26" s="7">
        <f t="shared" si="3"/>
        <v>-0.31474070368517593</v>
      </c>
      <c r="O26" s="11"/>
      <c r="P26" s="6">
        <v>1619.98</v>
      </c>
      <c r="Q26" s="2"/>
      <c r="R26" s="7">
        <f t="shared" si="4"/>
        <v>0</v>
      </c>
      <c r="S26" s="2"/>
      <c r="T26" s="6">
        <v>2636.35</v>
      </c>
      <c r="U26" s="2"/>
      <c r="V26" s="7">
        <f t="shared" si="5"/>
        <v>0</v>
      </c>
      <c r="W26" s="2"/>
      <c r="X26" s="6">
        <f t="shared" si="6"/>
        <v>-1016.3699999999999</v>
      </c>
      <c r="Y26" s="2"/>
      <c r="Z26" s="7">
        <f t="shared" si="7"/>
        <v>-0.38552164924990989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561.66</v>
      </c>
      <c r="E27" s="2"/>
      <c r="F27" s="7">
        <f t="shared" si="0"/>
        <v>0</v>
      </c>
      <c r="G27" s="2"/>
      <c r="H27" s="6">
        <v>529.59</v>
      </c>
      <c r="I27" s="2"/>
      <c r="J27" s="7">
        <f t="shared" si="1"/>
        <v>0</v>
      </c>
      <c r="K27" s="2"/>
      <c r="L27" s="6">
        <f t="shared" si="2"/>
        <v>32.069999999999936</v>
      </c>
      <c r="M27" s="2"/>
      <c r="N27" s="7">
        <f t="shared" si="3"/>
        <v>6.0556279385939944E-2</v>
      </c>
      <c r="O27" s="11"/>
      <c r="P27" s="6">
        <v>2563.61</v>
      </c>
      <c r="Q27" s="2"/>
      <c r="R27" s="7">
        <f t="shared" si="4"/>
        <v>0</v>
      </c>
      <c r="S27" s="2"/>
      <c r="T27" s="6">
        <v>2761.57</v>
      </c>
      <c r="U27" s="2"/>
      <c r="V27" s="7">
        <f t="shared" si="5"/>
        <v>0</v>
      </c>
      <c r="W27" s="2"/>
      <c r="X27" s="6">
        <f t="shared" si="6"/>
        <v>-197.96000000000004</v>
      </c>
      <c r="Y27" s="2"/>
      <c r="Z27" s="7">
        <f t="shared" si="7"/>
        <v>-7.1683860992116807E-2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349.39</v>
      </c>
      <c r="E28" s="2"/>
      <c r="F28" s="7">
        <f t="shared" si="0"/>
        <v>0</v>
      </c>
      <c r="G28" s="2"/>
      <c r="H28" s="6">
        <v>281.82</v>
      </c>
      <c r="I28" s="2"/>
      <c r="J28" s="7">
        <f t="shared" si="1"/>
        <v>0</v>
      </c>
      <c r="K28" s="2"/>
      <c r="L28" s="6">
        <f t="shared" si="2"/>
        <v>67.569999999999993</v>
      </c>
      <c r="M28" s="2"/>
      <c r="N28" s="7">
        <f t="shared" si="3"/>
        <v>0.23976296927116597</v>
      </c>
      <c r="O28" s="11"/>
      <c r="P28" s="6">
        <v>1238.29</v>
      </c>
      <c r="Q28" s="2"/>
      <c r="R28" s="7">
        <f t="shared" si="4"/>
        <v>0</v>
      </c>
      <c r="S28" s="2"/>
      <c r="T28" s="6">
        <v>1007.14</v>
      </c>
      <c r="U28" s="2"/>
      <c r="V28" s="7">
        <f t="shared" si="5"/>
        <v>0</v>
      </c>
      <c r="W28" s="2"/>
      <c r="X28" s="6">
        <f t="shared" si="6"/>
        <v>231.14999999999998</v>
      </c>
      <c r="Y28" s="2"/>
      <c r="Z28" s="7">
        <f t="shared" si="7"/>
        <v>0.22951128939372875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28708.29</v>
      </c>
      <c r="E29" s="1"/>
      <c r="F29" s="5">
        <f t="shared" ref="F29:F34" si="8">IF(D$12=0,0,D29/D$12)</f>
        <v>0</v>
      </c>
      <c r="G29" s="1"/>
      <c r="H29" s="1">
        <f>SUM(OSRRefH22_1x_0)</f>
        <v>27258.17</v>
      </c>
      <c r="I29" s="1"/>
      <c r="J29" s="5">
        <f t="shared" ref="J29:J34" si="9">IF(H$12=0,0,H29/H$12)</f>
        <v>0</v>
      </c>
      <c r="K29" s="1"/>
      <c r="L29" s="1">
        <f t="shared" ref="L29:L34" si="10">+D29-H29</f>
        <v>1450.1200000000026</v>
      </c>
      <c r="M29" s="1"/>
      <c r="N29" s="5">
        <f t="shared" ref="N29:N34" si="11">IF(H29=0,0,L29/H29)</f>
        <v>5.3199462766576139E-2</v>
      </c>
      <c r="O29" s="13"/>
      <c r="P29" s="1">
        <f>SUM(OSRRefP22_1x_0)</f>
        <v>156351.97999999998</v>
      </c>
      <c r="Q29" s="1"/>
      <c r="R29" s="5">
        <f t="shared" ref="R29:R34" si="12">IF(P$12=0,0,P29/P$12)</f>
        <v>0</v>
      </c>
      <c r="S29" s="1"/>
      <c r="T29" s="1">
        <f>SUM(OSRRefT22_1x_0)</f>
        <v>171873.78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-15521.800000000017</v>
      </c>
      <c r="Y29" s="1"/>
      <c r="Z29" s="5">
        <f t="shared" ref="Z29:Z34" si="15">IF(T29=0,0,X29/T29)</f>
        <v>-9.0309295577254534E-2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9549.8700000000008</v>
      </c>
      <c r="E30" s="2"/>
      <c r="F30" s="7">
        <f t="shared" si="8"/>
        <v>0</v>
      </c>
      <c r="G30" s="2"/>
      <c r="H30" s="6">
        <v>7754.75</v>
      </c>
      <c r="I30" s="2"/>
      <c r="J30" s="7">
        <f t="shared" si="9"/>
        <v>0</v>
      </c>
      <c r="K30" s="2"/>
      <c r="L30" s="6">
        <f t="shared" si="10"/>
        <v>1795.1200000000008</v>
      </c>
      <c r="M30" s="2"/>
      <c r="N30" s="7">
        <f t="shared" si="11"/>
        <v>0.23148650826912548</v>
      </c>
      <c r="O30" s="11"/>
      <c r="P30" s="6">
        <v>35164.39</v>
      </c>
      <c r="Q30" s="2"/>
      <c r="R30" s="7">
        <f t="shared" si="12"/>
        <v>0</v>
      </c>
      <c r="S30" s="2"/>
      <c r="T30" s="6">
        <v>31121.289999999997</v>
      </c>
      <c r="U30" s="2"/>
      <c r="V30" s="7">
        <f t="shared" si="13"/>
        <v>0</v>
      </c>
      <c r="W30" s="2"/>
      <c r="X30" s="6">
        <f t="shared" si="14"/>
        <v>4043.1000000000022</v>
      </c>
      <c r="Y30" s="2"/>
      <c r="Z30" s="7">
        <f t="shared" si="15"/>
        <v>0.12991428054556872</v>
      </c>
    </row>
    <row r="31" spans="1:26" s="24" customFormat="1" hidden="1" outlineLevel="2" x14ac:dyDescent="0.25">
      <c r="A31" s="26"/>
      <c r="B31" s="11" t="str">
        <f>CONCATENATE("          ", "6005", " - ", "TEMPORARY WAGES-HOURLY")</f>
        <v xml:space="preserve">          6005 - TEMPORARY WAGES-HOURLY</v>
      </c>
      <c r="C31" s="11"/>
      <c r="D31" s="6">
        <v>1562.78</v>
      </c>
      <c r="E31" s="2"/>
      <c r="F31" s="7">
        <f t="shared" si="8"/>
        <v>0</v>
      </c>
      <c r="G31" s="2"/>
      <c r="H31" s="6">
        <v>4129.3</v>
      </c>
      <c r="I31" s="2"/>
      <c r="J31" s="7">
        <f t="shared" si="9"/>
        <v>0</v>
      </c>
      <c r="K31" s="2"/>
      <c r="L31" s="6">
        <f t="shared" si="10"/>
        <v>-2566.5200000000004</v>
      </c>
      <c r="M31" s="2"/>
      <c r="N31" s="7">
        <f t="shared" si="11"/>
        <v>-0.62153875959605753</v>
      </c>
      <c r="O31" s="11"/>
      <c r="P31" s="6">
        <v>9082.4599999999991</v>
      </c>
      <c r="Q31" s="2"/>
      <c r="R31" s="7">
        <f t="shared" si="12"/>
        <v>0</v>
      </c>
      <c r="S31" s="2"/>
      <c r="T31" s="6">
        <v>14721.97</v>
      </c>
      <c r="U31" s="2"/>
      <c r="V31" s="7">
        <f t="shared" si="13"/>
        <v>0</v>
      </c>
      <c r="W31" s="2"/>
      <c r="X31" s="6">
        <f t="shared" si="14"/>
        <v>-5639.51</v>
      </c>
      <c r="Y31" s="2"/>
      <c r="Z31" s="7">
        <f t="shared" si="15"/>
        <v>-0.38306761934713901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6">
        <v>1595.87</v>
      </c>
      <c r="E32" s="2"/>
      <c r="F32" s="7">
        <f t="shared" si="8"/>
        <v>0</v>
      </c>
      <c r="G32" s="2"/>
      <c r="H32" s="6">
        <v>2156</v>
      </c>
      <c r="I32" s="2"/>
      <c r="J32" s="7">
        <f t="shared" si="9"/>
        <v>0</v>
      </c>
      <c r="K32" s="2"/>
      <c r="L32" s="6">
        <f t="shared" si="10"/>
        <v>-560.13000000000011</v>
      </c>
      <c r="M32" s="2"/>
      <c r="N32" s="7">
        <f t="shared" si="11"/>
        <v>-0.25980055658627094</v>
      </c>
      <c r="O32" s="11"/>
      <c r="P32" s="6">
        <v>8893.3700000000008</v>
      </c>
      <c r="Q32" s="2"/>
      <c r="R32" s="7">
        <f t="shared" si="12"/>
        <v>0</v>
      </c>
      <c r="S32" s="2"/>
      <c r="T32" s="6">
        <v>16294.889999999998</v>
      </c>
      <c r="U32" s="2"/>
      <c r="V32" s="7">
        <f t="shared" si="13"/>
        <v>0</v>
      </c>
      <c r="W32" s="2"/>
      <c r="X32" s="6">
        <f t="shared" si="14"/>
        <v>-7401.5199999999968</v>
      </c>
      <c r="Y32" s="2"/>
      <c r="Z32" s="7">
        <f t="shared" si="15"/>
        <v>-0.45422337923115763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>
        <v>14892.769999999999</v>
      </c>
      <c r="E33" s="2"/>
      <c r="F33" s="7">
        <f t="shared" si="8"/>
        <v>0</v>
      </c>
      <c r="G33" s="2"/>
      <c r="H33" s="6">
        <v>11304.12</v>
      </c>
      <c r="I33" s="2"/>
      <c r="J33" s="7">
        <f t="shared" si="9"/>
        <v>0</v>
      </c>
      <c r="K33" s="2"/>
      <c r="L33" s="6">
        <f t="shared" si="10"/>
        <v>3588.6499999999978</v>
      </c>
      <c r="M33" s="2"/>
      <c r="N33" s="7">
        <f t="shared" si="11"/>
        <v>0.31746389811856185</v>
      </c>
      <c r="O33" s="11"/>
      <c r="P33" s="6">
        <v>99227.76</v>
      </c>
      <c r="Q33" s="2"/>
      <c r="R33" s="7">
        <f t="shared" si="12"/>
        <v>0</v>
      </c>
      <c r="S33" s="2"/>
      <c r="T33" s="6">
        <v>100602.88</v>
      </c>
      <c r="U33" s="2"/>
      <c r="V33" s="7">
        <f t="shared" si="13"/>
        <v>0</v>
      </c>
      <c r="W33" s="2"/>
      <c r="X33" s="6">
        <f t="shared" si="14"/>
        <v>-1375.1200000000099</v>
      </c>
      <c r="Y33" s="2"/>
      <c r="Z33" s="7">
        <f t="shared" si="15"/>
        <v>-1.3668793577281384E-2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>
        <v>1107</v>
      </c>
      <c r="E34" s="2"/>
      <c r="F34" s="7">
        <f t="shared" si="8"/>
        <v>0</v>
      </c>
      <c r="G34" s="2"/>
      <c r="H34" s="6">
        <v>1914</v>
      </c>
      <c r="I34" s="2"/>
      <c r="J34" s="7">
        <f t="shared" si="9"/>
        <v>0</v>
      </c>
      <c r="K34" s="2"/>
      <c r="L34" s="6">
        <f t="shared" si="10"/>
        <v>-807</v>
      </c>
      <c r="M34" s="2"/>
      <c r="N34" s="7">
        <f t="shared" si="11"/>
        <v>-0.42163009404388713</v>
      </c>
      <c r="O34" s="11"/>
      <c r="P34" s="6">
        <v>3984</v>
      </c>
      <c r="Q34" s="2"/>
      <c r="R34" s="7">
        <f t="shared" si="12"/>
        <v>0</v>
      </c>
      <c r="S34" s="2"/>
      <c r="T34" s="6">
        <v>9132.75</v>
      </c>
      <c r="U34" s="2"/>
      <c r="V34" s="7">
        <f t="shared" si="13"/>
        <v>0</v>
      </c>
      <c r="W34" s="2"/>
      <c r="X34" s="6">
        <f t="shared" si="14"/>
        <v>-5148.75</v>
      </c>
      <c r="Y34" s="2"/>
      <c r="Z34" s="7">
        <f t="shared" si="15"/>
        <v>-0.56376775888971009</v>
      </c>
    </row>
    <row r="35" spans="1:26" s="27" customFormat="1" outlineLevel="1" collapsed="1" x14ac:dyDescent="0.25">
      <c r="A35" s="25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12</v>
      </c>
      <c r="E35" s="1"/>
      <c r="F35" s="5">
        <f t="shared" ref="F35:F45" si="16">IF(D$12=0,0,D35/D$12)</f>
        <v>0</v>
      </c>
      <c r="G35" s="1"/>
      <c r="H35" s="1">
        <f>SUM(OSRRefH22_2x_0)</f>
        <v>24</v>
      </c>
      <c r="I35" s="1"/>
      <c r="J35" s="5">
        <f t="shared" ref="J35:J45" si="17">IF(H$12=0,0,H35/H$12)</f>
        <v>0</v>
      </c>
      <c r="K35" s="1"/>
      <c r="L35" s="1">
        <f t="shared" ref="L35:L45" si="18">+D35-H35</f>
        <v>-12</v>
      </c>
      <c r="M35" s="1"/>
      <c r="N35" s="5">
        <f t="shared" ref="N35:N45" si="19">IF(H35=0,0,L35/H35)</f>
        <v>-0.5</v>
      </c>
      <c r="O35" s="13"/>
      <c r="P35" s="1">
        <f>SUM(OSRRefP22_2x_0)</f>
        <v>150</v>
      </c>
      <c r="Q35" s="1"/>
      <c r="R35" s="5">
        <f t="shared" ref="R35:R45" si="20">IF(P$12=0,0,P35/P$12)</f>
        <v>0</v>
      </c>
      <c r="S35" s="1"/>
      <c r="T35" s="1">
        <f>SUM(OSRRefT22_2x_0)</f>
        <v>426</v>
      </c>
      <c r="U35" s="1"/>
      <c r="V35" s="5">
        <f t="shared" ref="V35:V45" si="21">IF(T$12=0,0,T35/T$12)</f>
        <v>0</v>
      </c>
      <c r="W35" s="1"/>
      <c r="X35" s="1">
        <f t="shared" ref="X35:X45" si="22">+P35-T35</f>
        <v>-276</v>
      </c>
      <c r="Y35" s="1"/>
      <c r="Z35" s="5">
        <f t="shared" ref="Z35:Z45" si="23">IF(T35=0,0,X35/T35)</f>
        <v>-0.647887323943662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>
        <v>12</v>
      </c>
      <c r="E36" s="2"/>
      <c r="F36" s="7">
        <f t="shared" si="16"/>
        <v>0</v>
      </c>
      <c r="G36" s="2"/>
      <c r="H36" s="6">
        <v>24</v>
      </c>
      <c r="I36" s="2"/>
      <c r="J36" s="7">
        <f t="shared" si="17"/>
        <v>0</v>
      </c>
      <c r="K36" s="2"/>
      <c r="L36" s="6">
        <f t="shared" si="18"/>
        <v>-12</v>
      </c>
      <c r="M36" s="2"/>
      <c r="N36" s="7">
        <f t="shared" si="19"/>
        <v>-0.5</v>
      </c>
      <c r="O36" s="11"/>
      <c r="P36" s="6">
        <v>150</v>
      </c>
      <c r="Q36" s="2"/>
      <c r="R36" s="7">
        <f t="shared" si="20"/>
        <v>0</v>
      </c>
      <c r="S36" s="2"/>
      <c r="T36" s="6">
        <v>426</v>
      </c>
      <c r="U36" s="2"/>
      <c r="V36" s="7">
        <f t="shared" si="21"/>
        <v>0</v>
      </c>
      <c r="W36" s="2"/>
      <c r="X36" s="6">
        <f t="shared" si="22"/>
        <v>-276</v>
      </c>
      <c r="Y36" s="2"/>
      <c r="Z36" s="7">
        <f t="shared" si="23"/>
        <v>-0.647887323943662</v>
      </c>
    </row>
    <row r="37" spans="1:26" s="27" customFormat="1" outlineLevel="1" collapsed="1" x14ac:dyDescent="0.25">
      <c r="A37" s="25"/>
      <c r="B37" s="13" t="str">
        <f>CONCATENATE("     ","Employees' Appreciation                           ")</f>
        <v xml:space="preserve">     Employees' Appreciation                           </v>
      </c>
      <c r="C37" s="13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19.07</v>
      </c>
      <c r="U37" s="1"/>
      <c r="V37" s="5">
        <f t="shared" si="21"/>
        <v>0</v>
      </c>
      <c r="W37" s="1"/>
      <c r="X37" s="1">
        <f t="shared" si="22"/>
        <v>-19.07</v>
      </c>
      <c r="Y37" s="1"/>
      <c r="Z37" s="5">
        <f t="shared" si="23"/>
        <v>-1</v>
      </c>
    </row>
    <row r="38" spans="1:26" s="24" customFormat="1" hidden="1" outlineLevel="2" x14ac:dyDescent="0.25">
      <c r="A38" s="26"/>
      <c r="B38" s="11" t="str">
        <f>CONCATENATE("          ", "6277", " - ", "EMPLOYEE APPRECIATION")</f>
        <v xml:space="preserve">          6277 - EMPLOYEE APPRECIATION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19.07</v>
      </c>
      <c r="U38" s="2"/>
      <c r="V38" s="7">
        <f t="shared" si="21"/>
        <v>0</v>
      </c>
      <c r="W38" s="2"/>
      <c r="X38" s="6">
        <f t="shared" si="22"/>
        <v>-19.07</v>
      </c>
      <c r="Y38" s="2"/>
      <c r="Z38" s="7">
        <f t="shared" si="23"/>
        <v>-1</v>
      </c>
    </row>
    <row r="39" spans="1:26" s="27" customFormat="1" outlineLevel="1" collapsed="1" x14ac:dyDescent="0.25">
      <c r="A39" s="25"/>
      <c r="B39" s="13" t="str">
        <f>CONCATENATE("     ","Equipment Rental                                  ")</f>
        <v xml:space="preserve">     Equipment Rental                                  </v>
      </c>
      <c r="C39" s="13"/>
      <c r="D39" s="1">
        <f>SUM(OSRRefD22_4x_0)</f>
        <v>182.52</v>
      </c>
      <c r="E39" s="1"/>
      <c r="F39" s="5">
        <f t="shared" si="16"/>
        <v>0</v>
      </c>
      <c r="G39" s="1"/>
      <c r="H39" s="1">
        <f>SUM(OSRRefH22_4x_0)</f>
        <v>166.24</v>
      </c>
      <c r="I39" s="1"/>
      <c r="J39" s="5">
        <f t="shared" si="17"/>
        <v>0</v>
      </c>
      <c r="K39" s="1"/>
      <c r="L39" s="1">
        <f t="shared" si="18"/>
        <v>16.28</v>
      </c>
      <c r="M39" s="1"/>
      <c r="N39" s="5">
        <f t="shared" si="19"/>
        <v>9.7930702598652553E-2</v>
      </c>
      <c r="O39" s="13"/>
      <c r="P39" s="1">
        <f>SUM(OSRRefP22_4x_0)</f>
        <v>182.52</v>
      </c>
      <c r="Q39" s="1"/>
      <c r="R39" s="5">
        <f t="shared" si="20"/>
        <v>0</v>
      </c>
      <c r="S39" s="1"/>
      <c r="T39" s="1">
        <f>SUM(OSRRefT22_4x_0)</f>
        <v>664.96</v>
      </c>
      <c r="U39" s="1"/>
      <c r="V39" s="5">
        <f t="shared" si="21"/>
        <v>0</v>
      </c>
      <c r="W39" s="1"/>
      <c r="X39" s="1">
        <f t="shared" si="22"/>
        <v>-482.44000000000005</v>
      </c>
      <c r="Y39" s="1"/>
      <c r="Z39" s="5">
        <f t="shared" si="23"/>
        <v>-0.72551732435033689</v>
      </c>
    </row>
    <row r="40" spans="1:26" s="24" customFormat="1" hidden="1" outlineLevel="2" x14ac:dyDescent="0.25">
      <c r="A40" s="26"/>
      <c r="B40" s="11" t="str">
        <f>CONCATENATE("          ", "6351", " - ", "EQUIPMENT RENTAL")</f>
        <v xml:space="preserve">          6351 - EQUIPMENT RENTAL</v>
      </c>
      <c r="C40" s="11"/>
      <c r="D40" s="6">
        <v>182.52</v>
      </c>
      <c r="E40" s="2"/>
      <c r="F40" s="7">
        <f t="shared" si="16"/>
        <v>0</v>
      </c>
      <c r="G40" s="2"/>
      <c r="H40" s="6">
        <v>166.24</v>
      </c>
      <c r="I40" s="2"/>
      <c r="J40" s="7">
        <f t="shared" si="17"/>
        <v>0</v>
      </c>
      <c r="K40" s="2"/>
      <c r="L40" s="6">
        <f t="shared" si="18"/>
        <v>16.28</v>
      </c>
      <c r="M40" s="2"/>
      <c r="N40" s="7">
        <f t="shared" si="19"/>
        <v>9.7930702598652553E-2</v>
      </c>
      <c r="O40" s="11"/>
      <c r="P40" s="6">
        <v>182.52</v>
      </c>
      <c r="Q40" s="2"/>
      <c r="R40" s="7">
        <f t="shared" si="20"/>
        <v>0</v>
      </c>
      <c r="S40" s="2"/>
      <c r="T40" s="6">
        <v>664.96</v>
      </c>
      <c r="U40" s="2"/>
      <c r="V40" s="7">
        <f t="shared" si="21"/>
        <v>0</v>
      </c>
      <c r="W40" s="2"/>
      <c r="X40" s="6">
        <f t="shared" si="22"/>
        <v>-482.44000000000005</v>
      </c>
      <c r="Y40" s="2"/>
      <c r="Z40" s="7">
        <f t="shared" si="23"/>
        <v>-0.72551732435033689</v>
      </c>
    </row>
    <row r="41" spans="1:26" s="27" customFormat="1" outlineLevel="1" collapsed="1" x14ac:dyDescent="0.25">
      <c r="A41" s="25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SUM(OSRRefD22_5x_0)</f>
        <v>89.45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89.45</v>
      </c>
      <c r="M41" s="1"/>
      <c r="N41" s="5">
        <f t="shared" si="19"/>
        <v>0</v>
      </c>
      <c r="O41" s="13"/>
      <c r="P41" s="1">
        <f>SUM(OSRRefP22_5x_0)</f>
        <v>89.45</v>
      </c>
      <c r="Q41" s="1"/>
      <c r="R41" s="5">
        <f t="shared" si="20"/>
        <v>0</v>
      </c>
      <c r="S41" s="1"/>
      <c r="T41" s="1">
        <f>SUM(OSRRefT22_5x_0)</f>
        <v>0</v>
      </c>
      <c r="U41" s="1"/>
      <c r="V41" s="5">
        <f t="shared" si="21"/>
        <v>0</v>
      </c>
      <c r="W41" s="1"/>
      <c r="X41" s="1">
        <f t="shared" si="22"/>
        <v>89.45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"6279", " - ", "GENERAL EXPENSE")</f>
        <v xml:space="preserve">          6279 - GENERAL EXPENSE</v>
      </c>
      <c r="C42" s="11"/>
      <c r="D42" s="6">
        <v>89.45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89.45</v>
      </c>
      <c r="M42" s="2"/>
      <c r="N42" s="7">
        <f t="shared" si="19"/>
        <v>0</v>
      </c>
      <c r="O42" s="11"/>
      <c r="P42" s="6">
        <v>89.45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89.45</v>
      </c>
      <c r="Y42" s="2"/>
      <c r="Z42" s="7">
        <f t="shared" si="23"/>
        <v>0</v>
      </c>
    </row>
    <row r="43" spans="1:26" s="27" customFormat="1" outlineLevel="1" collapsed="1" x14ac:dyDescent="0.25">
      <c r="A43" s="25"/>
      <c r="B43" s="13" t="str">
        <f>CONCATENATE("     ","Repair and Maintenance                            ")</f>
        <v xml:space="preserve">     Repair and Maintenance                            </v>
      </c>
      <c r="C43" s="13"/>
      <c r="D43" s="1">
        <f>SUM(OSRRefD22_6x_0)</f>
        <v>192.73000000000002</v>
      </c>
      <c r="E43" s="1"/>
      <c r="F43" s="5">
        <f t="shared" si="16"/>
        <v>0</v>
      </c>
      <c r="G43" s="1"/>
      <c r="H43" s="1">
        <f>SUM(OSRRefH22_6x_0)</f>
        <v>230.37</v>
      </c>
      <c r="I43" s="1"/>
      <c r="J43" s="5">
        <f t="shared" si="17"/>
        <v>0</v>
      </c>
      <c r="K43" s="1"/>
      <c r="L43" s="1">
        <f t="shared" si="18"/>
        <v>-37.639999999999986</v>
      </c>
      <c r="M43" s="1"/>
      <c r="N43" s="5">
        <f t="shared" si="19"/>
        <v>-0.16338933020792631</v>
      </c>
      <c r="O43" s="13"/>
      <c r="P43" s="1">
        <f>SUM(OSRRefP22_6x_0)</f>
        <v>207.29000000000002</v>
      </c>
      <c r="Q43" s="1"/>
      <c r="R43" s="5">
        <f t="shared" si="20"/>
        <v>0</v>
      </c>
      <c r="S43" s="1"/>
      <c r="T43" s="1">
        <f>SUM(OSRRefT22_6x_0)</f>
        <v>390.78</v>
      </c>
      <c r="U43" s="1"/>
      <c r="V43" s="5">
        <f t="shared" si="21"/>
        <v>0</v>
      </c>
      <c r="W43" s="1"/>
      <c r="X43" s="1">
        <f t="shared" si="22"/>
        <v>-183.48999999999995</v>
      </c>
      <c r="Y43" s="1"/>
      <c r="Z43" s="5">
        <f t="shared" si="23"/>
        <v>-0.46954808332053832</v>
      </c>
    </row>
    <row r="44" spans="1:26" s="24" customFormat="1" hidden="1" outlineLevel="2" x14ac:dyDescent="0.25">
      <c r="A44" s="26"/>
      <c r="B44" s="11" t="str">
        <f>CONCATENATE("          ", "6373", " - ", "MAINTENANCE CONTRACTS")</f>
        <v xml:space="preserve">          6373 - MAINTENANCE CONTRACTS</v>
      </c>
      <c r="C44" s="11"/>
      <c r="D44" s="6">
        <v>0.4</v>
      </c>
      <c r="E44" s="2"/>
      <c r="F44" s="7">
        <f t="shared" si="16"/>
        <v>0</v>
      </c>
      <c r="G44" s="2"/>
      <c r="H44" s="6">
        <v>230.37</v>
      </c>
      <c r="I44" s="2"/>
      <c r="J44" s="7">
        <f t="shared" si="17"/>
        <v>0</v>
      </c>
      <c r="K44" s="2"/>
      <c r="L44" s="6">
        <f t="shared" si="18"/>
        <v>-229.97</v>
      </c>
      <c r="M44" s="2"/>
      <c r="N44" s="7">
        <f t="shared" si="19"/>
        <v>-0.99826366280331635</v>
      </c>
      <c r="O44" s="11"/>
      <c r="P44" s="6">
        <v>14.96</v>
      </c>
      <c r="Q44" s="2"/>
      <c r="R44" s="7">
        <f t="shared" si="20"/>
        <v>0</v>
      </c>
      <c r="S44" s="2"/>
      <c r="T44" s="6">
        <v>390.78</v>
      </c>
      <c r="U44" s="2"/>
      <c r="V44" s="7">
        <f t="shared" si="21"/>
        <v>0</v>
      </c>
      <c r="W44" s="2"/>
      <c r="X44" s="6">
        <f t="shared" si="22"/>
        <v>-375.82</v>
      </c>
      <c r="Y44" s="2"/>
      <c r="Z44" s="7">
        <f t="shared" si="23"/>
        <v>-0.96171759046010552</v>
      </c>
    </row>
    <row r="45" spans="1:26" s="24" customFormat="1" hidden="1" outlineLevel="2" x14ac:dyDescent="0.25">
      <c r="A45" s="26"/>
      <c r="B45" s="11" t="str">
        <f>CONCATENATE("          ", "6375", " - ", "OUTSIDE REPAIRS &amp; MAINTENANCE")</f>
        <v xml:space="preserve">          6375 - OUTSIDE REPAIRS &amp; MAINTENANCE</v>
      </c>
      <c r="C45" s="11"/>
      <c r="D45" s="6">
        <v>192.33</v>
      </c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192.33</v>
      </c>
      <c r="M45" s="2"/>
      <c r="N45" s="7">
        <f t="shared" si="19"/>
        <v>0</v>
      </c>
      <c r="O45" s="11"/>
      <c r="P45" s="6">
        <v>192.33</v>
      </c>
      <c r="Q45" s="2"/>
      <c r="R45" s="7">
        <f t="shared" si="20"/>
        <v>0</v>
      </c>
      <c r="S45" s="2"/>
      <c r="T45" s="6"/>
      <c r="U45" s="2"/>
      <c r="V45" s="7">
        <f t="shared" si="21"/>
        <v>0</v>
      </c>
      <c r="W45" s="2"/>
      <c r="X45" s="6">
        <f t="shared" si="22"/>
        <v>192.33</v>
      </c>
      <c r="Y45" s="2"/>
      <c r="Z45" s="7">
        <f t="shared" si="23"/>
        <v>0</v>
      </c>
    </row>
    <row r="46" spans="1:26" s="27" customFormat="1" outlineLevel="1" collapsed="1" x14ac:dyDescent="0.25">
      <c r="A46" s="25"/>
      <c r="B46" s="13" t="str">
        <f>CONCATENATE("     ","Supplies                                          ")</f>
        <v xml:space="preserve">     Supplies                                          </v>
      </c>
      <c r="C46" s="13"/>
      <c r="D46" s="1">
        <f>SUM(OSRRefD22_7x_0)</f>
        <v>371.98</v>
      </c>
      <c r="E46" s="1"/>
      <c r="F46" s="5">
        <f t="shared" ref="F46:F50" si="24">IF(D$12=0,0,D46/D$12)</f>
        <v>0</v>
      </c>
      <c r="G46" s="1"/>
      <c r="H46" s="1">
        <f>SUM(OSRRefH22_7x_0)</f>
        <v>858.97</v>
      </c>
      <c r="I46" s="1"/>
      <c r="J46" s="5">
        <f t="shared" ref="J46:J50" si="25">IF(H$12=0,0,H46/H$12)</f>
        <v>0</v>
      </c>
      <c r="K46" s="1"/>
      <c r="L46" s="1">
        <f t="shared" ref="L46:L50" si="26">+D46-H46</f>
        <v>-486.99</v>
      </c>
      <c r="M46" s="1"/>
      <c r="N46" s="5">
        <f t="shared" ref="N46:N50" si="27">IF(H46=0,0,L46/H46)</f>
        <v>-0.56694645913128516</v>
      </c>
      <c r="O46" s="13"/>
      <c r="P46" s="1">
        <f>SUM(OSRRefP22_7x_0)</f>
        <v>668.46</v>
      </c>
      <c r="Q46" s="1"/>
      <c r="R46" s="5">
        <f t="shared" ref="R46:R50" si="28">IF(P$12=0,0,P46/P$12)</f>
        <v>0</v>
      </c>
      <c r="S46" s="1"/>
      <c r="T46" s="1">
        <f>SUM(OSRRefT22_7x_0)</f>
        <v>2668.06</v>
      </c>
      <c r="U46" s="1"/>
      <c r="V46" s="5">
        <f t="shared" ref="V46:V50" si="29">IF(T$12=0,0,T46/T$12)</f>
        <v>0</v>
      </c>
      <c r="W46" s="1"/>
      <c r="X46" s="1">
        <f t="shared" ref="X46:X50" si="30">+P46-T46</f>
        <v>-1999.6</v>
      </c>
      <c r="Y46" s="1"/>
      <c r="Z46" s="5">
        <f t="shared" ref="Z46:Z50" si="31">IF(T46=0,0,X46/T46)</f>
        <v>-0.7494584079818295</v>
      </c>
    </row>
    <row r="47" spans="1:26" s="24" customFormat="1" hidden="1" outlineLevel="2" x14ac:dyDescent="0.25">
      <c r="A47" s="26"/>
      <c r="B47" s="11" t="str">
        <f>CONCATENATE("          ", "6234", " - ", "EXPENDABLE SUPPLIES &amp; EQUIPMEN")</f>
        <v xml:space="preserve">          6234 - EXPENDABLE SUPPLIES &amp; EQUIPMEN</v>
      </c>
      <c r="C47" s="11"/>
      <c r="D47" s="6"/>
      <c r="E47" s="2"/>
      <c r="F47" s="7">
        <f t="shared" si="24"/>
        <v>0</v>
      </c>
      <c r="G47" s="2"/>
      <c r="H47" s="6">
        <v>858</v>
      </c>
      <c r="I47" s="2"/>
      <c r="J47" s="7">
        <f t="shared" si="25"/>
        <v>0</v>
      </c>
      <c r="K47" s="2"/>
      <c r="L47" s="6">
        <f t="shared" si="26"/>
        <v>-858</v>
      </c>
      <c r="M47" s="2"/>
      <c r="N47" s="7">
        <f t="shared" si="27"/>
        <v>-1</v>
      </c>
      <c r="O47" s="11"/>
      <c r="P47" s="6"/>
      <c r="Q47" s="2"/>
      <c r="R47" s="7">
        <f t="shared" si="28"/>
        <v>0</v>
      </c>
      <c r="S47" s="2"/>
      <c r="T47" s="6">
        <v>858</v>
      </c>
      <c r="U47" s="2"/>
      <c r="V47" s="7">
        <f t="shared" si="29"/>
        <v>0</v>
      </c>
      <c r="W47" s="2"/>
      <c r="X47" s="6">
        <f t="shared" si="30"/>
        <v>-858</v>
      </c>
      <c r="Y47" s="2"/>
      <c r="Z47" s="7">
        <f t="shared" si="31"/>
        <v>-1</v>
      </c>
    </row>
    <row r="48" spans="1:26" s="24" customFormat="1" hidden="1" outlineLevel="2" x14ac:dyDescent="0.25">
      <c r="A48" s="26"/>
      <c r="B48" s="11" t="str">
        <f>CONCATENATE("          ", "6241", " - ", "OFFICE EXPENSE")</f>
        <v xml:space="preserve">          6241 - OFFICE EXPENSE</v>
      </c>
      <c r="C48" s="11"/>
      <c r="D48" s="6">
        <v>77.489999999999995</v>
      </c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77.489999999999995</v>
      </c>
      <c r="M48" s="2"/>
      <c r="N48" s="7">
        <f t="shared" si="27"/>
        <v>0</v>
      </c>
      <c r="O48" s="11"/>
      <c r="P48" s="6">
        <v>221.33</v>
      </c>
      <c r="Q48" s="2"/>
      <c r="R48" s="7">
        <f t="shared" si="28"/>
        <v>0</v>
      </c>
      <c r="S48" s="2"/>
      <c r="T48" s="6">
        <v>1020.08</v>
      </c>
      <c r="U48" s="2"/>
      <c r="V48" s="7">
        <f t="shared" si="29"/>
        <v>0</v>
      </c>
      <c r="W48" s="2"/>
      <c r="X48" s="6">
        <f t="shared" si="30"/>
        <v>-798.75</v>
      </c>
      <c r="Y48" s="2"/>
      <c r="Z48" s="7">
        <f t="shared" si="31"/>
        <v>-0.78302682142577051</v>
      </c>
    </row>
    <row r="49" spans="1:26" s="24" customFormat="1" hidden="1" outlineLevel="2" x14ac:dyDescent="0.25">
      <c r="A49" s="26"/>
      <c r="B49" s="11" t="str">
        <f>CONCATENATE("          ", "6245", " - ", "PRINTING")</f>
        <v xml:space="preserve">          6245 - PRINTING</v>
      </c>
      <c r="C49" s="11"/>
      <c r="D49" s="6"/>
      <c r="E49" s="2"/>
      <c r="F49" s="7">
        <f t="shared" si="24"/>
        <v>0</v>
      </c>
      <c r="G49" s="2"/>
      <c r="H49" s="6">
        <v>0.97</v>
      </c>
      <c r="I49" s="2"/>
      <c r="J49" s="7">
        <f t="shared" si="25"/>
        <v>0</v>
      </c>
      <c r="K49" s="2"/>
      <c r="L49" s="6">
        <f t="shared" si="26"/>
        <v>-0.97</v>
      </c>
      <c r="M49" s="2"/>
      <c r="N49" s="7">
        <f t="shared" si="27"/>
        <v>-1</v>
      </c>
      <c r="O49" s="11"/>
      <c r="P49" s="6"/>
      <c r="Q49" s="2"/>
      <c r="R49" s="7">
        <f t="shared" si="28"/>
        <v>0</v>
      </c>
      <c r="S49" s="2"/>
      <c r="T49" s="6">
        <v>4.0599999999999996</v>
      </c>
      <c r="U49" s="2"/>
      <c r="V49" s="7">
        <f t="shared" si="29"/>
        <v>0</v>
      </c>
      <c r="W49" s="2"/>
      <c r="X49" s="6">
        <f t="shared" si="30"/>
        <v>-4.0599999999999996</v>
      </c>
      <c r="Y49" s="2"/>
      <c r="Z49" s="7">
        <f t="shared" si="31"/>
        <v>-1</v>
      </c>
    </row>
    <row r="50" spans="1:26" s="24" customFormat="1" hidden="1" outlineLevel="2" x14ac:dyDescent="0.25">
      <c r="A50" s="26"/>
      <c r="B50" s="11" t="str">
        <f>CONCATENATE("          ", "6247", " - ", "STORE SUPPLIES")</f>
        <v xml:space="preserve">          6247 - STORE SUPPLIES</v>
      </c>
      <c r="C50" s="11"/>
      <c r="D50" s="6">
        <v>294.49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294.49</v>
      </c>
      <c r="M50" s="2"/>
      <c r="N50" s="7">
        <f t="shared" si="27"/>
        <v>0</v>
      </c>
      <c r="O50" s="11"/>
      <c r="P50" s="6">
        <v>447.13</v>
      </c>
      <c r="Q50" s="2"/>
      <c r="R50" s="7">
        <f t="shared" si="28"/>
        <v>0</v>
      </c>
      <c r="S50" s="2"/>
      <c r="T50" s="6">
        <v>785.92</v>
      </c>
      <c r="U50" s="2"/>
      <c r="V50" s="7">
        <f t="shared" si="29"/>
        <v>0</v>
      </c>
      <c r="W50" s="2"/>
      <c r="X50" s="6">
        <f t="shared" si="30"/>
        <v>-338.78999999999996</v>
      </c>
      <c r="Y50" s="2"/>
      <c r="Z50" s="7">
        <f t="shared" si="31"/>
        <v>-0.43107440960912052</v>
      </c>
    </row>
    <row r="51" spans="1:26" s="27" customFormat="1" outlineLevel="1" collapsed="1" x14ac:dyDescent="0.25">
      <c r="A51" s="25"/>
      <c r="B51" s="13" t="str">
        <f>CONCATENATE("     ","Telephone/Data Lines                              ")</f>
        <v xml:space="preserve">     Telephone/Data Lines                              </v>
      </c>
      <c r="C51" s="13"/>
      <c r="D51" s="1">
        <f>SUM(OSRRefD22_8x_0)</f>
        <v>170</v>
      </c>
      <c r="E51" s="1"/>
      <c r="F51" s="5">
        <f t="shared" ref="F51:F54" si="32">IF(D$12=0,0,D51/D$12)</f>
        <v>0</v>
      </c>
      <c r="G51" s="1"/>
      <c r="H51" s="1">
        <f>SUM(OSRRefH22_8x_0)</f>
        <v>161.85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8.1500000000000057</v>
      </c>
      <c r="M51" s="1"/>
      <c r="N51" s="5">
        <f t="shared" ref="N51:N54" si="35">IF(H51=0,0,L51/H51)</f>
        <v>5.0355267222737136E-2</v>
      </c>
      <c r="O51" s="13"/>
      <c r="P51" s="1">
        <f>SUM(OSRRefP22_8x_0)</f>
        <v>612.85</v>
      </c>
      <c r="Q51" s="1"/>
      <c r="R51" s="5">
        <f t="shared" ref="R51:R54" si="36">IF(P$12=0,0,P51/P$12)</f>
        <v>0</v>
      </c>
      <c r="S51" s="1"/>
      <c r="T51" s="1">
        <f>SUM(OSRRefT22_8x_0)</f>
        <v>593.95000000000005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18.899999999999977</v>
      </c>
      <c r="Y51" s="1"/>
      <c r="Z51" s="5">
        <f t="shared" ref="Z51:Z54" si="39">IF(T51=0,0,X51/T51)</f>
        <v>3.1820860341779569E-2</v>
      </c>
    </row>
    <row r="52" spans="1:26" s="24" customFormat="1" hidden="1" outlineLevel="2" x14ac:dyDescent="0.25">
      <c r="A52" s="26"/>
      <c r="B52" s="11" t="str">
        <f>CONCATENATE("          ", "6309", " - ", "TELEPHONE")</f>
        <v xml:space="preserve">          6309 - TELEPHONE</v>
      </c>
      <c r="C52" s="11"/>
      <c r="D52" s="6">
        <v>170</v>
      </c>
      <c r="E52" s="2"/>
      <c r="F52" s="7">
        <f t="shared" si="32"/>
        <v>0</v>
      </c>
      <c r="G52" s="2"/>
      <c r="H52" s="6">
        <v>161.85</v>
      </c>
      <c r="I52" s="2"/>
      <c r="J52" s="7">
        <f t="shared" si="33"/>
        <v>0</v>
      </c>
      <c r="K52" s="2"/>
      <c r="L52" s="6">
        <f t="shared" si="34"/>
        <v>8.1500000000000057</v>
      </c>
      <c r="M52" s="2"/>
      <c r="N52" s="7">
        <f t="shared" si="35"/>
        <v>5.0355267222737136E-2</v>
      </c>
      <c r="O52" s="11"/>
      <c r="P52" s="6">
        <v>612.85</v>
      </c>
      <c r="Q52" s="2"/>
      <c r="R52" s="7">
        <f t="shared" si="36"/>
        <v>0</v>
      </c>
      <c r="S52" s="2"/>
      <c r="T52" s="6">
        <v>593.95000000000005</v>
      </c>
      <c r="U52" s="2"/>
      <c r="V52" s="7">
        <f t="shared" si="37"/>
        <v>0</v>
      </c>
      <c r="W52" s="2"/>
      <c r="X52" s="6">
        <f t="shared" si="38"/>
        <v>18.899999999999977</v>
      </c>
      <c r="Y52" s="2"/>
      <c r="Z52" s="7">
        <f t="shared" si="39"/>
        <v>3.1820860341779569E-2</v>
      </c>
    </row>
    <row r="53" spans="1:26" s="27" customFormat="1" outlineLevel="1" collapsed="1" x14ac:dyDescent="0.25">
      <c r="A53" s="25"/>
      <c r="B53" s="13" t="str">
        <f>CONCATENATE("     ","Training                                          ")</f>
        <v xml:space="preserve">     Training                                          </v>
      </c>
      <c r="C53" s="13"/>
      <c r="D53" s="1">
        <f>SUM(OSRRefD22_9x_0)</f>
        <v>80</v>
      </c>
      <c r="E53" s="1"/>
      <c r="F53" s="5">
        <f t="shared" si="32"/>
        <v>0</v>
      </c>
      <c r="G53" s="1"/>
      <c r="H53" s="1">
        <f>SUM(OSRRefH22_9x_0)</f>
        <v>75</v>
      </c>
      <c r="I53" s="1"/>
      <c r="J53" s="5">
        <f t="shared" si="33"/>
        <v>0</v>
      </c>
      <c r="K53" s="1"/>
      <c r="L53" s="1">
        <f t="shared" si="34"/>
        <v>5</v>
      </c>
      <c r="M53" s="1"/>
      <c r="N53" s="5">
        <f t="shared" si="35"/>
        <v>6.6666666666666666E-2</v>
      </c>
      <c r="O53" s="13"/>
      <c r="P53" s="1">
        <f>SUM(OSRRefP22_9x_0)</f>
        <v>80</v>
      </c>
      <c r="Q53" s="1"/>
      <c r="R53" s="5">
        <f t="shared" si="36"/>
        <v>0</v>
      </c>
      <c r="S53" s="1"/>
      <c r="T53" s="1">
        <f>SUM(OSRRefT22_9x_0)</f>
        <v>470</v>
      </c>
      <c r="U53" s="1"/>
      <c r="V53" s="5">
        <f t="shared" si="37"/>
        <v>0</v>
      </c>
      <c r="W53" s="1"/>
      <c r="X53" s="1">
        <f t="shared" si="38"/>
        <v>-390</v>
      </c>
      <c r="Y53" s="1"/>
      <c r="Z53" s="5">
        <f t="shared" si="39"/>
        <v>-0.82978723404255317</v>
      </c>
    </row>
    <row r="54" spans="1:26" s="24" customFormat="1" hidden="1" outlineLevel="2" x14ac:dyDescent="0.25">
      <c r="A54" s="26"/>
      <c r="B54" s="11" t="str">
        <f>CONCATENATE("          ", "6376", " - ", "TRAINING")</f>
        <v xml:space="preserve">          6376 - TRAINING</v>
      </c>
      <c r="C54" s="11"/>
      <c r="D54" s="6">
        <v>80</v>
      </c>
      <c r="E54" s="2"/>
      <c r="F54" s="7">
        <f t="shared" si="32"/>
        <v>0</v>
      </c>
      <c r="G54" s="2"/>
      <c r="H54" s="6">
        <v>75</v>
      </c>
      <c r="I54" s="2"/>
      <c r="J54" s="7">
        <f t="shared" si="33"/>
        <v>0</v>
      </c>
      <c r="K54" s="2"/>
      <c r="L54" s="6">
        <f t="shared" si="34"/>
        <v>5</v>
      </c>
      <c r="M54" s="2"/>
      <c r="N54" s="7">
        <f t="shared" si="35"/>
        <v>6.6666666666666666E-2</v>
      </c>
      <c r="O54" s="11"/>
      <c r="P54" s="6">
        <v>80</v>
      </c>
      <c r="Q54" s="2"/>
      <c r="R54" s="7">
        <f t="shared" si="36"/>
        <v>0</v>
      </c>
      <c r="S54" s="2"/>
      <c r="T54" s="6">
        <v>470</v>
      </c>
      <c r="U54" s="2"/>
      <c r="V54" s="7">
        <f t="shared" si="37"/>
        <v>0</v>
      </c>
      <c r="W54" s="2"/>
      <c r="X54" s="6">
        <f t="shared" si="38"/>
        <v>-390</v>
      </c>
      <c r="Y54" s="2"/>
      <c r="Z54" s="7">
        <f t="shared" si="39"/>
        <v>-0.82978723404255317</v>
      </c>
    </row>
    <row r="55" spans="1:26" s="55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3</v>
      </c>
      <c r="C58" s="28"/>
      <c r="D58" s="21">
        <f>+D16-D18+D56</f>
        <v>-35902.289999999994</v>
      </c>
      <c r="E58" s="14"/>
      <c r="F58" s="22">
        <f>IF(D$12=0,0,D58/D$12)</f>
        <v>0</v>
      </c>
      <c r="G58" s="14"/>
      <c r="H58" s="21">
        <f>+H16-H18+H56</f>
        <v>-36528.86</v>
      </c>
      <c r="I58" s="14"/>
      <c r="J58" s="22">
        <f>IF(H$12=0,0,H58/H$12)</f>
        <v>0</v>
      </c>
      <c r="K58" s="16"/>
      <c r="L58" s="21">
        <f>+D58-H58</f>
        <v>626.57000000000698</v>
      </c>
      <c r="M58" s="16"/>
      <c r="N58" s="22">
        <f>IF(H58=0,0,L58/H58)</f>
        <v>-1.7152738957635333E-2</v>
      </c>
      <c r="O58" s="29"/>
      <c r="P58" s="21">
        <f>+P16-P18+P56</f>
        <v>-185765.77999999997</v>
      </c>
      <c r="Q58" s="14"/>
      <c r="R58" s="22">
        <f>IF(P$12=0,0,P58/P$12)</f>
        <v>0</v>
      </c>
      <c r="S58" s="14"/>
      <c r="T58" s="21">
        <f>+T16-T18+T56</f>
        <v>-206365.25</v>
      </c>
      <c r="U58" s="14"/>
      <c r="V58" s="22">
        <f>IF(T$12=0,0,T58/T$12)</f>
        <v>0</v>
      </c>
      <c r="W58" s="16"/>
      <c r="X58" s="21">
        <f>+P58-T58</f>
        <v>20599.47000000003</v>
      </c>
      <c r="Y58" s="16"/>
      <c r="Z58" s="22">
        <f>IF(T58=0,0,X58/T58)</f>
        <v>-9.9820439730041899E-2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1"/>
      <c r="B60" s="10" t="s">
        <v>13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8" t="s">
        <v>4</v>
      </c>
      <c r="C62" s="28"/>
      <c r="D62" s="31">
        <f>+D58-D60</f>
        <v>-35902.289999999994</v>
      </c>
      <c r="E62" s="14"/>
      <c r="F62" s="34">
        <f>IF(D$12=0,0,D62/D$12)</f>
        <v>0</v>
      </c>
      <c r="G62" s="14"/>
      <c r="H62" s="31">
        <f>+H58-H60</f>
        <v>-36528.86</v>
      </c>
      <c r="I62" s="14"/>
      <c r="J62" s="34">
        <f>IF(H$12=0,0,H62/H$12)</f>
        <v>0</v>
      </c>
      <c r="K62" s="16"/>
      <c r="L62" s="31">
        <f>D62-H62</f>
        <v>626.57000000000698</v>
      </c>
      <c r="M62" s="16"/>
      <c r="N62" s="34">
        <f>IF(H62=0,0,L62/H62)</f>
        <v>-1.7152738957635333E-2</v>
      </c>
      <c r="O62" s="29"/>
      <c r="P62" s="31">
        <f>+P58-P60</f>
        <v>-185765.77999999997</v>
      </c>
      <c r="Q62" s="14"/>
      <c r="R62" s="34">
        <f>IF(P$12=0,0,P62/P$12)</f>
        <v>0</v>
      </c>
      <c r="S62" s="14"/>
      <c r="T62" s="31">
        <f>+T58-T60</f>
        <v>-206365.25</v>
      </c>
      <c r="U62" s="14"/>
      <c r="V62" s="34">
        <f>IF(T$12=0,0,T62/T$12)</f>
        <v>0</v>
      </c>
      <c r="W62" s="16"/>
      <c r="X62" s="31">
        <f>P62-T62</f>
        <v>20599.47000000003</v>
      </c>
      <c r="Y62" s="16"/>
      <c r="Z62" s="34">
        <f>IF(T62=0,0,X62/T62)</f>
        <v>-9.9820439730041899E-2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5</v>
      </c>
      <c r="C65" s="28"/>
      <c r="D65" s="36">
        <f>SUM(D62:D64)</f>
        <v>-35902.289999999994</v>
      </c>
      <c r="E65" s="14"/>
      <c r="F65" s="33">
        <f>IF(D$12=0,0,D65/D$12)</f>
        <v>0</v>
      </c>
      <c r="G65" s="14"/>
      <c r="H65" s="36">
        <f>SUM(H62:H64)</f>
        <v>-36528.86</v>
      </c>
      <c r="I65" s="14"/>
      <c r="J65" s="33">
        <f>IF(H$12=0,0,H65/H$12)</f>
        <v>0</v>
      </c>
      <c r="K65" s="16"/>
      <c r="L65" s="36">
        <f>+D65-H65</f>
        <v>626.57000000000698</v>
      </c>
      <c r="M65" s="16"/>
      <c r="N65" s="33">
        <f>IF(H65=0,0,L65/H65)</f>
        <v>-1.7152738957635333E-2</v>
      </c>
      <c r="O65" s="29"/>
      <c r="P65" s="36">
        <f>SUM(P62:P64)</f>
        <v>-185765.77999999997</v>
      </c>
      <c r="Q65" s="14"/>
      <c r="R65" s="33">
        <f>IF(P$12=0,0,P65/P$12)</f>
        <v>0</v>
      </c>
      <c r="S65" s="14"/>
      <c r="T65" s="36">
        <f>SUM(T62:T64)</f>
        <v>-206365.25</v>
      </c>
      <c r="U65" s="14"/>
      <c r="V65" s="33">
        <f>IF(T$12=0,0,T65/T$12)</f>
        <v>0</v>
      </c>
      <c r="W65" s="16"/>
      <c r="X65" s="36">
        <f>+P65-T65</f>
        <v>20599.47000000003</v>
      </c>
      <c r="Y65" s="16"/>
      <c r="Z65" s="33">
        <f>IF(T65=0,0,X65/T65)</f>
        <v>-9.9820439730041899E-2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61">
        <v>43791.355225381943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6" t="s">
        <v>313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7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115804.00999999998</v>
      </c>
      <c r="E12" s="4"/>
      <c r="F12" s="12"/>
      <c r="G12" s="4"/>
      <c r="H12" s="4">
        <f>SUM(OSRRefH13x_0)</f>
        <v>120716.20999999998</v>
      </c>
      <c r="I12" s="4"/>
      <c r="J12" s="12"/>
      <c r="K12" s="4"/>
      <c r="L12" s="4">
        <f t="shared" ref="L12:L49" si="0">+D12-H12</f>
        <v>-4912.1999999999971</v>
      </c>
      <c r="M12" s="4"/>
      <c r="N12" s="12">
        <f t="shared" ref="N12:N49" si="1">IF(H12=0,0,L12/H12)</f>
        <v>-4.0692132398788848E-2</v>
      </c>
      <c r="O12" s="10"/>
      <c r="P12" s="4">
        <f>SUM(OSRRefP13x_0)</f>
        <v>406532.96000000008</v>
      </c>
      <c r="Q12" s="4"/>
      <c r="R12" s="12"/>
      <c r="S12" s="4"/>
      <c r="T12" s="4">
        <f>SUM(OSRRefT13x_0)</f>
        <v>402736.64000000001</v>
      </c>
      <c r="U12" s="4"/>
      <c r="V12" s="12"/>
      <c r="W12" s="4"/>
      <c r="X12" s="4">
        <f t="shared" ref="X12:X49" si="2">+P12-T12</f>
        <v>3796.3200000000652</v>
      </c>
      <c r="Y12" s="4"/>
      <c r="Z12" s="12">
        <f t="shared" ref="Z12:Z49" si="3">IF(T12=0,0,X12/T12)</f>
        <v>9.4263089645880375E-3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--2.98</f>
        <v>2.98</v>
      </c>
      <c r="E13" s="2"/>
      <c r="F13" s="19"/>
      <c r="G13" s="2"/>
      <c r="H13" s="2">
        <f>--23.84</f>
        <v>23.84</v>
      </c>
      <c r="I13" s="2"/>
      <c r="J13" s="19"/>
      <c r="K13" s="2"/>
      <c r="L13" s="2">
        <f t="shared" si="0"/>
        <v>-20.86</v>
      </c>
      <c r="M13" s="2"/>
      <c r="N13" s="19">
        <f t="shared" si="1"/>
        <v>-0.875</v>
      </c>
      <c r="O13" s="11"/>
      <c r="P13" s="2">
        <f>--225.67</f>
        <v>225.67</v>
      </c>
      <c r="Q13" s="2"/>
      <c r="R13" s="19"/>
      <c r="S13" s="2"/>
      <c r="T13" s="2">
        <f>--633.13</f>
        <v>633.13</v>
      </c>
      <c r="U13" s="2"/>
      <c r="V13" s="19"/>
      <c r="W13" s="2"/>
      <c r="X13" s="2">
        <f t="shared" si="2"/>
        <v>-407.46000000000004</v>
      </c>
      <c r="Y13" s="2"/>
      <c r="Z13" s="19">
        <f t="shared" si="3"/>
        <v>-0.643564512817273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>--14.95</f>
        <v>14.95</v>
      </c>
      <c r="E14" s="2"/>
      <c r="F14" s="19"/>
      <c r="G14" s="2"/>
      <c r="H14" s="2">
        <f>--14.58</f>
        <v>14.58</v>
      </c>
      <c r="I14" s="2"/>
      <c r="J14" s="19"/>
      <c r="K14" s="2"/>
      <c r="L14" s="2">
        <f t="shared" si="0"/>
        <v>0.36999999999999922</v>
      </c>
      <c r="M14" s="2"/>
      <c r="N14" s="19">
        <f t="shared" si="1"/>
        <v>2.537722908093273E-2</v>
      </c>
      <c r="O14" s="11"/>
      <c r="P14" s="2">
        <f>--29.9</f>
        <v>29.9</v>
      </c>
      <c r="Q14" s="2"/>
      <c r="R14" s="19"/>
      <c r="S14" s="2"/>
      <c r="T14" s="2">
        <f>--54.48</f>
        <v>54.48</v>
      </c>
      <c r="U14" s="2"/>
      <c r="V14" s="19"/>
      <c r="W14" s="2"/>
      <c r="X14" s="2">
        <f t="shared" si="2"/>
        <v>-24.58</v>
      </c>
      <c r="Y14" s="2"/>
      <c r="Z14" s="19">
        <f t="shared" si="3"/>
        <v>-0.4511747430249633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--10035.97</f>
        <v>10035.969999999999</v>
      </c>
      <c r="E15" s="2"/>
      <c r="F15" s="19"/>
      <c r="G15" s="2"/>
      <c r="H15" s="2">
        <f>--8910.31</f>
        <v>8910.31</v>
      </c>
      <c r="I15" s="2"/>
      <c r="J15" s="19"/>
      <c r="K15" s="2"/>
      <c r="L15" s="2">
        <f t="shared" si="0"/>
        <v>1125.6599999999999</v>
      </c>
      <c r="M15" s="2"/>
      <c r="N15" s="19">
        <f t="shared" si="1"/>
        <v>0.1263323049366408</v>
      </c>
      <c r="O15" s="11"/>
      <c r="P15" s="2">
        <f>--26332.04</f>
        <v>26332.04</v>
      </c>
      <c r="Q15" s="2"/>
      <c r="R15" s="19"/>
      <c r="S15" s="2"/>
      <c r="T15" s="2">
        <f>--25195.24</f>
        <v>25195.24</v>
      </c>
      <c r="U15" s="2"/>
      <c r="V15" s="19"/>
      <c r="W15" s="2"/>
      <c r="X15" s="2">
        <f t="shared" si="2"/>
        <v>1136.7999999999993</v>
      </c>
      <c r="Y15" s="2"/>
      <c r="Z15" s="19">
        <f t="shared" si="3"/>
        <v>4.5119633708589367E-2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--12548.68</f>
        <v>12548.68</v>
      </c>
      <c r="E16" s="2"/>
      <c r="F16" s="19"/>
      <c r="G16" s="2"/>
      <c r="H16" s="2">
        <f>--9076.56</f>
        <v>9076.56</v>
      </c>
      <c r="I16" s="2"/>
      <c r="J16" s="19"/>
      <c r="K16" s="2"/>
      <c r="L16" s="2">
        <f t="shared" si="0"/>
        <v>3472.1200000000008</v>
      </c>
      <c r="M16" s="2"/>
      <c r="N16" s="19">
        <f t="shared" si="1"/>
        <v>0.38253699639511013</v>
      </c>
      <c r="O16" s="11"/>
      <c r="P16" s="2">
        <f>--36964.26</f>
        <v>36964.26</v>
      </c>
      <c r="Q16" s="2"/>
      <c r="R16" s="19"/>
      <c r="S16" s="2"/>
      <c r="T16" s="2">
        <f>--32466.11</f>
        <v>32466.11</v>
      </c>
      <c r="U16" s="2"/>
      <c r="V16" s="19"/>
      <c r="W16" s="2"/>
      <c r="X16" s="2">
        <f t="shared" si="2"/>
        <v>4498.1500000000015</v>
      </c>
      <c r="Y16" s="2"/>
      <c r="Z16" s="19">
        <f t="shared" si="3"/>
        <v>0.13854909011273606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--20952.95</f>
        <v>20952.95</v>
      </c>
      <c r="E17" s="2"/>
      <c r="F17" s="19"/>
      <c r="G17" s="2"/>
      <c r="H17" s="2">
        <f>--17904.21</f>
        <v>17904.21</v>
      </c>
      <c r="I17" s="2"/>
      <c r="J17" s="19"/>
      <c r="K17" s="2"/>
      <c r="L17" s="2">
        <f t="shared" si="0"/>
        <v>3048.7400000000016</v>
      </c>
      <c r="M17" s="2"/>
      <c r="N17" s="19">
        <f t="shared" si="1"/>
        <v>0.17028062114999779</v>
      </c>
      <c r="O17" s="11"/>
      <c r="P17" s="2">
        <f>--144225.63</f>
        <v>144225.63</v>
      </c>
      <c r="Q17" s="2"/>
      <c r="R17" s="19"/>
      <c r="S17" s="2"/>
      <c r="T17" s="2">
        <f>--132603.79</f>
        <v>132603.79</v>
      </c>
      <c r="U17" s="2"/>
      <c r="V17" s="19"/>
      <c r="W17" s="2"/>
      <c r="X17" s="2">
        <f t="shared" si="2"/>
        <v>11621.839999999997</v>
      </c>
      <c r="Y17" s="2"/>
      <c r="Z17" s="19">
        <f t="shared" si="3"/>
        <v>8.7643347147166734E-2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--45836.99</f>
        <v>45836.99</v>
      </c>
      <c r="E18" s="2"/>
      <c r="F18" s="19"/>
      <c r="G18" s="2"/>
      <c r="H18" s="2">
        <f>--55157</f>
        <v>55157</v>
      </c>
      <c r="I18" s="2"/>
      <c r="J18" s="19"/>
      <c r="K18" s="2"/>
      <c r="L18" s="2">
        <f t="shared" si="0"/>
        <v>-9320.010000000002</v>
      </c>
      <c r="M18" s="2"/>
      <c r="N18" s="19">
        <f t="shared" si="1"/>
        <v>-0.16897238791087263</v>
      </c>
      <c r="O18" s="11"/>
      <c r="P18" s="2">
        <f>--146564.67</f>
        <v>146564.67000000001</v>
      </c>
      <c r="Q18" s="2"/>
      <c r="R18" s="19"/>
      <c r="S18" s="2"/>
      <c r="T18" s="2">
        <f>--154844.8</f>
        <v>154844.79999999999</v>
      </c>
      <c r="U18" s="2"/>
      <c r="V18" s="19"/>
      <c r="W18" s="2"/>
      <c r="X18" s="2">
        <f t="shared" si="2"/>
        <v>-8280.1299999999756</v>
      </c>
      <c r="Y18" s="2"/>
      <c r="Z18" s="19">
        <f t="shared" si="3"/>
        <v>-5.3473736283039378E-2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--100.46</f>
        <v>100.46</v>
      </c>
      <c r="E19" s="2"/>
      <c r="F19" s="19"/>
      <c r="G19" s="2"/>
      <c r="H19" s="2">
        <f>--130.84</f>
        <v>130.84</v>
      </c>
      <c r="I19" s="2"/>
      <c r="J19" s="19"/>
      <c r="K19" s="2"/>
      <c r="L19" s="2">
        <f t="shared" si="0"/>
        <v>-30.38000000000001</v>
      </c>
      <c r="M19" s="2"/>
      <c r="N19" s="19">
        <f t="shared" si="1"/>
        <v>-0.23219199021705908</v>
      </c>
      <c r="O19" s="11"/>
      <c r="P19" s="2">
        <f>--221.28</f>
        <v>221.28</v>
      </c>
      <c r="Q19" s="2"/>
      <c r="R19" s="19"/>
      <c r="S19" s="2"/>
      <c r="T19" s="2">
        <f>--245.9</f>
        <v>245.9</v>
      </c>
      <c r="U19" s="2"/>
      <c r="V19" s="19"/>
      <c r="W19" s="2"/>
      <c r="X19" s="2">
        <f t="shared" si="2"/>
        <v>-24.620000000000005</v>
      </c>
      <c r="Y19" s="2"/>
      <c r="Z19" s="19">
        <f t="shared" si="3"/>
        <v>-0.10012200081333877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>--32.07</f>
        <v>32.07</v>
      </c>
      <c r="E20" s="2"/>
      <c r="F20" s="19"/>
      <c r="G20" s="2"/>
      <c r="H20" s="2">
        <f>--127.15</f>
        <v>127.15</v>
      </c>
      <c r="I20" s="2"/>
      <c r="J20" s="19"/>
      <c r="K20" s="2"/>
      <c r="L20" s="2">
        <f t="shared" si="0"/>
        <v>-95.080000000000013</v>
      </c>
      <c r="M20" s="2"/>
      <c r="N20" s="19">
        <f t="shared" si="1"/>
        <v>-0.74777821470703898</v>
      </c>
      <c r="O20" s="11"/>
      <c r="P20" s="2">
        <f>--53.42</f>
        <v>53.42</v>
      </c>
      <c r="Q20" s="2"/>
      <c r="R20" s="19"/>
      <c r="S20" s="2"/>
      <c r="T20" s="2">
        <f>--183.3</f>
        <v>183.3</v>
      </c>
      <c r="U20" s="2"/>
      <c r="V20" s="19"/>
      <c r="W20" s="2"/>
      <c r="X20" s="2">
        <f t="shared" si="2"/>
        <v>-129.88</v>
      </c>
      <c r="Y20" s="2"/>
      <c r="Z20" s="19">
        <f t="shared" si="3"/>
        <v>-0.70856519367157655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>--44.43</f>
        <v>44.43</v>
      </c>
      <c r="E21" s="2"/>
      <c r="F21" s="19"/>
      <c r="G21" s="2"/>
      <c r="H21" s="2">
        <f>--43.82</f>
        <v>43.82</v>
      </c>
      <c r="I21" s="2"/>
      <c r="J21" s="19"/>
      <c r="K21" s="2"/>
      <c r="L21" s="2">
        <f t="shared" si="0"/>
        <v>0.60999999999999943</v>
      </c>
      <c r="M21" s="2"/>
      <c r="N21" s="19">
        <f t="shared" si="1"/>
        <v>1.3920584208124131E-2</v>
      </c>
      <c r="O21" s="11"/>
      <c r="P21" s="2">
        <f>--85.4</f>
        <v>85.4</v>
      </c>
      <c r="Q21" s="2"/>
      <c r="R21" s="19"/>
      <c r="S21" s="2"/>
      <c r="T21" s="2">
        <f>--73.67</f>
        <v>73.67</v>
      </c>
      <c r="U21" s="2"/>
      <c r="V21" s="19"/>
      <c r="W21" s="2"/>
      <c r="X21" s="2">
        <f t="shared" si="2"/>
        <v>11.730000000000004</v>
      </c>
      <c r="Y21" s="2"/>
      <c r="Z21" s="19">
        <f t="shared" si="3"/>
        <v>0.1592235645445908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>--1854.69</f>
        <v>1854.69</v>
      </c>
      <c r="E22" s="2"/>
      <c r="F22" s="19"/>
      <c r="G22" s="2"/>
      <c r="H22" s="2">
        <f>--1601.31</f>
        <v>1601.31</v>
      </c>
      <c r="I22" s="2"/>
      <c r="J22" s="19"/>
      <c r="K22" s="2"/>
      <c r="L22" s="2">
        <f t="shared" si="0"/>
        <v>253.38000000000011</v>
      </c>
      <c r="M22" s="2"/>
      <c r="N22" s="19">
        <f t="shared" si="1"/>
        <v>0.15823294677482819</v>
      </c>
      <c r="O22" s="11"/>
      <c r="P22" s="2">
        <f>--3714.24</f>
        <v>3714.24</v>
      </c>
      <c r="Q22" s="2"/>
      <c r="R22" s="19"/>
      <c r="S22" s="2"/>
      <c r="T22" s="2">
        <f>--2966.87</f>
        <v>2966.87</v>
      </c>
      <c r="U22" s="2"/>
      <c r="V22" s="19"/>
      <c r="W22" s="2"/>
      <c r="X22" s="2">
        <f t="shared" si="2"/>
        <v>747.36999999999989</v>
      </c>
      <c r="Y22" s="2"/>
      <c r="Z22" s="19">
        <f t="shared" si="3"/>
        <v>0.25190520649708276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--425.93</f>
        <v>425.93</v>
      </c>
      <c r="E23" s="2"/>
      <c r="F23" s="19"/>
      <c r="G23" s="2"/>
      <c r="H23" s="2">
        <f>--517.17</f>
        <v>517.16999999999996</v>
      </c>
      <c r="I23" s="2"/>
      <c r="J23" s="19"/>
      <c r="K23" s="2"/>
      <c r="L23" s="2">
        <f t="shared" si="0"/>
        <v>-91.239999999999952</v>
      </c>
      <c r="M23" s="2"/>
      <c r="N23" s="19">
        <f t="shared" si="1"/>
        <v>-0.17642167952510773</v>
      </c>
      <c r="O23" s="11"/>
      <c r="P23" s="2">
        <f>--864.36</f>
        <v>864.36</v>
      </c>
      <c r="Q23" s="2"/>
      <c r="R23" s="19"/>
      <c r="S23" s="2"/>
      <c r="T23" s="2">
        <f>--1144.01</f>
        <v>1144.01</v>
      </c>
      <c r="U23" s="2"/>
      <c r="V23" s="19"/>
      <c r="W23" s="2"/>
      <c r="X23" s="2">
        <f t="shared" si="2"/>
        <v>-279.64999999999998</v>
      </c>
      <c r="Y23" s="2"/>
      <c r="Z23" s="19">
        <f t="shared" si="3"/>
        <v>-0.24444716392339225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>--128.42</f>
        <v>128.41999999999999</v>
      </c>
      <c r="E24" s="2"/>
      <c r="F24" s="19"/>
      <c r="G24" s="2"/>
      <c r="H24" s="2">
        <f>--145.84</f>
        <v>145.84</v>
      </c>
      <c r="I24" s="2"/>
      <c r="J24" s="19"/>
      <c r="K24" s="2"/>
      <c r="L24" s="2">
        <f t="shared" si="0"/>
        <v>-17.420000000000016</v>
      </c>
      <c r="M24" s="2"/>
      <c r="N24" s="19">
        <f t="shared" si="1"/>
        <v>-0.11944596818431168</v>
      </c>
      <c r="O24" s="11"/>
      <c r="P24" s="2">
        <f>--302.57</f>
        <v>302.57</v>
      </c>
      <c r="Q24" s="2"/>
      <c r="R24" s="19"/>
      <c r="S24" s="2"/>
      <c r="T24" s="2">
        <f>--303.08</f>
        <v>303.08</v>
      </c>
      <c r="U24" s="2"/>
      <c r="V24" s="19"/>
      <c r="W24" s="2"/>
      <c r="X24" s="2">
        <f t="shared" si="2"/>
        <v>-0.50999999999999091</v>
      </c>
      <c r="Y24" s="2"/>
      <c r="Z24" s="19">
        <f t="shared" si="3"/>
        <v>-1.6827240332585158E-3</v>
      </c>
    </row>
    <row r="25" spans="1:26" s="24" customFormat="1" hidden="1" outlineLevel="1" x14ac:dyDescent="0.25">
      <c r="A25" s="44"/>
      <c r="B25" s="11" t="str">
        <f>CONCATENATE("          ", "4042", " - ", "TAXABLE SALES-EVERYDAY GIFTS")</f>
        <v xml:space="preserve">          4042 - TAXABLE SALES-EVERYDAY GIFTS</v>
      </c>
      <c r="C25" s="11"/>
      <c r="D25" s="2">
        <f>0</f>
        <v>0</v>
      </c>
      <c r="E25" s="2"/>
      <c r="F25" s="19"/>
      <c r="G25" s="2"/>
      <c r="H25" s="2">
        <f>--125.83</f>
        <v>125.83</v>
      </c>
      <c r="I25" s="2"/>
      <c r="J25" s="19"/>
      <c r="K25" s="2"/>
      <c r="L25" s="2">
        <f t="shared" si="0"/>
        <v>-125.83</v>
      </c>
      <c r="M25" s="2"/>
      <c r="N25" s="19">
        <f t="shared" si="1"/>
        <v>-1</v>
      </c>
      <c r="O25" s="11"/>
      <c r="P25" s="2">
        <f>0</f>
        <v>0</v>
      </c>
      <c r="Q25" s="2"/>
      <c r="R25" s="19"/>
      <c r="S25" s="2"/>
      <c r="T25" s="2">
        <f>--464.38</f>
        <v>464.38</v>
      </c>
      <c r="U25" s="2"/>
      <c r="V25" s="19"/>
      <c r="W25" s="2"/>
      <c r="X25" s="2">
        <f t="shared" si="2"/>
        <v>-464.38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>--873.49</f>
        <v>873.49</v>
      </c>
      <c r="E26" s="2"/>
      <c r="F26" s="19"/>
      <c r="G26" s="2"/>
      <c r="H26" s="2">
        <f>--991.34</f>
        <v>991.34</v>
      </c>
      <c r="I26" s="2"/>
      <c r="J26" s="19"/>
      <c r="K26" s="2"/>
      <c r="L26" s="2">
        <f t="shared" si="0"/>
        <v>-117.85000000000002</v>
      </c>
      <c r="M26" s="2"/>
      <c r="N26" s="19">
        <f t="shared" si="1"/>
        <v>-0.11887949643916317</v>
      </c>
      <c r="O26" s="11"/>
      <c r="P26" s="2">
        <f>--1792.91</f>
        <v>1792.91</v>
      </c>
      <c r="Q26" s="2"/>
      <c r="R26" s="19"/>
      <c r="S26" s="2"/>
      <c r="T26" s="2">
        <f>--2199.46</f>
        <v>2199.46</v>
      </c>
      <c r="U26" s="2"/>
      <c r="V26" s="19"/>
      <c r="W26" s="2"/>
      <c r="X26" s="2">
        <f t="shared" si="2"/>
        <v>-406.54999999999995</v>
      </c>
      <c r="Y26" s="2"/>
      <c r="Z26" s="19">
        <f t="shared" si="3"/>
        <v>-0.18484082456602982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0</f>
        <v>0</v>
      </c>
      <c r="E27" s="2"/>
      <c r="F27" s="19"/>
      <c r="G27" s="2"/>
      <c r="H27" s="2">
        <f>--173</f>
        <v>173</v>
      </c>
      <c r="I27" s="2"/>
      <c r="J27" s="19"/>
      <c r="K27" s="2"/>
      <c r="L27" s="2">
        <f t="shared" si="0"/>
        <v>-173</v>
      </c>
      <c r="M27" s="2"/>
      <c r="N27" s="19">
        <f t="shared" si="1"/>
        <v>-1</v>
      </c>
      <c r="O27" s="11"/>
      <c r="P27" s="2">
        <f>--162</f>
        <v>162</v>
      </c>
      <c r="Q27" s="2"/>
      <c r="R27" s="19"/>
      <c r="S27" s="2"/>
      <c r="T27" s="2">
        <f>--308</f>
        <v>308</v>
      </c>
      <c r="U27" s="2"/>
      <c r="V27" s="19"/>
      <c r="W27" s="2"/>
      <c r="X27" s="2">
        <f t="shared" si="2"/>
        <v>-146</v>
      </c>
      <c r="Y27" s="2"/>
      <c r="Z27" s="19">
        <f t="shared" si="3"/>
        <v>-0.47402597402597402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--129.89</f>
        <v>129.88999999999999</v>
      </c>
      <c r="E28" s="2"/>
      <c r="F28" s="19"/>
      <c r="G28" s="2"/>
      <c r="H28" s="2">
        <f>--249.81</f>
        <v>249.81</v>
      </c>
      <c r="I28" s="2"/>
      <c r="J28" s="19"/>
      <c r="K28" s="2"/>
      <c r="L28" s="2">
        <f t="shared" si="0"/>
        <v>-119.92000000000002</v>
      </c>
      <c r="M28" s="2"/>
      <c r="N28" s="19">
        <f t="shared" si="1"/>
        <v>-0.4800448340738962</v>
      </c>
      <c r="O28" s="11"/>
      <c r="P28" s="2">
        <f>--429.69</f>
        <v>429.69</v>
      </c>
      <c r="Q28" s="2"/>
      <c r="R28" s="19"/>
      <c r="S28" s="2"/>
      <c r="T28" s="2">
        <f>--639.49</f>
        <v>639.49</v>
      </c>
      <c r="U28" s="2"/>
      <c r="V28" s="19"/>
      <c r="W28" s="2"/>
      <c r="X28" s="2">
        <f t="shared" si="2"/>
        <v>-209.8</v>
      </c>
      <c r="Y28" s="2"/>
      <c r="Z28" s="19">
        <f t="shared" si="3"/>
        <v>-0.32807393391608941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--80.97</f>
        <v>80.97</v>
      </c>
      <c r="E29" s="2"/>
      <c r="F29" s="19"/>
      <c r="G29" s="2"/>
      <c r="H29" s="2">
        <f>--409.79</f>
        <v>409.79</v>
      </c>
      <c r="I29" s="2"/>
      <c r="J29" s="19"/>
      <c r="K29" s="2"/>
      <c r="L29" s="2">
        <f t="shared" si="0"/>
        <v>-328.82000000000005</v>
      </c>
      <c r="M29" s="2"/>
      <c r="N29" s="19">
        <f t="shared" si="1"/>
        <v>-0.80241099099538793</v>
      </c>
      <c r="O29" s="11"/>
      <c r="P29" s="2">
        <f>--534.79</f>
        <v>534.79</v>
      </c>
      <c r="Q29" s="2"/>
      <c r="R29" s="19"/>
      <c r="S29" s="2"/>
      <c r="T29" s="2">
        <f>--970.49</f>
        <v>970.49</v>
      </c>
      <c r="U29" s="2"/>
      <c r="V29" s="19"/>
      <c r="W29" s="2"/>
      <c r="X29" s="2">
        <f t="shared" si="2"/>
        <v>-435.70000000000005</v>
      </c>
      <c r="Y29" s="2"/>
      <c r="Z29" s="19">
        <f t="shared" si="3"/>
        <v>-0.44894846932992616</v>
      </c>
    </row>
    <row r="30" spans="1:26" s="24" customFormat="1" hidden="1" outlineLevel="1" x14ac:dyDescent="0.25">
      <c r="A30" s="44"/>
      <c r="B30" s="11" t="str">
        <f>CONCATENATE("          ", "4125", " - ", "NON-TAXABLE SALES-TEST FORMS")</f>
        <v xml:space="preserve">          4125 - NON-TAXABLE SALES-TEST FORMS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--124.18</f>
        <v>124.18</v>
      </c>
      <c r="Q30" s="2"/>
      <c r="R30" s="19"/>
      <c r="S30" s="2"/>
      <c r="T30" s="2">
        <f>--160.73</f>
        <v>160.72999999999999</v>
      </c>
      <c r="U30" s="2"/>
      <c r="V30" s="19"/>
      <c r="W30" s="2"/>
      <c r="X30" s="2">
        <f t="shared" si="2"/>
        <v>-36.549999999999983</v>
      </c>
      <c r="Y30" s="2"/>
      <c r="Z30" s="19">
        <f t="shared" si="3"/>
        <v>-0.22739998755677213</v>
      </c>
    </row>
    <row r="31" spans="1:26" s="24" customFormat="1" hidden="1" outlineLevel="1" x14ac:dyDescent="0.25">
      <c r="A31" s="44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>--115.27</f>
        <v>115.27</v>
      </c>
      <c r="E31" s="2"/>
      <c r="F31" s="19"/>
      <c r="G31" s="2"/>
      <c r="H31" s="2">
        <f>--96.42</f>
        <v>96.42</v>
      </c>
      <c r="I31" s="2"/>
      <c r="J31" s="19"/>
      <c r="K31" s="2"/>
      <c r="L31" s="2">
        <f t="shared" si="0"/>
        <v>18.849999999999994</v>
      </c>
      <c r="M31" s="2"/>
      <c r="N31" s="19">
        <f t="shared" si="1"/>
        <v>0.19549885915785101</v>
      </c>
      <c r="O31" s="11"/>
      <c r="P31" s="2">
        <f>--1458.53</f>
        <v>1458.53</v>
      </c>
      <c r="Q31" s="2"/>
      <c r="R31" s="19"/>
      <c r="S31" s="2"/>
      <c r="T31" s="2">
        <f>--1791.88</f>
        <v>1791.88</v>
      </c>
      <c r="U31" s="2"/>
      <c r="V31" s="19"/>
      <c r="W31" s="2"/>
      <c r="X31" s="2">
        <f t="shared" si="2"/>
        <v>-333.35000000000014</v>
      </c>
      <c r="Y31" s="2"/>
      <c r="Z31" s="19">
        <f t="shared" si="3"/>
        <v>-0.18603366296850243</v>
      </c>
    </row>
    <row r="32" spans="1:26" s="24" customFormat="1" hidden="1" outlineLevel="1" x14ac:dyDescent="0.25">
      <c r="A32" s="44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>--179.63</f>
        <v>179.63</v>
      </c>
      <c r="E32" s="2"/>
      <c r="F32" s="19"/>
      <c r="G32" s="2"/>
      <c r="H32" s="2">
        <f>--3738.84</f>
        <v>3738.84</v>
      </c>
      <c r="I32" s="2"/>
      <c r="J32" s="19"/>
      <c r="K32" s="2"/>
      <c r="L32" s="2">
        <f t="shared" si="0"/>
        <v>-3559.21</v>
      </c>
      <c r="M32" s="2"/>
      <c r="N32" s="19">
        <f t="shared" si="1"/>
        <v>-0.95195568679055531</v>
      </c>
      <c r="O32" s="11"/>
      <c r="P32" s="2">
        <f>--2597.12</f>
        <v>2597.12</v>
      </c>
      <c r="Q32" s="2"/>
      <c r="R32" s="19"/>
      <c r="S32" s="2"/>
      <c r="T32" s="2">
        <f>--6275.52</f>
        <v>6275.52</v>
      </c>
      <c r="U32" s="2"/>
      <c r="V32" s="19"/>
      <c r="W32" s="2"/>
      <c r="X32" s="2">
        <f t="shared" si="2"/>
        <v>-3678.4000000000005</v>
      </c>
      <c r="Y32" s="2"/>
      <c r="Z32" s="19">
        <f t="shared" si="3"/>
        <v>-0.58615062974861054</v>
      </c>
    </row>
    <row r="33" spans="1:26" s="24" customFormat="1" hidden="1" outlineLevel="1" x14ac:dyDescent="0.25">
      <c r="A33" s="44"/>
      <c r="B33" s="11" t="str">
        <f>CONCATENATE("          ", "4128", " - ", "NON-TAXABLE SALES-ART/TECH")</f>
        <v xml:space="preserve">          4128 - NON-TAXABLE SALES-ART/TECH</v>
      </c>
      <c r="C33" s="11"/>
      <c r="D33" s="2">
        <f>--85.82</f>
        <v>85.82</v>
      </c>
      <c r="E33" s="2"/>
      <c r="F33" s="19"/>
      <c r="G33" s="2"/>
      <c r="H33" s="2">
        <f>--61.65</f>
        <v>61.65</v>
      </c>
      <c r="I33" s="2"/>
      <c r="J33" s="19"/>
      <c r="K33" s="2"/>
      <c r="L33" s="2">
        <f t="shared" si="0"/>
        <v>24.169999999999995</v>
      </c>
      <c r="M33" s="2"/>
      <c r="N33" s="19">
        <f t="shared" si="1"/>
        <v>0.39205190592051897</v>
      </c>
      <c r="O33" s="11"/>
      <c r="P33" s="2">
        <f>--348.72</f>
        <v>348.72</v>
      </c>
      <c r="Q33" s="2"/>
      <c r="R33" s="19"/>
      <c r="S33" s="2"/>
      <c r="T33" s="2">
        <f>--624.21</f>
        <v>624.21</v>
      </c>
      <c r="U33" s="2"/>
      <c r="V33" s="19"/>
      <c r="W33" s="2"/>
      <c r="X33" s="2">
        <f t="shared" si="2"/>
        <v>-275.49</v>
      </c>
      <c r="Y33" s="2"/>
      <c r="Z33" s="19">
        <f t="shared" si="3"/>
        <v>-0.44134185610611815</v>
      </c>
    </row>
    <row r="34" spans="1:26" s="24" customFormat="1" hidden="1" outlineLevel="1" x14ac:dyDescent="0.25">
      <c r="A34" s="44"/>
      <c r="B34" s="11" t="str">
        <f>CONCATENATE("          ", "4131", " - ", "NON-TAXABLE SALES-FOOD")</f>
        <v xml:space="preserve">          4131 - NON-TAXABLE SALES-FOOD</v>
      </c>
      <c r="C34" s="11"/>
      <c r="D34" s="2">
        <f>--13457.13</f>
        <v>13457.13</v>
      </c>
      <c r="E34" s="2"/>
      <c r="F34" s="19"/>
      <c r="G34" s="2"/>
      <c r="H34" s="2">
        <f>--13610.6</f>
        <v>13610.6</v>
      </c>
      <c r="I34" s="2"/>
      <c r="J34" s="19"/>
      <c r="K34" s="2"/>
      <c r="L34" s="2">
        <f t="shared" si="0"/>
        <v>-153.47000000000116</v>
      </c>
      <c r="M34" s="2"/>
      <c r="N34" s="19">
        <f t="shared" si="1"/>
        <v>-1.127577035545833E-2</v>
      </c>
      <c r="O34" s="11"/>
      <c r="P34" s="2">
        <f>--26722.42</f>
        <v>26722.42</v>
      </c>
      <c r="Q34" s="2"/>
      <c r="R34" s="19"/>
      <c r="S34" s="2"/>
      <c r="T34" s="2">
        <f>--26794.17</f>
        <v>26794.17</v>
      </c>
      <c r="U34" s="2"/>
      <c r="V34" s="19"/>
      <c r="W34" s="2"/>
      <c r="X34" s="2">
        <f t="shared" si="2"/>
        <v>-71.75</v>
      </c>
      <c r="Y34" s="2"/>
      <c r="Z34" s="19">
        <f t="shared" si="3"/>
        <v>-2.6778213320285721E-3</v>
      </c>
    </row>
    <row r="35" spans="1:26" s="24" customFormat="1" hidden="1" outlineLevel="1" x14ac:dyDescent="0.25">
      <c r="A35" s="44"/>
      <c r="B35" s="11" t="str">
        <f>CONCATENATE("          ", "4132", " - ", "NON-TAXABLE SALES-JUICE")</f>
        <v xml:space="preserve">          4132 - NON-TAXABLE SALES-JUICE</v>
      </c>
      <c r="C35" s="11"/>
      <c r="D35" s="2">
        <f>--3958.43</f>
        <v>3958.43</v>
      </c>
      <c r="E35" s="2"/>
      <c r="F35" s="19"/>
      <c r="G35" s="2"/>
      <c r="H35" s="2">
        <f>--3458.58</f>
        <v>3458.58</v>
      </c>
      <c r="I35" s="2"/>
      <c r="J35" s="19"/>
      <c r="K35" s="2"/>
      <c r="L35" s="2">
        <f t="shared" si="0"/>
        <v>499.84999999999991</v>
      </c>
      <c r="M35" s="2"/>
      <c r="N35" s="19">
        <f t="shared" si="1"/>
        <v>0.14452463149616315</v>
      </c>
      <c r="O35" s="11"/>
      <c r="P35" s="2">
        <f>--7768.8</f>
        <v>7768.8</v>
      </c>
      <c r="Q35" s="2"/>
      <c r="R35" s="19"/>
      <c r="S35" s="2"/>
      <c r="T35" s="2">
        <f>--6841.08</f>
        <v>6841.08</v>
      </c>
      <c r="U35" s="2"/>
      <c r="V35" s="19"/>
      <c r="W35" s="2"/>
      <c r="X35" s="2">
        <f t="shared" si="2"/>
        <v>927.72000000000025</v>
      </c>
      <c r="Y35" s="2"/>
      <c r="Z35" s="19">
        <f t="shared" si="3"/>
        <v>0.13561016681576596</v>
      </c>
    </row>
    <row r="36" spans="1:26" s="24" customFormat="1" hidden="1" outlineLevel="1" x14ac:dyDescent="0.25">
      <c r="A36" s="44"/>
      <c r="B36" s="11" t="str">
        <f>CONCATENATE("          ", "4133", " - ", "NON-TAXABLE SALES-CANDY")</f>
        <v xml:space="preserve">          4133 - NON-TAXABLE SALES-CANDY</v>
      </c>
      <c r="C36" s="11"/>
      <c r="D36" s="2">
        <f>--3801.88</f>
        <v>3801.88</v>
      </c>
      <c r="E36" s="2"/>
      <c r="F36" s="19"/>
      <c r="G36" s="2"/>
      <c r="H36" s="2">
        <f>--3409.32</f>
        <v>3409.32</v>
      </c>
      <c r="I36" s="2"/>
      <c r="J36" s="19"/>
      <c r="K36" s="2"/>
      <c r="L36" s="2">
        <f t="shared" si="0"/>
        <v>392.55999999999995</v>
      </c>
      <c r="M36" s="2"/>
      <c r="N36" s="19">
        <f t="shared" si="1"/>
        <v>0.11514319571058156</v>
      </c>
      <c r="O36" s="11"/>
      <c r="P36" s="2">
        <f>--8466.86</f>
        <v>8466.86</v>
      </c>
      <c r="Q36" s="2"/>
      <c r="R36" s="19"/>
      <c r="S36" s="2"/>
      <c r="T36" s="2">
        <f>--7215.99</f>
        <v>7215.99</v>
      </c>
      <c r="U36" s="2"/>
      <c r="V36" s="19"/>
      <c r="W36" s="2"/>
      <c r="X36" s="2">
        <f t="shared" si="2"/>
        <v>1250.8700000000008</v>
      </c>
      <c r="Y36" s="2"/>
      <c r="Z36" s="19">
        <f t="shared" si="3"/>
        <v>0.17334696971586724</v>
      </c>
    </row>
    <row r="37" spans="1:26" s="24" customFormat="1" hidden="1" outlineLevel="1" x14ac:dyDescent="0.25">
      <c r="A37" s="44"/>
      <c r="B37" s="11" t="str">
        <f>CONCATENATE("          ", "4134", " - ", "NON-TAXABLE SALES-SODA")</f>
        <v xml:space="preserve">          4134 - NON-TAXABLE SALES-SODA</v>
      </c>
      <c r="C37" s="11"/>
      <c r="D37" s="2">
        <f>0</f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0</f>
        <v>0</v>
      </c>
      <c r="Q37" s="2"/>
      <c r="R37" s="19"/>
      <c r="S37" s="2"/>
      <c r="T37" s="2">
        <f>--109.47</f>
        <v>109.47</v>
      </c>
      <c r="U37" s="2"/>
      <c r="V37" s="19"/>
      <c r="W37" s="2"/>
      <c r="X37" s="2">
        <f t="shared" si="2"/>
        <v>-109.47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"4135", " - ", "NON-TAXABLE SALES")</f>
        <v xml:space="preserve">          4135 - NON-TAXABLE SALES</v>
      </c>
      <c r="C38" s="11"/>
      <c r="D38" s="2">
        <f>--17.9</f>
        <v>17.899999999999999</v>
      </c>
      <c r="E38" s="2"/>
      <c r="F38" s="19"/>
      <c r="G38" s="2"/>
      <c r="H38" s="2">
        <f>--58.44</f>
        <v>58.44</v>
      </c>
      <c r="I38" s="2"/>
      <c r="J38" s="19"/>
      <c r="K38" s="2"/>
      <c r="L38" s="2">
        <f t="shared" si="0"/>
        <v>-40.54</v>
      </c>
      <c r="M38" s="2"/>
      <c r="N38" s="19">
        <f t="shared" si="1"/>
        <v>-0.69370294318959613</v>
      </c>
      <c r="O38" s="11"/>
      <c r="P38" s="2">
        <f>--103.96</f>
        <v>103.96</v>
      </c>
      <c r="Q38" s="2"/>
      <c r="R38" s="19"/>
      <c r="S38" s="2"/>
      <c r="T38" s="2">
        <f>--109.06</f>
        <v>109.06</v>
      </c>
      <c r="U38" s="2"/>
      <c r="V38" s="19"/>
      <c r="W38" s="2"/>
      <c r="X38" s="2">
        <f t="shared" si="2"/>
        <v>-5.1000000000000085</v>
      </c>
      <c r="Y38" s="2"/>
      <c r="Z38" s="19">
        <f t="shared" si="3"/>
        <v>-4.676324958738317E-2</v>
      </c>
    </row>
    <row r="39" spans="1:26" s="24" customFormat="1" hidden="1" outlineLevel="1" x14ac:dyDescent="0.25">
      <c r="A39" s="44"/>
      <c r="B39" s="11" t="str">
        <f>CONCATENATE("          ", "4137", " - ", "NON-TAXABLE SALES-WATER")</f>
        <v xml:space="preserve">          4137 - NON-TAXABLE SALES-WATER</v>
      </c>
      <c r="C39" s="11"/>
      <c r="D39" s="2">
        <f>--2012.43</f>
        <v>2012.43</v>
      </c>
      <c r="E39" s="2"/>
      <c r="F39" s="19"/>
      <c r="G39" s="2"/>
      <c r="H39" s="2">
        <f>--2001.18</f>
        <v>2001.18</v>
      </c>
      <c r="I39" s="2"/>
      <c r="J39" s="19"/>
      <c r="K39" s="2"/>
      <c r="L39" s="2">
        <f t="shared" si="0"/>
        <v>11.25</v>
      </c>
      <c r="M39" s="2"/>
      <c r="N39" s="19">
        <f t="shared" si="1"/>
        <v>5.6216832069079245E-3</v>
      </c>
      <c r="O39" s="11"/>
      <c r="P39" s="2">
        <f>--4179.8</f>
        <v>4179.8</v>
      </c>
      <c r="Q39" s="2"/>
      <c r="R39" s="19"/>
      <c r="S39" s="2"/>
      <c r="T39" s="2">
        <f>--3772.86</f>
        <v>3772.86</v>
      </c>
      <c r="U39" s="2"/>
      <c r="V39" s="19"/>
      <c r="W39" s="2"/>
      <c r="X39" s="2">
        <f t="shared" si="2"/>
        <v>406.94000000000005</v>
      </c>
      <c r="Y39" s="2"/>
      <c r="Z39" s="19">
        <f t="shared" si="3"/>
        <v>0.10785981987139731</v>
      </c>
    </row>
    <row r="40" spans="1:26" s="24" customFormat="1" hidden="1" outlineLevel="1" x14ac:dyDescent="0.25">
      <c r="A40" s="44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>--4.01</f>
        <v>4.01</v>
      </c>
      <c r="E40" s="2"/>
      <c r="F40" s="19"/>
      <c r="G40" s="2"/>
      <c r="H40" s="2">
        <f>-19</f>
        <v>-19</v>
      </c>
      <c r="I40" s="2"/>
      <c r="J40" s="19"/>
      <c r="K40" s="2"/>
      <c r="L40" s="2">
        <f t="shared" si="0"/>
        <v>23.009999999999998</v>
      </c>
      <c r="M40" s="2"/>
      <c r="N40" s="19">
        <f t="shared" si="1"/>
        <v>-1.2110526315789472</v>
      </c>
      <c r="O40" s="11"/>
      <c r="P40" s="2">
        <f>-30.97</f>
        <v>-30.97</v>
      </c>
      <c r="Q40" s="2"/>
      <c r="R40" s="19"/>
      <c r="S40" s="2"/>
      <c r="T40" s="2">
        <f>-67.98</f>
        <v>-67.98</v>
      </c>
      <c r="U40" s="2"/>
      <c r="V40" s="19"/>
      <c r="W40" s="2"/>
      <c r="X40" s="2">
        <f t="shared" si="2"/>
        <v>37.010000000000005</v>
      </c>
      <c r="Y40" s="2"/>
      <c r="Z40" s="19">
        <f t="shared" si="3"/>
        <v>-0.54442483083259785</v>
      </c>
    </row>
    <row r="41" spans="1:26" s="24" customFormat="1" hidden="1" outlineLevel="1" x14ac:dyDescent="0.25">
      <c r="A41" s="44"/>
      <c r="B41" s="11" t="str">
        <f>CONCATENATE("          ", "4217", " - ", "NON-TAXABLE SALES-DORM/HOUSEWA")</f>
        <v xml:space="preserve">          4217 - NON-TAXABLE SALES-DORM/HOUSEWA</v>
      </c>
      <c r="C41" s="11"/>
      <c r="D41" s="2">
        <f>-2.98</f>
        <v>-2.98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-2.98</v>
      </c>
      <c r="M41" s="2"/>
      <c r="N41" s="19">
        <f t="shared" si="1"/>
        <v>0</v>
      </c>
      <c r="O41" s="11"/>
      <c r="P41" s="2">
        <f>-2.98</f>
        <v>-2.98</v>
      </c>
      <c r="Q41" s="2"/>
      <c r="R41" s="19"/>
      <c r="S41" s="2"/>
      <c r="T41" s="2">
        <f>-1.5</f>
        <v>-1.5</v>
      </c>
      <c r="U41" s="2"/>
      <c r="V41" s="19"/>
      <c r="W41" s="2"/>
      <c r="X41" s="2">
        <f t="shared" si="2"/>
        <v>-1.48</v>
      </c>
      <c r="Y41" s="2"/>
      <c r="Z41" s="19">
        <f t="shared" si="3"/>
        <v>0.98666666666666669</v>
      </c>
    </row>
    <row r="42" spans="1:26" s="24" customFormat="1" hidden="1" outlineLevel="1" x14ac:dyDescent="0.25">
      <c r="A42" s="44"/>
      <c r="B42" s="11" t="str">
        <f>CONCATENATE("          ", "4225", " - ", "SALES RETURN TAXABLE-TEST FORM")</f>
        <v xml:space="preserve">          4225 - SALES RETURN TAXABLE-TEST FORM</v>
      </c>
      <c r="C42" s="11"/>
      <c r="D42" s="2">
        <f>-8.45</f>
        <v>-8.4499999999999993</v>
      </c>
      <c r="E42" s="2"/>
      <c r="F42" s="19"/>
      <c r="G42" s="2"/>
      <c r="H42" s="2">
        <f>-23.96</f>
        <v>-23.96</v>
      </c>
      <c r="I42" s="2"/>
      <c r="J42" s="19"/>
      <c r="K42" s="2"/>
      <c r="L42" s="2">
        <f t="shared" si="0"/>
        <v>15.510000000000002</v>
      </c>
      <c r="M42" s="2"/>
      <c r="N42" s="19">
        <f t="shared" si="1"/>
        <v>-0.64732888146911527</v>
      </c>
      <c r="O42" s="11"/>
      <c r="P42" s="2">
        <f>-41.55</f>
        <v>-41.55</v>
      </c>
      <c r="Q42" s="2"/>
      <c r="R42" s="19"/>
      <c r="S42" s="2"/>
      <c r="T42" s="2">
        <f>-61.29</f>
        <v>-61.29</v>
      </c>
      <c r="U42" s="2"/>
      <c r="V42" s="19"/>
      <c r="W42" s="2"/>
      <c r="X42" s="2">
        <f t="shared" si="2"/>
        <v>19.740000000000002</v>
      </c>
      <c r="Y42" s="2"/>
      <c r="Z42" s="19">
        <f t="shared" si="3"/>
        <v>-0.32207537934410185</v>
      </c>
    </row>
    <row r="43" spans="1:26" s="24" customFormat="1" hidden="1" outlineLevel="1" x14ac:dyDescent="0.25">
      <c r="A43" s="44"/>
      <c r="B43" s="11" t="str">
        <f>CONCATENATE("          ", "4226", " - ", "SALES RETURN TAXABLE-WRITING I")</f>
        <v xml:space="preserve">          4226 - SALES RETURN TAXABLE-WRITING I</v>
      </c>
      <c r="C43" s="11"/>
      <c r="D43" s="2">
        <f>-32.1</f>
        <v>-32.1</v>
      </c>
      <c r="E43" s="2"/>
      <c r="F43" s="19"/>
      <c r="G43" s="2"/>
      <c r="H43" s="2">
        <f>-123.89</f>
        <v>-123.89</v>
      </c>
      <c r="I43" s="2"/>
      <c r="J43" s="19"/>
      <c r="K43" s="2"/>
      <c r="L43" s="2">
        <f t="shared" si="0"/>
        <v>91.789999999999992</v>
      </c>
      <c r="M43" s="2"/>
      <c r="N43" s="19">
        <f t="shared" si="1"/>
        <v>-0.74089918476067473</v>
      </c>
      <c r="O43" s="11"/>
      <c r="P43" s="2">
        <f>-341.17</f>
        <v>-341.17</v>
      </c>
      <c r="Q43" s="2"/>
      <c r="R43" s="19"/>
      <c r="S43" s="2"/>
      <c r="T43" s="2">
        <f>-241.15</f>
        <v>-241.15</v>
      </c>
      <c r="U43" s="2"/>
      <c r="V43" s="19"/>
      <c r="W43" s="2"/>
      <c r="X43" s="2">
        <f t="shared" si="2"/>
        <v>-100.02000000000001</v>
      </c>
      <c r="Y43" s="2"/>
      <c r="Z43" s="19">
        <f t="shared" si="3"/>
        <v>0.4147625958946714</v>
      </c>
    </row>
    <row r="44" spans="1:26" s="24" customFormat="1" hidden="1" outlineLevel="1" x14ac:dyDescent="0.25">
      <c r="A44" s="44"/>
      <c r="B44" s="11" t="str">
        <f>CONCATENATE("          ", "4227", " - ", "SALES RETURN TAXABLE-SCHOOL SU")</f>
        <v xml:space="preserve">          4227 - SALES RETURN TAXABLE-SCHOOL SU</v>
      </c>
      <c r="C44" s="11"/>
      <c r="D44" s="2">
        <f>-324.85</f>
        <v>-324.85000000000002</v>
      </c>
      <c r="E44" s="2"/>
      <c r="F44" s="19"/>
      <c r="G44" s="2"/>
      <c r="H44" s="2">
        <f>-154.62</f>
        <v>-154.62</v>
      </c>
      <c r="I44" s="2"/>
      <c r="J44" s="19"/>
      <c r="K44" s="2"/>
      <c r="L44" s="2">
        <f t="shared" si="0"/>
        <v>-170.23000000000002</v>
      </c>
      <c r="M44" s="2"/>
      <c r="N44" s="19">
        <f t="shared" si="1"/>
        <v>1.1009571853576512</v>
      </c>
      <c r="O44" s="11"/>
      <c r="P44" s="2">
        <f>-4826.48</f>
        <v>-4826.4799999999996</v>
      </c>
      <c r="Q44" s="2"/>
      <c r="R44" s="19"/>
      <c r="S44" s="2"/>
      <c r="T44" s="2">
        <f>-2095.85</f>
        <v>-2095.85</v>
      </c>
      <c r="U44" s="2"/>
      <c r="V44" s="19"/>
      <c r="W44" s="2"/>
      <c r="X44" s="2">
        <f t="shared" si="2"/>
        <v>-2730.6299999999997</v>
      </c>
      <c r="Y44" s="2"/>
      <c r="Z44" s="19">
        <f t="shared" si="3"/>
        <v>1.3028747286303886</v>
      </c>
    </row>
    <row r="45" spans="1:26" s="24" customFormat="1" hidden="1" outlineLevel="1" x14ac:dyDescent="0.25">
      <c r="A45" s="44"/>
      <c r="B45" s="11" t="str">
        <f>CONCATENATE("          ", "4228", " - ", "SALES RETURN TAXABLE-ART/TECH")</f>
        <v xml:space="preserve">          4228 - SALES RETURN TAXABLE-ART/TECH</v>
      </c>
      <c r="C45" s="11"/>
      <c r="D45" s="2">
        <f>-502.99</f>
        <v>-502.99</v>
      </c>
      <c r="E45" s="2"/>
      <c r="F45" s="19"/>
      <c r="G45" s="2"/>
      <c r="H45" s="2">
        <f>-995.36</f>
        <v>-995.36</v>
      </c>
      <c r="I45" s="2"/>
      <c r="J45" s="19"/>
      <c r="K45" s="2"/>
      <c r="L45" s="2">
        <f t="shared" si="0"/>
        <v>492.37</v>
      </c>
      <c r="M45" s="2"/>
      <c r="N45" s="19">
        <f t="shared" si="1"/>
        <v>-0.49466524674489631</v>
      </c>
      <c r="O45" s="11"/>
      <c r="P45" s="2">
        <f>-2430.26</f>
        <v>-2430.2600000000002</v>
      </c>
      <c r="Q45" s="2"/>
      <c r="R45" s="19"/>
      <c r="S45" s="2"/>
      <c r="T45" s="2">
        <f>-3776.79</f>
        <v>-3776.79</v>
      </c>
      <c r="U45" s="2"/>
      <c r="V45" s="19"/>
      <c r="W45" s="2"/>
      <c r="X45" s="2">
        <f t="shared" si="2"/>
        <v>1346.5299999999997</v>
      </c>
      <c r="Y45" s="2"/>
      <c r="Z45" s="19">
        <f t="shared" si="3"/>
        <v>-0.35652763325469505</v>
      </c>
    </row>
    <row r="46" spans="1:26" s="24" customFormat="1" hidden="1" outlineLevel="1" x14ac:dyDescent="0.25">
      <c r="A46" s="44"/>
      <c r="B46" s="11" t="str">
        <f>CONCATENATE("          ", "4233", " - ", "SALES RETURN TAXABLE-CANDY")</f>
        <v xml:space="preserve">          4233 - SALES RETURN TAXABLE-CANDY</v>
      </c>
      <c r="C46" s="11"/>
      <c r="D46" s="2">
        <f>0</f>
        <v>0</v>
      </c>
      <c r="E46" s="2"/>
      <c r="F46" s="19"/>
      <c r="G46" s="2"/>
      <c r="H46" s="2">
        <f>-1.89</f>
        <v>-1.89</v>
      </c>
      <c r="I46" s="2"/>
      <c r="J46" s="19"/>
      <c r="K46" s="2"/>
      <c r="L46" s="2">
        <f t="shared" si="0"/>
        <v>1.89</v>
      </c>
      <c r="M46" s="2"/>
      <c r="N46" s="19">
        <f t="shared" si="1"/>
        <v>-1</v>
      </c>
      <c r="O46" s="11"/>
      <c r="P46" s="2">
        <f>0</f>
        <v>0</v>
      </c>
      <c r="Q46" s="2"/>
      <c r="R46" s="19"/>
      <c r="S46" s="2"/>
      <c r="T46" s="2">
        <f>-1.89</f>
        <v>-1.89</v>
      </c>
      <c r="U46" s="2"/>
      <c r="V46" s="19"/>
      <c r="W46" s="2"/>
      <c r="X46" s="2">
        <f t="shared" si="2"/>
        <v>1.89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"4281", " - ", "SALES RETURN TAXABLE-ELECTRONI")</f>
        <v xml:space="preserve">          4281 - SALES RETURN TAXABLE-ELECTRONI</v>
      </c>
      <c r="C47" s="11"/>
      <c r="D47" s="2">
        <f>-19.99</f>
        <v>-19.989999999999998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-19.989999999999998</v>
      </c>
      <c r="M47" s="2"/>
      <c r="N47" s="19">
        <f t="shared" si="1"/>
        <v>0</v>
      </c>
      <c r="O47" s="11"/>
      <c r="P47" s="2">
        <f>-44.98</f>
        <v>-44.98</v>
      </c>
      <c r="Q47" s="2"/>
      <c r="R47" s="19"/>
      <c r="S47" s="2"/>
      <c r="T47" s="2">
        <f>0</f>
        <v>0</v>
      </c>
      <c r="U47" s="2"/>
      <c r="V47" s="19"/>
      <c r="W47" s="2"/>
      <c r="X47" s="2">
        <f t="shared" si="2"/>
        <v>-44.98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"4326", " - ", "SALES RETURN NON TAXABLE-WRITI")</f>
        <v xml:space="preserve">          4326 - SALES RETURN NON TAXABLE-WRITI</v>
      </c>
      <c r="C48" s="11"/>
      <c r="D48" s="2">
        <f t="shared" ref="D48:D49" si="4">0</f>
        <v>0</v>
      </c>
      <c r="E48" s="2"/>
      <c r="F48" s="19"/>
      <c r="G48" s="2"/>
      <c r="H48" s="2">
        <f>-2.5</f>
        <v>-2.5</v>
      </c>
      <c r="I48" s="2"/>
      <c r="J48" s="19"/>
      <c r="K48" s="2"/>
      <c r="L48" s="2">
        <f t="shared" si="0"/>
        <v>2.5</v>
      </c>
      <c r="M48" s="2"/>
      <c r="N48" s="19">
        <f t="shared" si="1"/>
        <v>-1</v>
      </c>
      <c r="O48" s="11"/>
      <c r="P48" s="2">
        <f>0</f>
        <v>0</v>
      </c>
      <c r="Q48" s="2"/>
      <c r="R48" s="19"/>
      <c r="S48" s="2"/>
      <c r="T48" s="2">
        <f>-8.08</f>
        <v>-8.08</v>
      </c>
      <c r="U48" s="2"/>
      <c r="V48" s="19"/>
      <c r="W48" s="2"/>
      <c r="X48" s="2">
        <f t="shared" si="2"/>
        <v>8.08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"4327", " - ", "SALES RETURN NON TAXABLE-SCHOO")</f>
        <v xml:space="preserve">          4327 - SALES RETURN NON TAXABLE-SCHOO</v>
      </c>
      <c r="C49" s="11"/>
      <c r="D49" s="2">
        <f t="shared" si="4"/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-21.87</f>
        <v>-21.87</v>
      </c>
      <c r="Q49" s="2"/>
      <c r="R49" s="19"/>
      <c r="S49" s="2"/>
      <c r="T49" s="2">
        <f>0</f>
        <v>0</v>
      </c>
      <c r="U49" s="2"/>
      <c r="V49" s="19"/>
      <c r="W49" s="2"/>
      <c r="X49" s="2">
        <f t="shared" si="2"/>
        <v>-21.87</v>
      </c>
      <c r="Y49" s="2"/>
      <c r="Z49" s="19">
        <f t="shared" si="3"/>
        <v>0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collapsed="1" x14ac:dyDescent="0.25">
      <c r="A51" s="10"/>
      <c r="B51" s="29" t="s">
        <v>8</v>
      </c>
      <c r="C51" s="10"/>
      <c r="D51" s="4">
        <f>SUM(OSRRefD16x_0)</f>
        <v>58401.819999999978</v>
      </c>
      <c r="E51" s="4"/>
      <c r="F51" s="12">
        <f t="shared" ref="F51:F74" si="5">IF(D$12=0,0,D51/D$12)</f>
        <v>0.5043160422510411</v>
      </c>
      <c r="G51" s="4"/>
      <c r="H51" s="4">
        <f>SUM(OSRRefH16x_0)</f>
        <v>62808.389999999992</v>
      </c>
      <c r="I51" s="4"/>
      <c r="J51" s="12">
        <f t="shared" ref="J51:J74" si="6">IF(H$12=0,0,H51/H$12)</f>
        <v>0.52029789536964421</v>
      </c>
      <c r="K51" s="4"/>
      <c r="L51" s="4">
        <f t="shared" ref="L51:L74" si="7">+D51-H51</f>
        <v>-4406.5700000000143</v>
      </c>
      <c r="M51" s="4"/>
      <c r="N51" s="12">
        <f t="shared" ref="N51:N74" si="8">IF(H51=0,0,L51/H51)</f>
        <v>-7.0158938957040853E-2</v>
      </c>
      <c r="O51" s="10"/>
      <c r="P51" s="4">
        <f>SUM(OSRRefP16x_0)</f>
        <v>200353.72000000003</v>
      </c>
      <c r="Q51" s="4"/>
      <c r="R51" s="12">
        <f t="shared" ref="R51:R74" si="9">IF(P$12=0,0,P51/P$12)</f>
        <v>0.49283511969115612</v>
      </c>
      <c r="S51" s="4"/>
      <c r="T51" s="4">
        <f>SUM(OSRRefT16x_0)</f>
        <v>209495.89000000004</v>
      </c>
      <c r="U51" s="4"/>
      <c r="V51" s="12">
        <f t="shared" ref="V51:V74" si="10">IF(T$12=0,0,T51/T$12)</f>
        <v>0.52018085565793082</v>
      </c>
      <c r="W51" s="4"/>
      <c r="X51" s="4">
        <f t="shared" ref="X51:X74" si="11">+P51-T51</f>
        <v>-9142.1700000000128</v>
      </c>
      <c r="Y51" s="4"/>
      <c r="Z51" s="12">
        <f t="shared" ref="Z51:Z74" si="12">IF(T51=0,0,X51/T51)</f>
        <v>-4.363889907338999E-2</v>
      </c>
    </row>
    <row r="52" spans="1:26" s="24" customFormat="1" hidden="1" outlineLevel="1" x14ac:dyDescent="0.25">
      <c r="A52" s="44"/>
      <c r="B52" s="11" t="str">
        <f>CONCATENATE("          ", "5014", " - ", "PURCHASES @ COST-REMAINDERS")</f>
        <v xml:space="preserve">          5014 - PURCHASES @ COST-REMAINDERS</v>
      </c>
      <c r="C52" s="11"/>
      <c r="D52" s="2">
        <v>14.46</v>
      </c>
      <c r="E52" s="2"/>
      <c r="F52" s="19">
        <f t="shared" si="5"/>
        <v>1.2486614237279005E-4</v>
      </c>
      <c r="G52" s="2"/>
      <c r="H52" s="2"/>
      <c r="I52" s="2"/>
      <c r="J52" s="19">
        <f t="shared" si="6"/>
        <v>0</v>
      </c>
      <c r="K52" s="2"/>
      <c r="L52" s="2">
        <f t="shared" si="7"/>
        <v>14.46</v>
      </c>
      <c r="M52" s="2"/>
      <c r="N52" s="19">
        <f t="shared" si="8"/>
        <v>0</v>
      </c>
      <c r="O52" s="11"/>
      <c r="P52" s="2">
        <v>14.46</v>
      </c>
      <c r="Q52" s="2"/>
      <c r="R52" s="19">
        <f t="shared" si="9"/>
        <v>3.5569071693473509E-5</v>
      </c>
      <c r="S52" s="2"/>
      <c r="T52" s="2"/>
      <c r="U52" s="2"/>
      <c r="V52" s="19">
        <f t="shared" si="10"/>
        <v>0</v>
      </c>
      <c r="W52" s="2"/>
      <c r="X52" s="2">
        <f t="shared" si="11"/>
        <v>14.46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"5017", " - ", "PURCHASES @ COST-DORM/HOUSEWAR")</f>
        <v xml:space="preserve">          5017 - PURCHASES @ COST-DORM/HOUSEWAR</v>
      </c>
      <c r="C53" s="11"/>
      <c r="D53" s="2"/>
      <c r="E53" s="2"/>
      <c r="F53" s="19">
        <f t="shared" si="5"/>
        <v>0</v>
      </c>
      <c r="G53" s="2"/>
      <c r="H53" s="2">
        <v>239.9</v>
      </c>
      <c r="I53" s="2"/>
      <c r="J53" s="19">
        <f t="shared" si="6"/>
        <v>1.9873055988089755E-3</v>
      </c>
      <c r="K53" s="2"/>
      <c r="L53" s="2">
        <f t="shared" si="7"/>
        <v>-239.9</v>
      </c>
      <c r="M53" s="2"/>
      <c r="N53" s="19">
        <f t="shared" si="8"/>
        <v>-1</v>
      </c>
      <c r="O53" s="11"/>
      <c r="P53" s="2">
        <v>0</v>
      </c>
      <c r="Q53" s="2"/>
      <c r="R53" s="19">
        <f t="shared" si="9"/>
        <v>0</v>
      </c>
      <c r="S53" s="2"/>
      <c r="T53" s="2">
        <v>239.9</v>
      </c>
      <c r="U53" s="2"/>
      <c r="V53" s="19">
        <f t="shared" si="10"/>
        <v>5.9567463243473449E-4</v>
      </c>
      <c r="W53" s="2"/>
      <c r="X53" s="2">
        <f t="shared" si="11"/>
        <v>-239.9</v>
      </c>
      <c r="Y53" s="2"/>
      <c r="Z53" s="19">
        <f t="shared" si="12"/>
        <v>-1</v>
      </c>
    </row>
    <row r="54" spans="1:26" s="24" customFormat="1" hidden="1" outlineLevel="1" x14ac:dyDescent="0.25">
      <c r="A54" s="44"/>
      <c r="B54" s="11" t="str">
        <f>CONCATENATE("          ", "5025", " - ", "PURCHASES @ COST-TEST FORMS")</f>
        <v xml:space="preserve">          5025 - PURCHASES @ COST-TEST FORMS</v>
      </c>
      <c r="C54" s="11"/>
      <c r="D54" s="2">
        <v>0</v>
      </c>
      <c r="E54" s="2"/>
      <c r="F54" s="19">
        <f t="shared" si="5"/>
        <v>0</v>
      </c>
      <c r="G54" s="2"/>
      <c r="H54" s="2">
        <v>0</v>
      </c>
      <c r="I54" s="2"/>
      <c r="J54" s="19">
        <f t="shared" si="6"/>
        <v>0</v>
      </c>
      <c r="K54" s="2"/>
      <c r="L54" s="2">
        <f t="shared" si="7"/>
        <v>0</v>
      </c>
      <c r="M54" s="2"/>
      <c r="N54" s="19">
        <f t="shared" si="8"/>
        <v>0</v>
      </c>
      <c r="O54" s="11"/>
      <c r="P54" s="2">
        <v>3252.39</v>
      </c>
      <c r="Q54" s="2"/>
      <c r="R54" s="19">
        <f t="shared" si="9"/>
        <v>8.0003107251131605E-3</v>
      </c>
      <c r="S54" s="2"/>
      <c r="T54" s="2">
        <v>1036.8</v>
      </c>
      <c r="U54" s="2"/>
      <c r="V54" s="19">
        <f t="shared" si="10"/>
        <v>2.5743870733986357E-3</v>
      </c>
      <c r="W54" s="2"/>
      <c r="X54" s="2">
        <f t="shared" si="11"/>
        <v>2215.59</v>
      </c>
      <c r="Y54" s="2"/>
      <c r="Z54" s="19">
        <f t="shared" si="12"/>
        <v>2.1369502314814817</v>
      </c>
    </row>
    <row r="55" spans="1:26" s="24" customFormat="1" hidden="1" outlineLevel="1" x14ac:dyDescent="0.25">
      <c r="A55" s="44"/>
      <c r="B55" s="11" t="str">
        <f>CONCATENATE("          ", "5026", " - ", "PURCHASES @ COST-WRITING INSTR")</f>
        <v xml:space="preserve">          5026 - PURCHASES @ COST-WRITING INSTR</v>
      </c>
      <c r="C55" s="11"/>
      <c r="D55" s="2">
        <v>10501.63</v>
      </c>
      <c r="E55" s="2"/>
      <c r="F55" s="19">
        <f t="shared" si="5"/>
        <v>9.0684510838614313E-2</v>
      </c>
      <c r="G55" s="2"/>
      <c r="H55" s="2">
        <v>4291.84</v>
      </c>
      <c r="I55" s="2"/>
      <c r="J55" s="19">
        <f t="shared" si="6"/>
        <v>3.5553137395549453E-2</v>
      </c>
      <c r="K55" s="2"/>
      <c r="L55" s="2">
        <f t="shared" si="7"/>
        <v>6209.7899999999991</v>
      </c>
      <c r="M55" s="2"/>
      <c r="N55" s="19">
        <f t="shared" si="8"/>
        <v>1.4468829220101398</v>
      </c>
      <c r="O55" s="11"/>
      <c r="P55" s="2">
        <v>25353.94</v>
      </c>
      <c r="Q55" s="2"/>
      <c r="R55" s="19">
        <f t="shared" si="9"/>
        <v>6.2366259306502463E-2</v>
      </c>
      <c r="S55" s="2"/>
      <c r="T55" s="2">
        <v>26936.57</v>
      </c>
      <c r="U55" s="2"/>
      <c r="V55" s="19">
        <f t="shared" si="10"/>
        <v>6.6883832571081686E-2</v>
      </c>
      <c r="W55" s="2"/>
      <c r="X55" s="2">
        <f t="shared" si="11"/>
        <v>-1582.630000000001</v>
      </c>
      <c r="Y55" s="2"/>
      <c r="Z55" s="19">
        <f t="shared" si="12"/>
        <v>-5.8753954196840985E-2</v>
      </c>
    </row>
    <row r="56" spans="1:26" s="24" customFormat="1" hidden="1" outlineLevel="1" x14ac:dyDescent="0.25">
      <c r="A56" s="44"/>
      <c r="B56" s="11" t="str">
        <f>CONCATENATE("          ", "5027", " - ", "PURCHASES @ COST-SCHOOL SUPPLI")</f>
        <v xml:space="preserve">          5027 - PURCHASES @ COST-SCHOOL SUPPLI</v>
      </c>
      <c r="C56" s="11"/>
      <c r="D56" s="2">
        <v>9821.16</v>
      </c>
      <c r="E56" s="2"/>
      <c r="F56" s="19">
        <f t="shared" si="5"/>
        <v>8.4808462159471007E-2</v>
      </c>
      <c r="G56" s="2"/>
      <c r="H56" s="2">
        <v>15846.8</v>
      </c>
      <c r="I56" s="2"/>
      <c r="J56" s="19">
        <f t="shared" si="6"/>
        <v>0.13127317366905408</v>
      </c>
      <c r="K56" s="2"/>
      <c r="L56" s="2">
        <f t="shared" si="7"/>
        <v>-6025.6399999999994</v>
      </c>
      <c r="M56" s="2"/>
      <c r="N56" s="19">
        <f t="shared" si="8"/>
        <v>-0.38024332988363579</v>
      </c>
      <c r="O56" s="11"/>
      <c r="P56" s="2">
        <v>71975.37999999999</v>
      </c>
      <c r="Q56" s="2"/>
      <c r="R56" s="19">
        <f t="shared" si="9"/>
        <v>0.1770468500266251</v>
      </c>
      <c r="S56" s="2"/>
      <c r="T56" s="2">
        <v>74062.5</v>
      </c>
      <c r="U56" s="2"/>
      <c r="V56" s="19">
        <f t="shared" si="10"/>
        <v>0.18389809280824312</v>
      </c>
      <c r="W56" s="2"/>
      <c r="X56" s="2">
        <f t="shared" si="11"/>
        <v>-2087.1200000000099</v>
      </c>
      <c r="Y56" s="2"/>
      <c r="Z56" s="19">
        <f t="shared" si="12"/>
        <v>-2.8180523206751188E-2</v>
      </c>
    </row>
    <row r="57" spans="1:26" s="24" customFormat="1" hidden="1" outlineLevel="1" x14ac:dyDescent="0.25">
      <c r="A57" s="44"/>
      <c r="B57" s="11" t="str">
        <f>CONCATENATE("          ", "5028", " - ", "PURCHASES @ COST-ART/TECH")</f>
        <v xml:space="preserve">          5028 - PURCHASES @ COST-ART/TECH</v>
      </c>
      <c r="C57" s="11"/>
      <c r="D57" s="2">
        <v>19494.289999999997</v>
      </c>
      <c r="E57" s="2"/>
      <c r="F57" s="19">
        <f t="shared" si="5"/>
        <v>0.16833864388633865</v>
      </c>
      <c r="G57" s="2"/>
      <c r="H57" s="2">
        <v>29619.939999999995</v>
      </c>
      <c r="I57" s="2"/>
      <c r="J57" s="19">
        <f t="shared" si="6"/>
        <v>0.24536837264854489</v>
      </c>
      <c r="K57" s="2"/>
      <c r="L57" s="2">
        <f t="shared" si="7"/>
        <v>-10125.649999999998</v>
      </c>
      <c r="M57" s="2"/>
      <c r="N57" s="19">
        <f t="shared" si="8"/>
        <v>-0.34185248180786321</v>
      </c>
      <c r="O57" s="11"/>
      <c r="P57" s="2">
        <v>90339.069999999992</v>
      </c>
      <c r="Q57" s="2"/>
      <c r="R57" s="19">
        <f t="shared" si="9"/>
        <v>0.22221831656650909</v>
      </c>
      <c r="S57" s="2"/>
      <c r="T57" s="2">
        <v>82795.509999999995</v>
      </c>
      <c r="U57" s="2"/>
      <c r="V57" s="19">
        <f t="shared" si="10"/>
        <v>0.20558226338681276</v>
      </c>
      <c r="W57" s="2"/>
      <c r="X57" s="2">
        <f t="shared" si="11"/>
        <v>7543.5599999999977</v>
      </c>
      <c r="Y57" s="2"/>
      <c r="Z57" s="19">
        <f t="shared" si="12"/>
        <v>9.1110737768267849E-2</v>
      </c>
    </row>
    <row r="58" spans="1:26" s="24" customFormat="1" hidden="1" outlineLevel="1" x14ac:dyDescent="0.25">
      <c r="A58" s="44"/>
      <c r="B58" s="11" t="str">
        <f>CONCATENATE("          ", "5031", " - ", "PURCHASES @ COST-FOOD")</f>
        <v xml:space="preserve">          5031 - PURCHASES @ COST-FOOD</v>
      </c>
      <c r="C58" s="11"/>
      <c r="D58" s="2">
        <v>7839.04</v>
      </c>
      <c r="E58" s="2"/>
      <c r="F58" s="19">
        <f t="shared" si="5"/>
        <v>6.7692301846887695E-2</v>
      </c>
      <c r="G58" s="2"/>
      <c r="H58" s="2">
        <v>6328.18</v>
      </c>
      <c r="I58" s="2"/>
      <c r="J58" s="19">
        <f t="shared" si="6"/>
        <v>5.2421957249983261E-2</v>
      </c>
      <c r="K58" s="2"/>
      <c r="L58" s="2">
        <f t="shared" si="7"/>
        <v>1510.8599999999997</v>
      </c>
      <c r="M58" s="2"/>
      <c r="N58" s="19">
        <f t="shared" si="8"/>
        <v>0.23875111011380834</v>
      </c>
      <c r="O58" s="11"/>
      <c r="P58" s="2">
        <v>15989.089999999998</v>
      </c>
      <c r="Q58" s="2"/>
      <c r="R58" s="19">
        <f t="shared" si="9"/>
        <v>3.933036573467498E-2</v>
      </c>
      <c r="S58" s="2"/>
      <c r="T58" s="2">
        <v>13421.61</v>
      </c>
      <c r="U58" s="2"/>
      <c r="V58" s="19">
        <f t="shared" si="10"/>
        <v>3.3326021690005654E-2</v>
      </c>
      <c r="W58" s="2"/>
      <c r="X58" s="2">
        <f t="shared" si="11"/>
        <v>2567.4799999999977</v>
      </c>
      <c r="Y58" s="2"/>
      <c r="Z58" s="19">
        <f t="shared" si="12"/>
        <v>0.19129448702502885</v>
      </c>
    </row>
    <row r="59" spans="1:26" s="24" customFormat="1" hidden="1" outlineLevel="1" x14ac:dyDescent="0.25">
      <c r="A59" s="44"/>
      <c r="B59" s="11" t="str">
        <f>CONCATENATE("          ", "5032", " - ", "PURCHASES @ COST-JUICE")</f>
        <v xml:space="preserve">          5032 - PURCHASES @ COST-JUICE</v>
      </c>
      <c r="C59" s="11"/>
      <c r="D59" s="2">
        <v>2565.13</v>
      </c>
      <c r="E59" s="2"/>
      <c r="F59" s="19">
        <f t="shared" si="5"/>
        <v>2.2150614646245848E-2</v>
      </c>
      <c r="G59" s="2"/>
      <c r="H59" s="2">
        <v>1808.19</v>
      </c>
      <c r="I59" s="2"/>
      <c r="J59" s="19">
        <f t="shared" si="6"/>
        <v>1.4978849982119223E-2</v>
      </c>
      <c r="K59" s="2"/>
      <c r="L59" s="2">
        <f t="shared" si="7"/>
        <v>756.94</v>
      </c>
      <c r="M59" s="2"/>
      <c r="N59" s="19">
        <f t="shared" si="8"/>
        <v>0.41861751254016449</v>
      </c>
      <c r="O59" s="11"/>
      <c r="P59" s="2">
        <v>3384.28</v>
      </c>
      <c r="Q59" s="2"/>
      <c r="R59" s="19">
        <f t="shared" si="9"/>
        <v>8.3247370643698849E-3</v>
      </c>
      <c r="S59" s="2"/>
      <c r="T59" s="2">
        <v>3835.77</v>
      </c>
      <c r="U59" s="2"/>
      <c r="V59" s="19">
        <f t="shared" si="10"/>
        <v>9.5242637968077602E-3</v>
      </c>
      <c r="W59" s="2"/>
      <c r="X59" s="2">
        <f t="shared" si="11"/>
        <v>-451.48999999999978</v>
      </c>
      <c r="Y59" s="2"/>
      <c r="Z59" s="19">
        <f t="shared" si="12"/>
        <v>-0.11770518044616851</v>
      </c>
    </row>
    <row r="60" spans="1:26" s="24" customFormat="1" hidden="1" outlineLevel="1" x14ac:dyDescent="0.25">
      <c r="A60" s="44"/>
      <c r="B60" s="11" t="str">
        <f>CONCATENATE("          ", "5033", " - ", "PURCHASES @ COST-CANDY")</f>
        <v xml:space="preserve">          5033 - PURCHASES @ COST-CANDY</v>
      </c>
      <c r="C60" s="11"/>
      <c r="D60" s="2">
        <v>2102.09</v>
      </c>
      <c r="E60" s="2"/>
      <c r="F60" s="19">
        <f t="shared" si="5"/>
        <v>1.81521348008588E-2</v>
      </c>
      <c r="G60" s="2"/>
      <c r="H60" s="2">
        <v>1794.06</v>
      </c>
      <c r="I60" s="2"/>
      <c r="J60" s="19">
        <f t="shared" si="6"/>
        <v>1.4861798593577452E-2</v>
      </c>
      <c r="K60" s="2"/>
      <c r="L60" s="2">
        <f t="shared" si="7"/>
        <v>308.0300000000002</v>
      </c>
      <c r="M60" s="2"/>
      <c r="N60" s="19">
        <f t="shared" si="8"/>
        <v>0.1716943691961251</v>
      </c>
      <c r="O60" s="11"/>
      <c r="P60" s="2">
        <v>4455.2</v>
      </c>
      <c r="Q60" s="2"/>
      <c r="R60" s="19">
        <f t="shared" si="9"/>
        <v>1.0959013015820413E-2</v>
      </c>
      <c r="S60" s="2"/>
      <c r="T60" s="2">
        <v>3566.92</v>
      </c>
      <c r="U60" s="2"/>
      <c r="V60" s="19">
        <f t="shared" si="10"/>
        <v>8.8567059605006385E-3</v>
      </c>
      <c r="W60" s="2"/>
      <c r="X60" s="2">
        <f t="shared" si="11"/>
        <v>888.27999999999975</v>
      </c>
      <c r="Y60" s="2"/>
      <c r="Z60" s="19">
        <f t="shared" si="12"/>
        <v>0.2490327789801845</v>
      </c>
    </row>
    <row r="61" spans="1:26" s="24" customFormat="1" hidden="1" outlineLevel="1" x14ac:dyDescent="0.25">
      <c r="A61" s="44"/>
      <c r="B61" s="11" t="str">
        <f>CONCATENATE("          ", "5034", " - ", "PURCHASES @ COST-SODA")</f>
        <v xml:space="preserve">          5034 - PURCHASES @ COST-SODA</v>
      </c>
      <c r="C61" s="11"/>
      <c r="D61" s="2">
        <v>876</v>
      </c>
      <c r="E61" s="2"/>
      <c r="F61" s="19">
        <f t="shared" si="5"/>
        <v>7.5645048906337539E-3</v>
      </c>
      <c r="G61" s="2"/>
      <c r="H61" s="2">
        <v>575.75</v>
      </c>
      <c r="I61" s="2"/>
      <c r="J61" s="19">
        <f t="shared" si="6"/>
        <v>4.7694505982253761E-3</v>
      </c>
      <c r="K61" s="2"/>
      <c r="L61" s="2">
        <f t="shared" si="7"/>
        <v>300.25</v>
      </c>
      <c r="M61" s="2"/>
      <c r="N61" s="19">
        <f t="shared" si="8"/>
        <v>0.52149370386452454</v>
      </c>
      <c r="O61" s="11"/>
      <c r="P61" s="2">
        <v>1494.54</v>
      </c>
      <c r="Q61" s="2"/>
      <c r="R61" s="19">
        <f t="shared" si="9"/>
        <v>3.6763070822105042E-3</v>
      </c>
      <c r="S61" s="2"/>
      <c r="T61" s="2">
        <v>1252.1099999999999</v>
      </c>
      <c r="U61" s="2"/>
      <c r="V61" s="19">
        <f t="shared" si="10"/>
        <v>3.109004435255754E-3</v>
      </c>
      <c r="W61" s="2"/>
      <c r="X61" s="2">
        <f t="shared" si="11"/>
        <v>242.43000000000006</v>
      </c>
      <c r="Y61" s="2"/>
      <c r="Z61" s="19">
        <f t="shared" si="12"/>
        <v>0.19361717420993368</v>
      </c>
    </row>
    <row r="62" spans="1:26" s="24" customFormat="1" hidden="1" outlineLevel="1" x14ac:dyDescent="0.25">
      <c r="A62" s="44"/>
      <c r="B62" s="11" t="str">
        <f>CONCATENATE("          ", "5035", " - ", "PURCHASES @ COST-HEALTH &amp; BEAU")</f>
        <v xml:space="preserve">          5035 - PURCHASES @ COST-HEALTH &amp; BEAU</v>
      </c>
      <c r="C62" s="11"/>
      <c r="D62" s="2">
        <v>291.13</v>
      </c>
      <c r="E62" s="2"/>
      <c r="F62" s="19">
        <f t="shared" si="5"/>
        <v>2.5139889369979506E-3</v>
      </c>
      <c r="G62" s="2"/>
      <c r="H62" s="2">
        <v>343.81</v>
      </c>
      <c r="I62" s="2"/>
      <c r="J62" s="19">
        <f t="shared" si="6"/>
        <v>2.8480847766840928E-3</v>
      </c>
      <c r="K62" s="2"/>
      <c r="L62" s="2">
        <f t="shared" si="7"/>
        <v>-52.680000000000007</v>
      </c>
      <c r="M62" s="2"/>
      <c r="N62" s="19">
        <f t="shared" si="8"/>
        <v>-0.15322416450946746</v>
      </c>
      <c r="O62" s="11"/>
      <c r="P62" s="2">
        <v>578.69000000000005</v>
      </c>
      <c r="Q62" s="2"/>
      <c r="R62" s="19">
        <f t="shared" si="9"/>
        <v>1.4234762170329312E-3</v>
      </c>
      <c r="S62" s="2"/>
      <c r="T62" s="2">
        <v>469.33</v>
      </c>
      <c r="U62" s="2"/>
      <c r="V62" s="19">
        <f t="shared" si="10"/>
        <v>1.1653521268886783E-3</v>
      </c>
      <c r="W62" s="2"/>
      <c r="X62" s="2">
        <f t="shared" si="11"/>
        <v>109.36000000000007</v>
      </c>
      <c r="Y62" s="2"/>
      <c r="Z62" s="19">
        <f t="shared" si="12"/>
        <v>0.23301301855837059</v>
      </c>
    </row>
    <row r="63" spans="1:26" s="24" customFormat="1" hidden="1" outlineLevel="1" x14ac:dyDescent="0.25">
      <c r="A63" s="44"/>
      <c r="B63" s="11" t="str">
        <f>CONCATENATE("          ", "5037", " - ", "PURCHASES @ COST-WATER")</f>
        <v xml:space="preserve">          5037 - PURCHASES @ COST-WATER</v>
      </c>
      <c r="C63" s="11"/>
      <c r="D63" s="2">
        <v>1463.27</v>
      </c>
      <c r="E63" s="2"/>
      <c r="F63" s="19">
        <f t="shared" si="5"/>
        <v>1.2635745515202801E-2</v>
      </c>
      <c r="G63" s="2"/>
      <c r="H63" s="2">
        <v>1459.34</v>
      </c>
      <c r="I63" s="2"/>
      <c r="J63" s="19">
        <f t="shared" si="6"/>
        <v>1.2089014391687745E-2</v>
      </c>
      <c r="K63" s="2"/>
      <c r="L63" s="2">
        <f t="shared" si="7"/>
        <v>3.9300000000000637</v>
      </c>
      <c r="M63" s="2"/>
      <c r="N63" s="19">
        <f t="shared" si="8"/>
        <v>2.6929982046679075E-3</v>
      </c>
      <c r="O63" s="11"/>
      <c r="P63" s="2">
        <v>2826.09</v>
      </c>
      <c r="Q63" s="2"/>
      <c r="R63" s="19">
        <f t="shared" si="9"/>
        <v>6.9516872629466495E-3</v>
      </c>
      <c r="S63" s="2"/>
      <c r="T63" s="2">
        <v>2649.44</v>
      </c>
      <c r="U63" s="2"/>
      <c r="V63" s="19">
        <f t="shared" si="10"/>
        <v>6.5785919056185202E-3</v>
      </c>
      <c r="W63" s="2"/>
      <c r="X63" s="2">
        <f t="shared" si="11"/>
        <v>176.65000000000009</v>
      </c>
      <c r="Y63" s="2"/>
      <c r="Z63" s="19">
        <f t="shared" si="12"/>
        <v>6.6674467057189477E-2</v>
      </c>
    </row>
    <row r="64" spans="1:26" s="24" customFormat="1" hidden="1" outlineLevel="1" x14ac:dyDescent="0.25">
      <c r="A64" s="44"/>
      <c r="B64" s="11" t="str">
        <f>CONCATENATE("          ", "5081", " - ", "PURCHASES @ COST-ELECTRONICS")</f>
        <v xml:space="preserve">          5081 - PURCHASES @ COST-ELECTRONICS</v>
      </c>
      <c r="C64" s="11"/>
      <c r="D64" s="2">
        <v>490.99</v>
      </c>
      <c r="E64" s="2"/>
      <c r="F64" s="19">
        <f t="shared" si="5"/>
        <v>4.2398359089637749E-3</v>
      </c>
      <c r="G64" s="2"/>
      <c r="H64" s="2">
        <v>627.16999999999996</v>
      </c>
      <c r="I64" s="2"/>
      <c r="J64" s="19">
        <f t="shared" si="6"/>
        <v>5.1954083051480833E-3</v>
      </c>
      <c r="K64" s="2"/>
      <c r="L64" s="2">
        <f t="shared" si="7"/>
        <v>-136.17999999999995</v>
      </c>
      <c r="M64" s="2"/>
      <c r="N64" s="19">
        <f t="shared" si="8"/>
        <v>-0.21713411036879945</v>
      </c>
      <c r="O64" s="11"/>
      <c r="P64" s="2">
        <v>963.07</v>
      </c>
      <c r="Q64" s="2"/>
      <c r="R64" s="19">
        <f t="shared" si="9"/>
        <v>2.3689838088404931E-3</v>
      </c>
      <c r="S64" s="2"/>
      <c r="T64" s="2">
        <v>1529.73</v>
      </c>
      <c r="U64" s="2"/>
      <c r="V64" s="19">
        <f t="shared" si="10"/>
        <v>3.7983382887635947E-3</v>
      </c>
      <c r="W64" s="2"/>
      <c r="X64" s="2">
        <f t="shared" si="11"/>
        <v>-566.66</v>
      </c>
      <c r="Y64" s="2"/>
      <c r="Z64" s="19">
        <f t="shared" si="12"/>
        <v>-0.37043138331601</v>
      </c>
    </row>
    <row r="65" spans="1:26" s="24" customFormat="1" hidden="1" outlineLevel="1" x14ac:dyDescent="0.25">
      <c r="A65" s="44"/>
      <c r="B65" s="11" t="str">
        <f>CONCATENATE("          ", "5082", " - ", "PURCHASES @ COST-COMPUTER HARD")</f>
        <v xml:space="preserve">          5082 - PURCHASES @ COST-COMPUTER HARD</v>
      </c>
      <c r="C65" s="11"/>
      <c r="D65" s="2"/>
      <c r="E65" s="2"/>
      <c r="F65" s="19">
        <f t="shared" si="5"/>
        <v>0</v>
      </c>
      <c r="G65" s="2"/>
      <c r="H65" s="2">
        <v>278</v>
      </c>
      <c r="I65" s="2"/>
      <c r="J65" s="19">
        <f t="shared" si="6"/>
        <v>2.3029218693993133E-3</v>
      </c>
      <c r="K65" s="2"/>
      <c r="L65" s="2">
        <f t="shared" si="7"/>
        <v>-278</v>
      </c>
      <c r="M65" s="2"/>
      <c r="N65" s="19">
        <f t="shared" si="8"/>
        <v>-1</v>
      </c>
      <c r="O65" s="11"/>
      <c r="P65" s="2">
        <v>149.6</v>
      </c>
      <c r="Q65" s="2"/>
      <c r="R65" s="19">
        <f t="shared" si="9"/>
        <v>3.6798984269319755E-4</v>
      </c>
      <c r="S65" s="2"/>
      <c r="T65" s="2">
        <v>471</v>
      </c>
      <c r="U65" s="2"/>
      <c r="V65" s="19">
        <f t="shared" si="10"/>
        <v>1.1694987573020424E-3</v>
      </c>
      <c r="W65" s="2"/>
      <c r="X65" s="2">
        <f t="shared" si="11"/>
        <v>-321.39999999999998</v>
      </c>
      <c r="Y65" s="2"/>
      <c r="Z65" s="19">
        <f t="shared" si="12"/>
        <v>-0.68237791932059444</v>
      </c>
    </row>
    <row r="66" spans="1:26" s="24" customFormat="1" hidden="1" outlineLevel="1" x14ac:dyDescent="0.25">
      <c r="A66" s="44"/>
      <c r="B66" s="11" t="str">
        <f>CONCATENATE("          ", "5083", " - ", "PURCHASES @ COST-COMPUTER EQUI")</f>
        <v xml:space="preserve">          5083 - PURCHASES @ COST-COMPUTER EQUI</v>
      </c>
      <c r="C66" s="11"/>
      <c r="D66" s="2">
        <v>76.150000000000006</v>
      </c>
      <c r="E66" s="2"/>
      <c r="F66" s="19">
        <f t="shared" si="5"/>
        <v>6.5757653815269449E-4</v>
      </c>
      <c r="G66" s="2"/>
      <c r="H66" s="2">
        <v>93.36</v>
      </c>
      <c r="I66" s="2"/>
      <c r="J66" s="19">
        <f t="shared" si="6"/>
        <v>7.7338412132057501E-4</v>
      </c>
      <c r="K66" s="2"/>
      <c r="L66" s="2">
        <f t="shared" si="7"/>
        <v>-17.209999999999994</v>
      </c>
      <c r="M66" s="2"/>
      <c r="N66" s="19">
        <f t="shared" si="8"/>
        <v>-0.18434018851756634</v>
      </c>
      <c r="O66" s="11"/>
      <c r="P66" s="2">
        <v>192.2</v>
      </c>
      <c r="Q66" s="2"/>
      <c r="R66" s="19">
        <f t="shared" si="9"/>
        <v>4.727783941552979E-4</v>
      </c>
      <c r="S66" s="2"/>
      <c r="T66" s="2">
        <v>276.12</v>
      </c>
      <c r="U66" s="2"/>
      <c r="V66" s="19">
        <f t="shared" si="10"/>
        <v>6.8560933517248395E-4</v>
      </c>
      <c r="W66" s="2"/>
      <c r="X66" s="2">
        <f t="shared" si="11"/>
        <v>-83.920000000000016</v>
      </c>
      <c r="Y66" s="2"/>
      <c r="Z66" s="19">
        <f t="shared" si="12"/>
        <v>-0.3039258293495582</v>
      </c>
    </row>
    <row r="67" spans="1:26" s="24" customFormat="1" hidden="1" outlineLevel="1" x14ac:dyDescent="0.25">
      <c r="A67" s="44"/>
      <c r="B67" s="11" t="str">
        <f>CONCATENATE("          ", "5086", " - ", "PURCHASES @ COST-COMPUTER SUPP")</f>
        <v xml:space="preserve">          5086 - PURCHASES @ COST-COMPUTER SUPP</v>
      </c>
      <c r="C67" s="11"/>
      <c r="D67" s="2">
        <v>54</v>
      </c>
      <c r="E67" s="2"/>
      <c r="F67" s="19">
        <f t="shared" si="5"/>
        <v>4.6630509599797116E-4</v>
      </c>
      <c r="G67" s="2"/>
      <c r="H67" s="2">
        <v>214.62</v>
      </c>
      <c r="I67" s="2"/>
      <c r="J67" s="19">
        <f t="shared" si="6"/>
        <v>1.777888818742736E-3</v>
      </c>
      <c r="K67" s="2"/>
      <c r="L67" s="2">
        <f t="shared" si="7"/>
        <v>-160.62</v>
      </c>
      <c r="M67" s="2"/>
      <c r="N67" s="19">
        <f t="shared" si="8"/>
        <v>-0.74839250768800669</v>
      </c>
      <c r="O67" s="11"/>
      <c r="P67" s="2">
        <v>141</v>
      </c>
      <c r="Q67" s="2"/>
      <c r="R67" s="19">
        <f t="shared" si="9"/>
        <v>3.4683534638864209E-4</v>
      </c>
      <c r="S67" s="2"/>
      <c r="T67" s="2">
        <v>457.53</v>
      </c>
      <c r="U67" s="2"/>
      <c r="V67" s="19">
        <f t="shared" si="10"/>
        <v>1.1360525826505379E-3</v>
      </c>
      <c r="W67" s="2"/>
      <c r="X67" s="2">
        <f t="shared" si="11"/>
        <v>-316.52999999999997</v>
      </c>
      <c r="Y67" s="2"/>
      <c r="Z67" s="19">
        <f t="shared" si="12"/>
        <v>-0.69182348698446006</v>
      </c>
    </row>
    <row r="68" spans="1:26" s="24" customFormat="1" hidden="1" outlineLevel="1" x14ac:dyDescent="0.25">
      <c r="A68" s="44"/>
      <c r="B68" s="11" t="str">
        <f>CONCATENATE("          ", "5200", " - ", "PURCHASES OFFSET")</f>
        <v xml:space="preserve">          5200 - PURCHASES OFFSET</v>
      </c>
      <c r="C68" s="11"/>
      <c r="D68" s="2">
        <v>-56159</v>
      </c>
      <c r="E68" s="2"/>
      <c r="F68" s="19">
        <f t="shared" si="5"/>
        <v>-0.48494866455833446</v>
      </c>
      <c r="G68" s="2"/>
      <c r="H68" s="2">
        <v>-64348</v>
      </c>
      <c r="I68" s="2"/>
      <c r="J68" s="19">
        <f t="shared" si="6"/>
        <v>-0.53305185774139208</v>
      </c>
      <c r="K68" s="2"/>
      <c r="L68" s="2">
        <f t="shared" si="7"/>
        <v>8189</v>
      </c>
      <c r="M68" s="2"/>
      <c r="N68" s="19">
        <f t="shared" si="8"/>
        <v>-0.1272611425374526</v>
      </c>
      <c r="O68" s="11"/>
      <c r="P68" s="2">
        <v>-222763</v>
      </c>
      <c r="Q68" s="2"/>
      <c r="R68" s="19">
        <f t="shared" si="9"/>
        <v>-0.54795803026647572</v>
      </c>
      <c r="S68" s="2"/>
      <c r="T68" s="2">
        <v>-215153</v>
      </c>
      <c r="U68" s="2"/>
      <c r="V68" s="19">
        <f t="shared" si="10"/>
        <v>-0.53422752893801762</v>
      </c>
      <c r="W68" s="2"/>
      <c r="X68" s="2">
        <f t="shared" si="11"/>
        <v>-7610</v>
      </c>
      <c r="Y68" s="2"/>
      <c r="Z68" s="19">
        <f t="shared" si="12"/>
        <v>3.5370178431162941E-2</v>
      </c>
    </row>
    <row r="69" spans="1:26" s="24" customFormat="1" hidden="1" outlineLevel="1" x14ac:dyDescent="0.25">
      <c r="A69" s="44"/>
      <c r="B69" s="11" t="str">
        <f>CONCATENATE("          ", "5300", " - ", "COG$ OFFSET")</f>
        <v xml:space="preserve">          5300 - COG$ OFFSET</v>
      </c>
      <c r="C69" s="11"/>
      <c r="D69" s="2">
        <v>58396</v>
      </c>
      <c r="E69" s="2"/>
      <c r="F69" s="19">
        <f t="shared" si="5"/>
        <v>0.50426578492402818</v>
      </c>
      <c r="G69" s="2"/>
      <c r="H69" s="2">
        <v>62807.000000000007</v>
      </c>
      <c r="I69" s="2"/>
      <c r="J69" s="19">
        <f t="shared" si="6"/>
        <v>0.52028638076029743</v>
      </c>
      <c r="K69" s="2"/>
      <c r="L69" s="2">
        <f t="shared" si="7"/>
        <v>-4411.0000000000073</v>
      </c>
      <c r="M69" s="2"/>
      <c r="N69" s="19">
        <f t="shared" si="8"/>
        <v>-7.0231025204197092E-2</v>
      </c>
      <c r="O69" s="11"/>
      <c r="P69" s="2">
        <v>200349</v>
      </c>
      <c r="Q69" s="2"/>
      <c r="R69" s="19">
        <f t="shared" si="9"/>
        <v>0.49282350931644009</v>
      </c>
      <c r="S69" s="2"/>
      <c r="T69" s="2">
        <v>209494</v>
      </c>
      <c r="U69" s="2"/>
      <c r="V69" s="19">
        <f t="shared" si="10"/>
        <v>0.52017616276482814</v>
      </c>
      <c r="W69" s="2"/>
      <c r="X69" s="2">
        <f t="shared" si="11"/>
        <v>-9145</v>
      </c>
      <c r="Y69" s="2"/>
      <c r="Z69" s="19">
        <f t="shared" si="12"/>
        <v>-4.365280151221515E-2</v>
      </c>
    </row>
    <row r="70" spans="1:26" s="24" customFormat="1" hidden="1" outlineLevel="1" x14ac:dyDescent="0.25">
      <c r="A70" s="44"/>
      <c r="B70" s="11" t="str">
        <f>CONCATENATE("          ", "5500", " - ", "FREIGHT-IN")</f>
        <v xml:space="preserve">          5500 - FREIGHT-IN</v>
      </c>
      <c r="C70" s="11"/>
      <c r="D70" s="2">
        <v>6</v>
      </c>
      <c r="E70" s="2"/>
      <c r="F70" s="19">
        <f t="shared" si="5"/>
        <v>5.1811677333107905E-5</v>
      </c>
      <c r="G70" s="2"/>
      <c r="H70" s="2"/>
      <c r="I70" s="2"/>
      <c r="J70" s="19">
        <f t="shared" si="6"/>
        <v>0</v>
      </c>
      <c r="K70" s="2"/>
      <c r="L70" s="2">
        <f t="shared" si="7"/>
        <v>6</v>
      </c>
      <c r="M70" s="2"/>
      <c r="N70" s="19">
        <f t="shared" si="8"/>
        <v>0</v>
      </c>
      <c r="O70" s="11"/>
      <c r="P70" s="2">
        <v>6</v>
      </c>
      <c r="Q70" s="2"/>
      <c r="R70" s="19">
        <f t="shared" si="9"/>
        <v>1.4758950910154981E-5</v>
      </c>
      <c r="S70" s="2"/>
      <c r="T70" s="2"/>
      <c r="U70" s="2"/>
      <c r="V70" s="19">
        <f t="shared" si="10"/>
        <v>0</v>
      </c>
      <c r="W70" s="2"/>
      <c r="X70" s="2">
        <f t="shared" si="11"/>
        <v>6</v>
      </c>
      <c r="Y70" s="2"/>
      <c r="Z70" s="19">
        <f t="shared" si="12"/>
        <v>0</v>
      </c>
    </row>
    <row r="71" spans="1:26" s="24" customFormat="1" hidden="1" outlineLevel="1" x14ac:dyDescent="0.25">
      <c r="A71" s="44"/>
      <c r="B71" s="11" t="str">
        <f>CONCATENATE("          ", "5525", " - ", "FREIGHT-IN-TEST FORMS")</f>
        <v xml:space="preserve">          5525 - FREIGHT-IN-TEST FORMS</v>
      </c>
      <c r="C71" s="11"/>
      <c r="D71" s="2">
        <v>39.22</v>
      </c>
      <c r="E71" s="2"/>
      <c r="F71" s="19">
        <f t="shared" si="5"/>
        <v>3.3867566416741533E-4</v>
      </c>
      <c r="G71" s="2"/>
      <c r="H71" s="2">
        <v>50.92</v>
      </c>
      <c r="I71" s="2"/>
      <c r="J71" s="19">
        <f t="shared" si="6"/>
        <v>4.2181576111443534E-4</v>
      </c>
      <c r="K71" s="2"/>
      <c r="L71" s="2">
        <f t="shared" si="7"/>
        <v>-11.700000000000003</v>
      </c>
      <c r="M71" s="2"/>
      <c r="N71" s="19">
        <f t="shared" si="8"/>
        <v>-0.22977219167321294</v>
      </c>
      <c r="O71" s="11"/>
      <c r="P71" s="2">
        <v>39.22</v>
      </c>
      <c r="Q71" s="2"/>
      <c r="R71" s="19">
        <f t="shared" si="9"/>
        <v>9.6474342449379724E-5</v>
      </c>
      <c r="S71" s="2"/>
      <c r="T71" s="2">
        <v>50.92</v>
      </c>
      <c r="U71" s="2"/>
      <c r="V71" s="19">
        <f t="shared" si="10"/>
        <v>1.2643498242424629E-4</v>
      </c>
      <c r="W71" s="2"/>
      <c r="X71" s="2">
        <f t="shared" si="11"/>
        <v>-11.700000000000003</v>
      </c>
      <c r="Y71" s="2"/>
      <c r="Z71" s="19">
        <f t="shared" si="12"/>
        <v>-0.22977219167321294</v>
      </c>
    </row>
    <row r="72" spans="1:26" s="24" customFormat="1" hidden="1" outlineLevel="1" x14ac:dyDescent="0.25">
      <c r="A72" s="44"/>
      <c r="B72" s="11" t="str">
        <f>CONCATENATE("          ", "5526", " - ", "FREIGHT-IN-WRITING INSTRUMENTS")</f>
        <v xml:space="preserve">          5526 - FREIGHT-IN-WRITING INSTRUMENTS</v>
      </c>
      <c r="C72" s="11"/>
      <c r="D72" s="2"/>
      <c r="E72" s="2"/>
      <c r="F72" s="19">
        <f t="shared" si="5"/>
        <v>0</v>
      </c>
      <c r="G72" s="2"/>
      <c r="H72" s="2">
        <v>23.74</v>
      </c>
      <c r="I72" s="2"/>
      <c r="J72" s="19">
        <f t="shared" si="6"/>
        <v>1.9665958697676148E-4</v>
      </c>
      <c r="K72" s="2"/>
      <c r="L72" s="2">
        <f t="shared" si="7"/>
        <v>-23.74</v>
      </c>
      <c r="M72" s="2"/>
      <c r="N72" s="19">
        <f t="shared" si="8"/>
        <v>-1</v>
      </c>
      <c r="O72" s="11"/>
      <c r="P72" s="2">
        <v>56.57</v>
      </c>
      <c r="Q72" s="2"/>
      <c r="R72" s="19">
        <f t="shared" si="9"/>
        <v>1.3915230883124457E-4</v>
      </c>
      <c r="S72" s="2"/>
      <c r="T72" s="2">
        <v>66.48</v>
      </c>
      <c r="U72" s="2"/>
      <c r="V72" s="19">
        <f t="shared" si="10"/>
        <v>1.6507065262301438E-4</v>
      </c>
      <c r="W72" s="2"/>
      <c r="X72" s="2">
        <f t="shared" si="11"/>
        <v>-9.9100000000000037</v>
      </c>
      <c r="Y72" s="2"/>
      <c r="Z72" s="19">
        <f t="shared" si="12"/>
        <v>-0.14906738868832736</v>
      </c>
    </row>
    <row r="73" spans="1:26" s="24" customFormat="1" hidden="1" outlineLevel="1" x14ac:dyDescent="0.25">
      <c r="A73" s="44"/>
      <c r="B73" s="11" t="str">
        <f>CONCATENATE("          ", "5527", " - ", "FREIGHT-IN-SCHOOL SUPPLIES")</f>
        <v xml:space="preserve">          5527 - FREIGHT-IN-SCHOOL SUPPLIES</v>
      </c>
      <c r="C73" s="11"/>
      <c r="D73" s="2">
        <v>344.59</v>
      </c>
      <c r="E73" s="2"/>
      <c r="F73" s="19">
        <f t="shared" si="5"/>
        <v>2.9756309820359421E-3</v>
      </c>
      <c r="G73" s="2"/>
      <c r="H73" s="2">
        <v>207.6</v>
      </c>
      <c r="I73" s="2"/>
      <c r="J73" s="19">
        <f t="shared" si="6"/>
        <v>1.719735899594595E-3</v>
      </c>
      <c r="K73" s="2"/>
      <c r="L73" s="2">
        <f t="shared" si="7"/>
        <v>136.98999999999998</v>
      </c>
      <c r="M73" s="2"/>
      <c r="N73" s="19">
        <f t="shared" si="8"/>
        <v>0.65987475915221572</v>
      </c>
      <c r="O73" s="11"/>
      <c r="P73" s="2">
        <v>738.49</v>
      </c>
      <c r="Q73" s="2"/>
      <c r="R73" s="19">
        <f t="shared" si="9"/>
        <v>1.8165562762733922E-3</v>
      </c>
      <c r="S73" s="2"/>
      <c r="T73" s="2">
        <v>932.7</v>
      </c>
      <c r="U73" s="2"/>
      <c r="V73" s="19">
        <f t="shared" si="10"/>
        <v>2.3159055009248724E-3</v>
      </c>
      <c r="W73" s="2"/>
      <c r="X73" s="2">
        <f t="shared" si="11"/>
        <v>-194.21000000000004</v>
      </c>
      <c r="Y73" s="2"/>
      <c r="Z73" s="19">
        <f t="shared" si="12"/>
        <v>-0.20822343733247564</v>
      </c>
    </row>
    <row r="74" spans="1:26" s="24" customFormat="1" hidden="1" outlineLevel="1" x14ac:dyDescent="0.25">
      <c r="A74" s="44"/>
      <c r="B74" s="11" t="str">
        <f>CONCATENATE("          ", "5528", " - ", "FREIGHT-IN-ART/TECH")</f>
        <v xml:space="preserve">          5528 - FREIGHT-IN-ART/TECH</v>
      </c>
      <c r="C74" s="11"/>
      <c r="D74" s="2">
        <v>185.67</v>
      </c>
      <c r="E74" s="2"/>
      <c r="F74" s="19">
        <f t="shared" si="5"/>
        <v>1.6033123550730239E-3</v>
      </c>
      <c r="G74" s="2"/>
      <c r="H74" s="2">
        <v>546.16999999999996</v>
      </c>
      <c r="I74" s="2"/>
      <c r="J74" s="19">
        <f t="shared" si="6"/>
        <v>4.5244130842079953E-3</v>
      </c>
      <c r="K74" s="2"/>
      <c r="L74" s="2">
        <f t="shared" si="7"/>
        <v>-360.5</v>
      </c>
      <c r="M74" s="2"/>
      <c r="N74" s="19">
        <f t="shared" si="8"/>
        <v>-0.66005089990296062</v>
      </c>
      <c r="O74" s="11"/>
      <c r="P74" s="2">
        <v>818.44</v>
      </c>
      <c r="Q74" s="2"/>
      <c r="R74" s="19">
        <f t="shared" si="9"/>
        <v>2.0132192971512074E-3</v>
      </c>
      <c r="S74" s="2"/>
      <c r="T74" s="2">
        <v>1103.95</v>
      </c>
      <c r="U74" s="2"/>
      <c r="V74" s="19">
        <f t="shared" si="10"/>
        <v>2.7411213442114432E-3</v>
      </c>
      <c r="W74" s="2"/>
      <c r="X74" s="2">
        <f t="shared" si="11"/>
        <v>-285.51</v>
      </c>
      <c r="Y74" s="2"/>
      <c r="Z74" s="19">
        <f t="shared" si="12"/>
        <v>-0.2586258435617555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6</v>
      </c>
      <c r="C76" s="28"/>
      <c r="D76" s="21">
        <f>D12-D51</f>
        <v>57402.19</v>
      </c>
      <c r="E76" s="14"/>
      <c r="F76" s="22">
        <f>IF(D$12=0,0,D76/D$12)</f>
        <v>0.4956839577489589</v>
      </c>
      <c r="G76" s="14"/>
      <c r="H76" s="21">
        <f>H12-H51</f>
        <v>57907.819999999985</v>
      </c>
      <c r="I76" s="14"/>
      <c r="J76" s="22">
        <f>IF(H$12=0,0,H76/H$12)</f>
        <v>0.47970210463035573</v>
      </c>
      <c r="K76" s="16"/>
      <c r="L76" s="21">
        <f>+D76-H76</f>
        <v>-505.62999999998283</v>
      </c>
      <c r="M76" s="16"/>
      <c r="N76" s="22">
        <f>IF(H76=0,0,L76/H76)</f>
        <v>-8.7316358999524231E-3</v>
      </c>
      <c r="O76" s="29"/>
      <c r="P76" s="21">
        <f>P12-P51</f>
        <v>206179.24000000005</v>
      </c>
      <c r="Q76" s="14"/>
      <c r="R76" s="22">
        <f>IF(P$12=0,0,P76/P$12)</f>
        <v>0.50716488030884388</v>
      </c>
      <c r="S76" s="14"/>
      <c r="T76" s="21">
        <f>T12-T51</f>
        <v>193240.74999999997</v>
      </c>
      <c r="U76" s="14"/>
      <c r="V76" s="22">
        <f>IF(T$12=0,0,T76/T$12)</f>
        <v>0.47981914434206924</v>
      </c>
      <c r="W76" s="16"/>
      <c r="X76" s="21">
        <f>+P76-T76</f>
        <v>12938.490000000078</v>
      </c>
      <c r="Y76" s="16"/>
      <c r="Z76" s="22">
        <f>IF(T76=0,0,X76/T76)</f>
        <v>6.6955287639900385E-2</v>
      </c>
    </row>
    <row r="77" spans="1:26" x14ac:dyDescent="0.2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9</v>
      </c>
      <c r="C78" s="10"/>
      <c r="D78" s="20">
        <f>SUM(OSRRefD22x_0)</f>
        <v>26223.620000000003</v>
      </c>
      <c r="E78" s="20"/>
      <c r="F78" s="35">
        <f t="shared" ref="F78:F87" si="13">IF(D$12=0,0,D78/D$12)</f>
        <v>0.22644828965767252</v>
      </c>
      <c r="G78" s="20"/>
      <c r="H78" s="20">
        <f>SUM(OSRRefH22x_0)</f>
        <v>28779.690000000002</v>
      </c>
      <c r="I78" s="20"/>
      <c r="J78" s="35">
        <f t="shared" ref="J78:J87" si="14">IF(H$12=0,0,H78/H$12)</f>
        <v>0.2384078327177436</v>
      </c>
      <c r="K78" s="4"/>
      <c r="L78" s="20">
        <f t="shared" ref="L78:L87" si="15">+D78-H78</f>
        <v>-2556.0699999999997</v>
      </c>
      <c r="M78" s="4"/>
      <c r="N78" s="35">
        <f t="shared" ref="N78:N87" si="16">IF(H78=0,0,L78/H78)</f>
        <v>-8.8815063678587214E-2</v>
      </c>
      <c r="O78" s="10"/>
      <c r="P78" s="20">
        <f>SUM(OSRRefP22x_0)</f>
        <v>87947.599999999991</v>
      </c>
      <c r="Q78" s="20"/>
      <c r="R78" s="35">
        <f t="shared" ref="R78:R87" si="17">IF(P$12=0,0,P78/P$12)</f>
        <v>0.21633571851099104</v>
      </c>
      <c r="S78" s="20"/>
      <c r="T78" s="20">
        <f>SUM(OSRRefT22x_0)</f>
        <v>87368.64999999998</v>
      </c>
      <c r="U78" s="20"/>
      <c r="V78" s="35">
        <f t="shared" ref="V78:V87" si="18">IF(T$12=0,0,T78/T$12)</f>
        <v>0.2169374259069152</v>
      </c>
      <c r="W78" s="4"/>
      <c r="X78" s="20">
        <f t="shared" ref="X78:X87" si="19">+P78-T78</f>
        <v>578.95000000001164</v>
      </c>
      <c r="Y78" s="4"/>
      <c r="Z78" s="35">
        <f t="shared" ref="Z78:Z87" si="20">IF(T78=0,0,X78/T78)</f>
        <v>6.6265187799057421E-3</v>
      </c>
    </row>
    <row r="79" spans="1:26" s="27" customFormat="1" outlineLevel="1" collapsed="1" x14ac:dyDescent="0.25">
      <c r="A79" s="25"/>
      <c r="B79" s="13" t="str">
        <f>CONCATENATE("     ","*Benefits                                         ")</f>
        <v xml:space="preserve">     *Benefits                                         </v>
      </c>
      <c r="C79" s="13"/>
      <c r="D79" s="1">
        <f>SUM(OSRRefD22_0x_0)</f>
        <v>3064.6100000000006</v>
      </c>
      <c r="E79" s="1"/>
      <c r="F79" s="5">
        <f t="shared" si="13"/>
        <v>2.6463764078635973E-2</v>
      </c>
      <c r="G79" s="1"/>
      <c r="H79" s="1">
        <f>SUM(OSRRefH22_0x_0)</f>
        <v>4711.1399999999994</v>
      </c>
      <c r="I79" s="1"/>
      <c r="J79" s="5">
        <f t="shared" si="14"/>
        <v>3.9026573150366471E-2</v>
      </c>
      <c r="K79" s="1"/>
      <c r="L79" s="1">
        <f t="shared" si="15"/>
        <v>-1646.5299999999988</v>
      </c>
      <c r="M79" s="1"/>
      <c r="N79" s="5">
        <f t="shared" si="16"/>
        <v>-0.34949714930993325</v>
      </c>
      <c r="O79" s="13"/>
      <c r="P79" s="1">
        <f>SUM(OSRRefP22_0x_0)</f>
        <v>13039.369999999999</v>
      </c>
      <c r="Q79" s="1"/>
      <c r="R79" s="5">
        <f t="shared" si="17"/>
        <v>3.2074570288224594E-2</v>
      </c>
      <c r="S79" s="1"/>
      <c r="T79" s="1">
        <f>SUM(OSRRefT22_0x_0)</f>
        <v>15105.759999999997</v>
      </c>
      <c r="U79" s="1"/>
      <c r="V79" s="5">
        <f t="shared" si="18"/>
        <v>3.7507786726333113E-2</v>
      </c>
      <c r="W79" s="1"/>
      <c r="X79" s="1">
        <f t="shared" si="19"/>
        <v>-2066.3899999999976</v>
      </c>
      <c r="Y79" s="1"/>
      <c r="Z79" s="5">
        <f t="shared" si="20"/>
        <v>-0.13679483852517171</v>
      </c>
    </row>
    <row r="80" spans="1:26" s="24" customFormat="1" hidden="1" outlineLevel="2" x14ac:dyDescent="0.25">
      <c r="A80" s="26"/>
      <c r="B80" s="11" t="str">
        <f>CONCATENATE("          ", "6111", " - ", "F.I.C.A.")</f>
        <v xml:space="preserve">          6111 - F.I.C.A.</v>
      </c>
      <c r="C80" s="11"/>
      <c r="D80" s="6">
        <v>458.31</v>
      </c>
      <c r="E80" s="2"/>
      <c r="F80" s="7">
        <f t="shared" si="13"/>
        <v>3.9576349730894474E-3</v>
      </c>
      <c r="G80" s="2"/>
      <c r="H80" s="6">
        <v>1101.33</v>
      </c>
      <c r="I80" s="2"/>
      <c r="J80" s="7">
        <f t="shared" si="14"/>
        <v>9.1232983540487245E-3</v>
      </c>
      <c r="K80" s="2"/>
      <c r="L80" s="6">
        <f t="shared" si="15"/>
        <v>-643.02</v>
      </c>
      <c r="M80" s="2"/>
      <c r="N80" s="7">
        <f t="shared" si="16"/>
        <v>-0.58385769932717713</v>
      </c>
      <c r="O80" s="11"/>
      <c r="P80" s="6">
        <v>2436.62</v>
      </c>
      <c r="Q80" s="2"/>
      <c r="R80" s="7">
        <f t="shared" si="17"/>
        <v>5.9936591611169715E-3</v>
      </c>
      <c r="S80" s="2"/>
      <c r="T80" s="6">
        <v>3179.85</v>
      </c>
      <c r="U80" s="2"/>
      <c r="V80" s="7">
        <f t="shared" si="18"/>
        <v>7.8956064191229285E-3</v>
      </c>
      <c r="W80" s="2"/>
      <c r="X80" s="6">
        <f t="shared" si="19"/>
        <v>-743.23</v>
      </c>
      <c r="Y80" s="2"/>
      <c r="Z80" s="7">
        <f t="shared" si="20"/>
        <v>-0.23373115084044846</v>
      </c>
    </row>
    <row r="81" spans="1:26" s="24" customFormat="1" hidden="1" outlineLevel="2" x14ac:dyDescent="0.25">
      <c r="A81" s="26"/>
      <c r="B81" s="11" t="str">
        <f>CONCATENATE("          ", "6112", " - ", "COMPENSATION INSURANCE")</f>
        <v xml:space="preserve">          6112 - COMPENSATION INSURANCE</v>
      </c>
      <c r="C81" s="11"/>
      <c r="D81" s="6">
        <v>67.22</v>
      </c>
      <c r="E81" s="2"/>
      <c r="F81" s="7">
        <f t="shared" si="13"/>
        <v>5.8046349172191885E-4</v>
      </c>
      <c r="G81" s="2"/>
      <c r="H81" s="6">
        <v>435.15</v>
      </c>
      <c r="I81" s="2"/>
      <c r="J81" s="7">
        <f t="shared" si="14"/>
        <v>3.6047354369392482E-3</v>
      </c>
      <c r="K81" s="2"/>
      <c r="L81" s="6">
        <f t="shared" si="15"/>
        <v>-367.92999999999995</v>
      </c>
      <c r="M81" s="2"/>
      <c r="N81" s="7">
        <f t="shared" si="16"/>
        <v>-0.84552453177065368</v>
      </c>
      <c r="O81" s="11"/>
      <c r="P81" s="6">
        <v>782.91</v>
      </c>
      <c r="Q81" s="2"/>
      <c r="R81" s="7">
        <f t="shared" si="17"/>
        <v>1.9258217095115726E-3</v>
      </c>
      <c r="S81" s="2"/>
      <c r="T81" s="6">
        <v>712.27</v>
      </c>
      <c r="U81" s="2"/>
      <c r="V81" s="7">
        <f t="shared" si="18"/>
        <v>1.7685751164830694E-3</v>
      </c>
      <c r="W81" s="2"/>
      <c r="X81" s="6">
        <f t="shared" si="19"/>
        <v>70.639999999999986</v>
      </c>
      <c r="Y81" s="2"/>
      <c r="Z81" s="7">
        <f t="shared" si="20"/>
        <v>9.917587431732347E-2</v>
      </c>
    </row>
    <row r="82" spans="1:26" s="24" customFormat="1" hidden="1" outlineLevel="2" x14ac:dyDescent="0.25">
      <c r="A82" s="26"/>
      <c r="B82" s="11" t="str">
        <f>CONCATENATE("          ", "6113", " - ", "GROUP INSURANCE")</f>
        <v xml:space="preserve">          6113 - GROUP INSURANCE</v>
      </c>
      <c r="C82" s="11"/>
      <c r="D82" s="6">
        <v>1519.46</v>
      </c>
      <c r="E82" s="2"/>
      <c r="F82" s="7">
        <f t="shared" si="13"/>
        <v>1.3120961873427357E-2</v>
      </c>
      <c r="G82" s="2"/>
      <c r="H82" s="6">
        <v>1680.3</v>
      </c>
      <c r="I82" s="2"/>
      <c r="J82" s="7">
        <f t="shared" si="14"/>
        <v>1.3919423083279373E-2</v>
      </c>
      <c r="K82" s="2"/>
      <c r="L82" s="6">
        <f t="shared" si="15"/>
        <v>-160.83999999999992</v>
      </c>
      <c r="M82" s="2"/>
      <c r="N82" s="7">
        <f t="shared" si="16"/>
        <v>-9.572100220198769E-2</v>
      </c>
      <c r="O82" s="11"/>
      <c r="P82" s="6">
        <v>4875.2</v>
      </c>
      <c r="Q82" s="2"/>
      <c r="R82" s="7">
        <f t="shared" si="17"/>
        <v>1.199213957953126E-2</v>
      </c>
      <c r="S82" s="2"/>
      <c r="T82" s="6">
        <v>5423.02</v>
      </c>
      <c r="U82" s="2"/>
      <c r="V82" s="7">
        <f t="shared" si="18"/>
        <v>1.3465424948671171E-2</v>
      </c>
      <c r="W82" s="2"/>
      <c r="X82" s="6">
        <f t="shared" si="19"/>
        <v>-547.82000000000062</v>
      </c>
      <c r="Y82" s="2"/>
      <c r="Z82" s="7">
        <f t="shared" si="20"/>
        <v>-0.10101751422639056</v>
      </c>
    </row>
    <row r="83" spans="1:26" s="24" customFormat="1" hidden="1" outlineLevel="2" x14ac:dyDescent="0.25">
      <c r="A83" s="26"/>
      <c r="B83" s="11" t="str">
        <f>CONCATENATE("          ", "6114", " - ", "STATE UNEMPLOYMENT INSURANCE")</f>
        <v xml:space="preserve">          6114 - STATE UNEMPLOYMENT INSURANCE</v>
      </c>
      <c r="C83" s="11"/>
      <c r="D83" s="6">
        <v>50.14</v>
      </c>
      <c r="E83" s="2"/>
      <c r="F83" s="7">
        <f t="shared" si="13"/>
        <v>4.3297291691367173E-4</v>
      </c>
      <c r="G83" s="2"/>
      <c r="H83" s="6">
        <v>59.17</v>
      </c>
      <c r="I83" s="2"/>
      <c r="J83" s="7">
        <f t="shared" si="14"/>
        <v>4.9015786695092572E-4</v>
      </c>
      <c r="K83" s="2"/>
      <c r="L83" s="6">
        <f t="shared" si="15"/>
        <v>-9.0300000000000011</v>
      </c>
      <c r="M83" s="2"/>
      <c r="N83" s="7">
        <f t="shared" si="16"/>
        <v>-0.15261112050025352</v>
      </c>
      <c r="O83" s="11"/>
      <c r="P83" s="6">
        <v>148.08000000000001</v>
      </c>
      <c r="Q83" s="2"/>
      <c r="R83" s="7">
        <f t="shared" si="17"/>
        <v>3.64250908462625E-4</v>
      </c>
      <c r="S83" s="2"/>
      <c r="T83" s="6">
        <v>155.63999999999999</v>
      </c>
      <c r="U83" s="2"/>
      <c r="V83" s="7">
        <f t="shared" si="18"/>
        <v>3.8645602247662389E-4</v>
      </c>
      <c r="W83" s="2"/>
      <c r="X83" s="6">
        <f t="shared" si="19"/>
        <v>-7.5599999999999739</v>
      </c>
      <c r="Y83" s="2"/>
      <c r="Z83" s="7">
        <f t="shared" si="20"/>
        <v>-4.8573631457208777E-2</v>
      </c>
    </row>
    <row r="84" spans="1:26" s="24" customFormat="1" hidden="1" outlineLevel="2" x14ac:dyDescent="0.25">
      <c r="A84" s="26"/>
      <c r="B84" s="11" t="str">
        <f>CONCATENATE("          ", "6115", " - ", "P.E.R.S.")</f>
        <v xml:space="preserve">          6115 - P.E.R.S.</v>
      </c>
      <c r="C84" s="11"/>
      <c r="D84" s="6">
        <v>265.76</v>
      </c>
      <c r="E84" s="2"/>
      <c r="F84" s="7">
        <f t="shared" si="13"/>
        <v>2.2949118946744593E-3</v>
      </c>
      <c r="G84" s="2"/>
      <c r="H84" s="6">
        <v>424.87</v>
      </c>
      <c r="I84" s="2"/>
      <c r="J84" s="7">
        <f t="shared" si="14"/>
        <v>3.5195770311211732E-3</v>
      </c>
      <c r="K84" s="2"/>
      <c r="L84" s="6">
        <f t="shared" si="15"/>
        <v>-159.11000000000001</v>
      </c>
      <c r="M84" s="2"/>
      <c r="N84" s="7">
        <f t="shared" si="16"/>
        <v>-0.3744910207828277</v>
      </c>
      <c r="O84" s="11"/>
      <c r="P84" s="6">
        <v>1300.6600000000001</v>
      </c>
      <c r="Q84" s="2"/>
      <c r="R84" s="7">
        <f t="shared" si="17"/>
        <v>3.1993961818003631E-3</v>
      </c>
      <c r="S84" s="2"/>
      <c r="T84" s="6">
        <v>1905.72</v>
      </c>
      <c r="U84" s="2"/>
      <c r="V84" s="7">
        <f t="shared" si="18"/>
        <v>4.7319260547041362E-3</v>
      </c>
      <c r="W84" s="2"/>
      <c r="X84" s="6">
        <f t="shared" si="19"/>
        <v>-605.05999999999995</v>
      </c>
      <c r="Y84" s="2"/>
      <c r="Z84" s="7">
        <f t="shared" si="20"/>
        <v>-0.31749679911004763</v>
      </c>
    </row>
    <row r="85" spans="1:26" s="24" customFormat="1" hidden="1" outlineLevel="2" x14ac:dyDescent="0.25">
      <c r="A85" s="26"/>
      <c r="B85" s="11" t="str">
        <f>CONCATENATE("          ", "6118", " - ", "VACATION")</f>
        <v xml:space="preserve">          6118 - VACATION</v>
      </c>
      <c r="C85" s="11"/>
      <c r="D85" s="6">
        <v>265.47000000000003</v>
      </c>
      <c r="E85" s="2"/>
      <c r="F85" s="7">
        <f t="shared" si="13"/>
        <v>2.2924076636033595E-3</v>
      </c>
      <c r="G85" s="2"/>
      <c r="H85" s="6">
        <v>431.73</v>
      </c>
      <c r="I85" s="2"/>
      <c r="J85" s="7">
        <f t="shared" si="14"/>
        <v>3.576404527610667E-3</v>
      </c>
      <c r="K85" s="2"/>
      <c r="L85" s="6">
        <f t="shared" si="15"/>
        <v>-166.26</v>
      </c>
      <c r="M85" s="2"/>
      <c r="N85" s="7">
        <f t="shared" si="16"/>
        <v>-0.38510179973594605</v>
      </c>
      <c r="O85" s="11"/>
      <c r="P85" s="6">
        <v>1440.74</v>
      </c>
      <c r="Q85" s="2"/>
      <c r="R85" s="7">
        <f t="shared" si="17"/>
        <v>3.5439684890494483E-3</v>
      </c>
      <c r="S85" s="2"/>
      <c r="T85" s="6">
        <v>1514.56</v>
      </c>
      <c r="U85" s="2"/>
      <c r="V85" s="7">
        <f t="shared" si="18"/>
        <v>3.7606709933320193E-3</v>
      </c>
      <c r="W85" s="2"/>
      <c r="X85" s="6">
        <f t="shared" si="19"/>
        <v>-73.819999999999936</v>
      </c>
      <c r="Y85" s="2"/>
      <c r="Z85" s="7">
        <f t="shared" si="20"/>
        <v>-4.8740228185083417E-2</v>
      </c>
    </row>
    <row r="86" spans="1:26" s="24" customFormat="1" hidden="1" outlineLevel="2" x14ac:dyDescent="0.25">
      <c r="A86" s="26"/>
      <c r="B86" s="11" t="str">
        <f>CONCATENATE("          ", "6119", " - ", "SICK LEAVE")</f>
        <v xml:space="preserve">          6119 - SICK LEAVE</v>
      </c>
      <c r="C86" s="11"/>
      <c r="D86" s="6">
        <v>263.25</v>
      </c>
      <c r="E86" s="2"/>
      <c r="F86" s="7">
        <f t="shared" si="13"/>
        <v>2.2732373429901094E-3</v>
      </c>
      <c r="G86" s="2"/>
      <c r="H86" s="6">
        <v>429.63</v>
      </c>
      <c r="I86" s="2"/>
      <c r="J86" s="7">
        <f t="shared" si="14"/>
        <v>3.5590083552159242E-3</v>
      </c>
      <c r="K86" s="2"/>
      <c r="L86" s="6">
        <f t="shared" si="15"/>
        <v>-166.38</v>
      </c>
      <c r="M86" s="2"/>
      <c r="N86" s="7">
        <f t="shared" si="16"/>
        <v>-0.38726345925563854</v>
      </c>
      <c r="O86" s="11"/>
      <c r="P86" s="6">
        <v>1407.51</v>
      </c>
      <c r="Q86" s="2"/>
      <c r="R86" s="7">
        <f t="shared" si="17"/>
        <v>3.4622284992587063E-3</v>
      </c>
      <c r="S86" s="2"/>
      <c r="T86" s="6">
        <v>1615.96</v>
      </c>
      <c r="U86" s="2"/>
      <c r="V86" s="7">
        <f t="shared" si="18"/>
        <v>4.0124484328021405E-3</v>
      </c>
      <c r="W86" s="2"/>
      <c r="X86" s="6">
        <f t="shared" si="19"/>
        <v>-208.45000000000005</v>
      </c>
      <c r="Y86" s="2"/>
      <c r="Z86" s="7">
        <f t="shared" si="20"/>
        <v>-0.12899452956756358</v>
      </c>
    </row>
    <row r="87" spans="1:26" s="24" customFormat="1" hidden="1" outlineLevel="2" x14ac:dyDescent="0.25">
      <c r="A87" s="26"/>
      <c r="B87" s="11" t="str">
        <f>CONCATENATE("          ", "6156", " - ", "EMPLOYEE MEALS")</f>
        <v xml:space="preserve">          6156 - EMPLOYEE MEALS</v>
      </c>
      <c r="C87" s="11"/>
      <c r="D87" s="6">
        <v>175</v>
      </c>
      <c r="E87" s="2"/>
      <c r="F87" s="7">
        <f t="shared" si="13"/>
        <v>1.5111739222156472E-3</v>
      </c>
      <c r="G87" s="2"/>
      <c r="H87" s="6">
        <v>148.96</v>
      </c>
      <c r="I87" s="2"/>
      <c r="J87" s="7">
        <f t="shared" si="14"/>
        <v>1.2339684952004377E-3</v>
      </c>
      <c r="K87" s="2"/>
      <c r="L87" s="6">
        <f t="shared" si="15"/>
        <v>26.039999999999992</v>
      </c>
      <c r="M87" s="2"/>
      <c r="N87" s="7">
        <f t="shared" si="16"/>
        <v>0.17481203007518792</v>
      </c>
      <c r="O87" s="11"/>
      <c r="P87" s="6">
        <v>647.65</v>
      </c>
      <c r="Q87" s="2"/>
      <c r="R87" s="7">
        <f t="shared" si="17"/>
        <v>1.5931057594936455E-3</v>
      </c>
      <c r="S87" s="2"/>
      <c r="T87" s="6">
        <v>598.74</v>
      </c>
      <c r="U87" s="2"/>
      <c r="V87" s="7">
        <f t="shared" si="18"/>
        <v>1.4866787387410292E-3</v>
      </c>
      <c r="W87" s="2"/>
      <c r="X87" s="6">
        <f t="shared" si="19"/>
        <v>48.909999999999968</v>
      </c>
      <c r="Y87" s="2"/>
      <c r="Z87" s="7">
        <f t="shared" si="20"/>
        <v>8.1688211911681144E-2</v>
      </c>
    </row>
    <row r="88" spans="1:26" s="27" customFormat="1" outlineLevel="1" collapsed="1" x14ac:dyDescent="0.25">
      <c r="A88" s="25"/>
      <c r="B88" s="13" t="str">
        <f>CONCATENATE("     ","*Payroll                                          ")</f>
        <v xml:space="preserve">     *Payroll                                          </v>
      </c>
      <c r="C88" s="13"/>
      <c r="D88" s="1">
        <f>SUM(OSRRefD22_1x_0)</f>
        <v>19802.18</v>
      </c>
      <c r="E88" s="1"/>
      <c r="F88" s="5">
        <f t="shared" ref="F88:F92" si="21">IF(D$12=0,0,D88/D$12)</f>
        <v>0.1709973601086871</v>
      </c>
      <c r="G88" s="1"/>
      <c r="H88" s="1">
        <f>SUM(OSRRefH22_1x_0)</f>
        <v>18374.61</v>
      </c>
      <c r="I88" s="1"/>
      <c r="J88" s="5">
        <f t="shared" ref="J88:J92" si="22">IF(H$12=0,0,H88/H$12)</f>
        <v>0.15221327773627091</v>
      </c>
      <c r="K88" s="1"/>
      <c r="L88" s="1">
        <f t="shared" ref="L88:L92" si="23">+D88-H88</f>
        <v>1427.5699999999997</v>
      </c>
      <c r="M88" s="1"/>
      <c r="N88" s="5">
        <f t="shared" ref="N88:N92" si="24">IF(H88=0,0,L88/H88)</f>
        <v>7.7692533338122538E-2</v>
      </c>
      <c r="O88" s="13"/>
      <c r="P88" s="1">
        <f>SUM(OSRRefP22_1x_0)</f>
        <v>61351.100000000006</v>
      </c>
      <c r="Q88" s="1"/>
      <c r="R88" s="5">
        <f t="shared" ref="R88:R92" si="25">IF(P$12=0,0,P88/P$12)</f>
        <v>0.15091297886400157</v>
      </c>
      <c r="S88" s="1"/>
      <c r="T88" s="1">
        <f>SUM(OSRRefT22_1x_0)</f>
        <v>55254.82</v>
      </c>
      <c r="U88" s="1"/>
      <c r="V88" s="5">
        <f t="shared" ref="V88:V92" si="26">IF(T$12=0,0,T88/T$12)</f>
        <v>0.13719839347122725</v>
      </c>
      <c r="W88" s="1"/>
      <c r="X88" s="1">
        <f t="shared" ref="X88:X92" si="27">+P88-T88</f>
        <v>6096.2800000000061</v>
      </c>
      <c r="Y88" s="1"/>
      <c r="Z88" s="5">
        <f t="shared" ref="Z88:Z92" si="28">IF(T88=0,0,X88/T88)</f>
        <v>0.11033028430822879</v>
      </c>
    </row>
    <row r="89" spans="1:26" s="24" customFormat="1" hidden="1" outlineLevel="2" x14ac:dyDescent="0.25">
      <c r="A89" s="26"/>
      <c r="B89" s="11" t="str">
        <f>CONCATENATE("          ", "6002", " - ", "STAFF SALARIES")</f>
        <v xml:space="preserve">          6002 - STAFF SALARIES</v>
      </c>
      <c r="C89" s="11"/>
      <c r="D89" s="6">
        <v>4516.2</v>
      </c>
      <c r="E89" s="2"/>
      <c r="F89" s="7">
        <f t="shared" si="21"/>
        <v>3.8998649528630316E-2</v>
      </c>
      <c r="G89" s="2"/>
      <c r="H89" s="6">
        <v>7329.58</v>
      </c>
      <c r="I89" s="2"/>
      <c r="J89" s="7">
        <f t="shared" si="22"/>
        <v>6.0717446314790709E-2</v>
      </c>
      <c r="K89" s="2"/>
      <c r="L89" s="6">
        <f t="shared" si="23"/>
        <v>-2813.38</v>
      </c>
      <c r="M89" s="2"/>
      <c r="N89" s="7">
        <f t="shared" si="24"/>
        <v>-0.38383918314555543</v>
      </c>
      <c r="O89" s="11"/>
      <c r="P89" s="6">
        <v>20008.11</v>
      </c>
      <c r="Q89" s="2"/>
      <c r="R89" s="7">
        <f t="shared" si="25"/>
        <v>4.9216452215830167E-2</v>
      </c>
      <c r="S89" s="2"/>
      <c r="T89" s="6">
        <v>26368.46</v>
      </c>
      <c r="U89" s="2"/>
      <c r="V89" s="7">
        <f t="shared" si="26"/>
        <v>6.5473208496748633E-2</v>
      </c>
      <c r="W89" s="2"/>
      <c r="X89" s="6">
        <f t="shared" si="27"/>
        <v>-6360.3499999999985</v>
      </c>
      <c r="Y89" s="2"/>
      <c r="Z89" s="7">
        <f t="shared" si="28"/>
        <v>-0.24121052196449844</v>
      </c>
    </row>
    <row r="90" spans="1:26" s="24" customFormat="1" hidden="1" outlineLevel="2" x14ac:dyDescent="0.25">
      <c r="A90" s="26"/>
      <c r="B90" s="11" t="str">
        <f>CONCATENATE("          ", "6005", " - ", "TEMPORARY WAGES-HOURLY")</f>
        <v xml:space="preserve">          6005 - TEMPORARY WAGES-HOURLY</v>
      </c>
      <c r="C90" s="11"/>
      <c r="D90" s="6">
        <v>416.88</v>
      </c>
      <c r="E90" s="2"/>
      <c r="F90" s="7">
        <f t="shared" si="21"/>
        <v>3.5998753411043373E-3</v>
      </c>
      <c r="G90" s="2"/>
      <c r="H90" s="6"/>
      <c r="I90" s="2"/>
      <c r="J90" s="7">
        <f t="shared" si="22"/>
        <v>0</v>
      </c>
      <c r="K90" s="2"/>
      <c r="L90" s="6">
        <f t="shared" si="23"/>
        <v>416.88</v>
      </c>
      <c r="M90" s="2"/>
      <c r="N90" s="7">
        <f t="shared" si="24"/>
        <v>0</v>
      </c>
      <c r="O90" s="11"/>
      <c r="P90" s="6">
        <v>416.88</v>
      </c>
      <c r="Q90" s="2"/>
      <c r="R90" s="7">
        <f t="shared" si="25"/>
        <v>1.0254519092375682E-3</v>
      </c>
      <c r="S90" s="2"/>
      <c r="T90" s="6"/>
      <c r="U90" s="2"/>
      <c r="V90" s="7">
        <f t="shared" si="26"/>
        <v>0</v>
      </c>
      <c r="W90" s="2"/>
      <c r="X90" s="6">
        <f t="shared" si="27"/>
        <v>416.88</v>
      </c>
      <c r="Y90" s="2"/>
      <c r="Z90" s="7">
        <f t="shared" si="28"/>
        <v>0</v>
      </c>
    </row>
    <row r="91" spans="1:26" s="24" customFormat="1" hidden="1" outlineLevel="2" x14ac:dyDescent="0.25">
      <c r="A91" s="26"/>
      <c r="B91" s="11" t="str">
        <f>CONCATENATE("          ", "6006", " - ", "TEMPORARY PART TIME")</f>
        <v xml:space="preserve">          6006 - TEMPORARY PART TIME</v>
      </c>
      <c r="C91" s="11"/>
      <c r="D91" s="6"/>
      <c r="E91" s="2"/>
      <c r="F91" s="7">
        <f t="shared" si="21"/>
        <v>0</v>
      </c>
      <c r="G91" s="2"/>
      <c r="H91" s="6">
        <v>946</v>
      </c>
      <c r="I91" s="2"/>
      <c r="J91" s="7">
        <f t="shared" si="22"/>
        <v>7.8365614692508991E-3</v>
      </c>
      <c r="K91" s="2"/>
      <c r="L91" s="6">
        <f t="shared" si="23"/>
        <v>-946</v>
      </c>
      <c r="M91" s="2"/>
      <c r="N91" s="7">
        <f t="shared" si="24"/>
        <v>-1</v>
      </c>
      <c r="O91" s="11"/>
      <c r="P91" s="6">
        <v>25.5</v>
      </c>
      <c r="Q91" s="2"/>
      <c r="R91" s="7">
        <f t="shared" si="25"/>
        <v>6.2725541368158669E-5</v>
      </c>
      <c r="S91" s="2"/>
      <c r="T91" s="6">
        <v>2979.25</v>
      </c>
      <c r="U91" s="2"/>
      <c r="V91" s="7">
        <f t="shared" si="26"/>
        <v>7.3975141670745426E-3</v>
      </c>
      <c r="W91" s="2"/>
      <c r="X91" s="6">
        <f t="shared" si="27"/>
        <v>-2953.75</v>
      </c>
      <c r="Y91" s="2"/>
      <c r="Z91" s="7">
        <f t="shared" si="28"/>
        <v>-0.99144079885877323</v>
      </c>
    </row>
    <row r="92" spans="1:26" s="24" customFormat="1" hidden="1" outlineLevel="2" x14ac:dyDescent="0.25">
      <c r="A92" s="26"/>
      <c r="B92" s="11" t="str">
        <f>CONCATENATE("          ", "6007", " - ", "STUDENT HOURLY")</f>
        <v xml:space="preserve">          6007 - STUDENT HOURLY</v>
      </c>
      <c r="C92" s="11"/>
      <c r="D92" s="6">
        <v>14869.1</v>
      </c>
      <c r="E92" s="2"/>
      <c r="F92" s="7">
        <f t="shared" si="21"/>
        <v>0.12839883523895246</v>
      </c>
      <c r="G92" s="2"/>
      <c r="H92" s="6">
        <v>10099.030000000001</v>
      </c>
      <c r="I92" s="2"/>
      <c r="J92" s="7">
        <f t="shared" si="22"/>
        <v>8.3659269952229304E-2</v>
      </c>
      <c r="K92" s="2"/>
      <c r="L92" s="6">
        <f t="shared" si="23"/>
        <v>4770.07</v>
      </c>
      <c r="M92" s="2"/>
      <c r="N92" s="7">
        <f t="shared" si="24"/>
        <v>0.47232952075595375</v>
      </c>
      <c r="O92" s="11"/>
      <c r="P92" s="6">
        <v>40900.61</v>
      </c>
      <c r="Q92" s="2"/>
      <c r="R92" s="7">
        <f t="shared" si="25"/>
        <v>0.10060834919756566</v>
      </c>
      <c r="S92" s="2"/>
      <c r="T92" s="6">
        <v>25907.11</v>
      </c>
      <c r="U92" s="2"/>
      <c r="V92" s="7">
        <f t="shared" si="26"/>
        <v>6.4327670807404064E-2</v>
      </c>
      <c r="W92" s="2"/>
      <c r="X92" s="6">
        <f t="shared" si="27"/>
        <v>14993.5</v>
      </c>
      <c r="Y92" s="2"/>
      <c r="Z92" s="7">
        <f t="shared" si="28"/>
        <v>0.57874073951127702</v>
      </c>
    </row>
    <row r="93" spans="1:26" s="27" customFormat="1" outlineLevel="1" collapsed="1" x14ac:dyDescent="0.25">
      <c r="A93" s="25"/>
      <c r="B93" s="13" t="str">
        <f>CONCATENATE("     ","Advertising/Promo                                 ")</f>
        <v xml:space="preserve">     Advertising/Promo                                 </v>
      </c>
      <c r="C93" s="13"/>
      <c r="D93" s="1">
        <f>SUM(OSRRefD22_2x_0)</f>
        <v>992.91</v>
      </c>
      <c r="E93" s="1"/>
      <c r="F93" s="5">
        <f t="shared" ref="F93:F99" si="29">IF(D$12=0,0,D93/D$12)</f>
        <v>8.5740554234693608E-3</v>
      </c>
      <c r="G93" s="1"/>
      <c r="H93" s="1">
        <f>SUM(OSRRefH22_2x_0)</f>
        <v>743</v>
      </c>
      <c r="I93" s="1"/>
      <c r="J93" s="5">
        <f t="shared" ref="J93:J99" si="30">IF(H$12=0,0,H93/H$12)</f>
        <v>6.1549314710924088E-3</v>
      </c>
      <c r="K93" s="1"/>
      <c r="L93" s="1">
        <f t="shared" ref="L93:L99" si="31">+D93-H93</f>
        <v>249.90999999999997</v>
      </c>
      <c r="M93" s="1"/>
      <c r="N93" s="5">
        <f t="shared" ref="N93:N99" si="32">IF(H93=0,0,L93/H93)</f>
        <v>0.3363526244952893</v>
      </c>
      <c r="O93" s="13"/>
      <c r="P93" s="1">
        <f>SUM(OSRRefP22_2x_0)</f>
        <v>1185.48</v>
      </c>
      <c r="Q93" s="1"/>
      <c r="R93" s="5">
        <f t="shared" ref="R93:R99" si="33">IF(P$12=0,0,P93/P$12)</f>
        <v>2.9160735208284216E-3</v>
      </c>
      <c r="S93" s="1"/>
      <c r="T93" s="1">
        <f>SUM(OSRRefT22_2x_0)</f>
        <v>828.86</v>
      </c>
      <c r="U93" s="1"/>
      <c r="V93" s="5">
        <f t="shared" ref="V93:V99" si="34">IF(T$12=0,0,T93/T$12)</f>
        <v>2.0580695116292373E-3</v>
      </c>
      <c r="W93" s="1"/>
      <c r="X93" s="1">
        <f t="shared" ref="X93:X99" si="35">+P93-T93</f>
        <v>356.62</v>
      </c>
      <c r="Y93" s="1"/>
      <c r="Z93" s="5">
        <f t="shared" ref="Z93:Z99" si="36">IF(T93=0,0,X93/T93)</f>
        <v>0.4302536013319499</v>
      </c>
    </row>
    <row r="94" spans="1:26" s="24" customFormat="1" hidden="1" outlineLevel="2" x14ac:dyDescent="0.25">
      <c r="A94" s="26"/>
      <c r="B94" s="11" t="str">
        <f>CONCATENATE("          ", "6362", " - ", "ADVERTISING EXPENSE")</f>
        <v xml:space="preserve">          6362 - ADVERTISING EXPENSE</v>
      </c>
      <c r="C94" s="11"/>
      <c r="D94" s="6">
        <v>992.91</v>
      </c>
      <c r="E94" s="2"/>
      <c r="F94" s="7">
        <f t="shared" si="29"/>
        <v>8.5740554234693608E-3</v>
      </c>
      <c r="G94" s="2"/>
      <c r="H94" s="6">
        <v>743</v>
      </c>
      <c r="I94" s="2"/>
      <c r="J94" s="7">
        <f t="shared" si="30"/>
        <v>6.1549314710924088E-3</v>
      </c>
      <c r="K94" s="2"/>
      <c r="L94" s="6">
        <f t="shared" si="31"/>
        <v>249.90999999999997</v>
      </c>
      <c r="M94" s="2"/>
      <c r="N94" s="7">
        <f t="shared" si="32"/>
        <v>0.3363526244952893</v>
      </c>
      <c r="O94" s="11"/>
      <c r="P94" s="6">
        <v>1185.48</v>
      </c>
      <c r="Q94" s="2"/>
      <c r="R94" s="7">
        <f t="shared" si="33"/>
        <v>2.9160735208284216E-3</v>
      </c>
      <c r="S94" s="2"/>
      <c r="T94" s="6">
        <v>828.86</v>
      </c>
      <c r="U94" s="2"/>
      <c r="V94" s="7">
        <f t="shared" si="34"/>
        <v>2.0580695116292373E-3</v>
      </c>
      <c r="W94" s="2"/>
      <c r="X94" s="6">
        <f t="shared" si="35"/>
        <v>356.62</v>
      </c>
      <c r="Y94" s="2"/>
      <c r="Z94" s="7">
        <f t="shared" si="36"/>
        <v>0.4302536013319499</v>
      </c>
    </row>
    <row r="95" spans="1:26" s="27" customFormat="1" outlineLevel="1" collapsed="1" x14ac:dyDescent="0.25">
      <c r="A95" s="25"/>
      <c r="B95" s="13" t="str">
        <f>CONCATENATE("     ","Bad Debts/Over/Short                              ")</f>
        <v xml:space="preserve">     Bad Debts/Over/Short                              </v>
      </c>
      <c r="C95" s="13"/>
      <c r="D95" s="1">
        <f>SUM(OSRRefD22_3x_0)</f>
        <v>-8.2799999999999994</v>
      </c>
      <c r="E95" s="1"/>
      <c r="F95" s="5">
        <f t="shared" si="29"/>
        <v>-7.1500114719688898E-5</v>
      </c>
      <c r="G95" s="1"/>
      <c r="H95" s="1">
        <f>SUM(OSRRefH22_3x_0)</f>
        <v>-9.56</v>
      </c>
      <c r="I95" s="1"/>
      <c r="J95" s="5">
        <f t="shared" si="30"/>
        <v>-7.9194003854163436E-5</v>
      </c>
      <c r="K95" s="1"/>
      <c r="L95" s="1">
        <f t="shared" si="31"/>
        <v>1.2800000000000011</v>
      </c>
      <c r="M95" s="1"/>
      <c r="N95" s="5">
        <f t="shared" si="32"/>
        <v>-0.13389121338912144</v>
      </c>
      <c r="O95" s="13"/>
      <c r="P95" s="1">
        <f>SUM(OSRRefP22_3x_0)</f>
        <v>-47.56</v>
      </c>
      <c r="Q95" s="1"/>
      <c r="R95" s="5">
        <f t="shared" si="33"/>
        <v>-1.1698928421449516E-4</v>
      </c>
      <c r="S95" s="1"/>
      <c r="T95" s="1">
        <f>SUM(OSRRefT22_3x_0)</f>
        <v>-2.36</v>
      </c>
      <c r="U95" s="1"/>
      <c r="V95" s="5">
        <f t="shared" si="34"/>
        <v>-5.8599088476280673E-6</v>
      </c>
      <c r="W95" s="1"/>
      <c r="X95" s="1">
        <f t="shared" si="35"/>
        <v>-45.2</v>
      </c>
      <c r="Y95" s="1"/>
      <c r="Z95" s="5">
        <f t="shared" si="36"/>
        <v>19.152542372881356</v>
      </c>
    </row>
    <row r="96" spans="1:26" s="24" customFormat="1" hidden="1" outlineLevel="2" x14ac:dyDescent="0.25">
      <c r="A96" s="26"/>
      <c r="B96" s="11" t="str">
        <f>CONCATENATE("          ", "6272", " - ", "CASH (OVER/SHORT)")</f>
        <v xml:space="preserve">          6272 - CASH (OVER/SHORT)</v>
      </c>
      <c r="C96" s="11"/>
      <c r="D96" s="6">
        <v>-8.2799999999999994</v>
      </c>
      <c r="E96" s="2"/>
      <c r="F96" s="7">
        <f t="shared" si="29"/>
        <v>-7.1500114719688898E-5</v>
      </c>
      <c r="G96" s="2"/>
      <c r="H96" s="6">
        <v>-9.56</v>
      </c>
      <c r="I96" s="2"/>
      <c r="J96" s="7">
        <f t="shared" si="30"/>
        <v>-7.9194003854163436E-5</v>
      </c>
      <c r="K96" s="2"/>
      <c r="L96" s="6">
        <f t="shared" si="31"/>
        <v>1.2800000000000011</v>
      </c>
      <c r="M96" s="2"/>
      <c r="N96" s="7">
        <f t="shared" si="32"/>
        <v>-0.13389121338912144</v>
      </c>
      <c r="O96" s="11"/>
      <c r="P96" s="6">
        <v>-47.56</v>
      </c>
      <c r="Q96" s="2"/>
      <c r="R96" s="7">
        <f t="shared" si="33"/>
        <v>-1.1698928421449516E-4</v>
      </c>
      <c r="S96" s="2"/>
      <c r="T96" s="6">
        <v>-2.36</v>
      </c>
      <c r="U96" s="2"/>
      <c r="V96" s="7">
        <f t="shared" si="34"/>
        <v>-5.8599088476280673E-6</v>
      </c>
      <c r="W96" s="2"/>
      <c r="X96" s="6">
        <f t="shared" si="35"/>
        <v>-45.2</v>
      </c>
      <c r="Y96" s="2"/>
      <c r="Z96" s="7">
        <f t="shared" si="36"/>
        <v>19.152542372881356</v>
      </c>
    </row>
    <row r="97" spans="1:26" s="27" customFormat="1" outlineLevel="1" collapsed="1" x14ac:dyDescent="0.25">
      <c r="A97" s="25"/>
      <c r="B97" s="13" t="str">
        <f>CONCATENATE("     ","Discounts and Markdowns                           ")</f>
        <v xml:space="preserve">     Discounts and Markdowns                           </v>
      </c>
      <c r="C97" s="13"/>
      <c r="D97" s="1">
        <f>SUM(OSRRefD22_4x_0)</f>
        <v>1554.8899999999999</v>
      </c>
      <c r="E97" s="1"/>
      <c r="F97" s="5">
        <f t="shared" si="29"/>
        <v>1.3426909828079358E-2</v>
      </c>
      <c r="G97" s="1"/>
      <c r="H97" s="1">
        <f>SUM(OSRRefH22_4x_0)</f>
        <v>4050.5599999999995</v>
      </c>
      <c r="I97" s="1"/>
      <c r="J97" s="5">
        <f t="shared" si="30"/>
        <v>3.355440002630964E-2</v>
      </c>
      <c r="K97" s="1"/>
      <c r="L97" s="1">
        <f t="shared" si="31"/>
        <v>-2495.6699999999996</v>
      </c>
      <c r="M97" s="1"/>
      <c r="N97" s="5">
        <f t="shared" si="32"/>
        <v>-0.61612962158318851</v>
      </c>
      <c r="O97" s="13"/>
      <c r="P97" s="1">
        <f>SUM(OSRRefP22_4x_0)</f>
        <v>8457.130000000001</v>
      </c>
      <c r="Q97" s="1"/>
      <c r="R97" s="5">
        <f t="shared" si="33"/>
        <v>2.0803061085133169E-2</v>
      </c>
      <c r="S97" s="1"/>
      <c r="T97" s="1">
        <f>SUM(OSRRefT22_4x_0)</f>
        <v>10850.519999999999</v>
      </c>
      <c r="U97" s="1"/>
      <c r="V97" s="5">
        <f t="shared" si="34"/>
        <v>2.6941973792103939E-2</v>
      </c>
      <c r="W97" s="1"/>
      <c r="X97" s="1">
        <f t="shared" si="35"/>
        <v>-2393.3899999999976</v>
      </c>
      <c r="Y97" s="1"/>
      <c r="Z97" s="5">
        <f t="shared" si="36"/>
        <v>-0.22057836859431604</v>
      </c>
    </row>
    <row r="98" spans="1:26" s="24" customFormat="1" hidden="1" outlineLevel="2" x14ac:dyDescent="0.25">
      <c r="A98" s="26"/>
      <c r="B98" s="11" t="str">
        <f>CONCATENATE("          ", "6382", " - ", "DISCOUNTS/MARK DOWNS")</f>
        <v xml:space="preserve">          6382 - DISCOUNTS/MARK DOWNS</v>
      </c>
      <c r="C98" s="11"/>
      <c r="D98" s="6">
        <v>1637.54</v>
      </c>
      <c r="E98" s="2"/>
      <c r="F98" s="7">
        <f t="shared" si="29"/>
        <v>1.4140615683342919E-2</v>
      </c>
      <c r="G98" s="2"/>
      <c r="H98" s="6">
        <v>2775.74</v>
      </c>
      <c r="I98" s="2"/>
      <c r="J98" s="7">
        <f t="shared" si="30"/>
        <v>2.2993929315706652E-2</v>
      </c>
      <c r="K98" s="2"/>
      <c r="L98" s="6">
        <f t="shared" si="31"/>
        <v>-1138.1999999999998</v>
      </c>
      <c r="M98" s="2"/>
      <c r="N98" s="7">
        <f t="shared" si="32"/>
        <v>-0.4100528147448968</v>
      </c>
      <c r="O98" s="11"/>
      <c r="P98" s="6">
        <v>8645.7000000000007</v>
      </c>
      <c r="Q98" s="2"/>
      <c r="R98" s="7">
        <f t="shared" si="33"/>
        <v>2.1266910313987822E-2</v>
      </c>
      <c r="S98" s="2"/>
      <c r="T98" s="6">
        <v>10294.14</v>
      </c>
      <c r="U98" s="2"/>
      <c r="V98" s="7">
        <f t="shared" si="34"/>
        <v>2.5560475451153388E-2</v>
      </c>
      <c r="W98" s="2"/>
      <c r="X98" s="6">
        <f t="shared" si="35"/>
        <v>-1648.4399999999987</v>
      </c>
      <c r="Y98" s="2"/>
      <c r="Z98" s="7">
        <f t="shared" si="36"/>
        <v>-0.16013382370941126</v>
      </c>
    </row>
    <row r="99" spans="1:26" s="24" customFormat="1" hidden="1" outlineLevel="2" x14ac:dyDescent="0.25">
      <c r="A99" s="26"/>
      <c r="B99" s="11" t="str">
        <f>CONCATENATE("          ", "9175", " - ", "EARNED DISCOUNTS")</f>
        <v xml:space="preserve">          9175 - EARNED DISCOUNTS</v>
      </c>
      <c r="C99" s="11"/>
      <c r="D99" s="6">
        <v>-82.65</v>
      </c>
      <c r="E99" s="2"/>
      <c r="F99" s="7">
        <f t="shared" si="29"/>
        <v>-7.1370585526356139E-4</v>
      </c>
      <c r="G99" s="2"/>
      <c r="H99" s="6">
        <v>1274.82</v>
      </c>
      <c r="I99" s="2"/>
      <c r="J99" s="7">
        <f t="shared" si="30"/>
        <v>1.0560470710602994E-2</v>
      </c>
      <c r="K99" s="2"/>
      <c r="L99" s="6">
        <f t="shared" si="31"/>
        <v>-1357.47</v>
      </c>
      <c r="M99" s="2"/>
      <c r="N99" s="7">
        <f t="shared" si="32"/>
        <v>-1.0648326822610252</v>
      </c>
      <c r="O99" s="11"/>
      <c r="P99" s="6">
        <v>-188.57</v>
      </c>
      <c r="Q99" s="2"/>
      <c r="R99" s="7">
        <f t="shared" si="33"/>
        <v>-4.6384922885465415E-4</v>
      </c>
      <c r="S99" s="2"/>
      <c r="T99" s="6">
        <v>556.38</v>
      </c>
      <c r="U99" s="2"/>
      <c r="V99" s="7">
        <f t="shared" si="34"/>
        <v>1.3814983409505526E-3</v>
      </c>
      <c r="W99" s="2"/>
      <c r="X99" s="6">
        <f t="shared" si="35"/>
        <v>-744.95</v>
      </c>
      <c r="Y99" s="2"/>
      <c r="Z99" s="7">
        <f t="shared" si="36"/>
        <v>-1.3389230382112944</v>
      </c>
    </row>
    <row r="100" spans="1:26" s="27" customFormat="1" outlineLevel="1" collapsed="1" x14ac:dyDescent="0.25">
      <c r="A100" s="25"/>
      <c r="B100" s="13" t="str">
        <f>CONCATENATE("     ","Freight out/Postage                               ")</f>
        <v xml:space="preserve">     Freight out/Postage                               </v>
      </c>
      <c r="C100" s="13"/>
      <c r="D100" s="1">
        <f>SUM(OSRRefD22_5x_0)</f>
        <v>0</v>
      </c>
      <c r="E100" s="1"/>
      <c r="F100" s="5">
        <f t="shared" ref="F100:F110" si="37">IF(D$12=0,0,D100/D$12)</f>
        <v>0</v>
      </c>
      <c r="G100" s="1"/>
      <c r="H100" s="1">
        <f>SUM(OSRRefH22_5x_0)</f>
        <v>5.0999999999999996</v>
      </c>
      <c r="I100" s="1"/>
      <c r="J100" s="5">
        <f t="shared" ref="J100:J110" si="38">IF(H$12=0,0,H100/H$12)</f>
        <v>4.2247847244375884E-5</v>
      </c>
      <c r="K100" s="1"/>
      <c r="L100" s="1">
        <f t="shared" ref="L100:L110" si="39">+D100-H100</f>
        <v>-5.0999999999999996</v>
      </c>
      <c r="M100" s="1"/>
      <c r="N100" s="5">
        <f t="shared" ref="N100:N110" si="40">IF(H100=0,0,L100/H100)</f>
        <v>-1</v>
      </c>
      <c r="O100" s="13"/>
      <c r="P100" s="1">
        <f>SUM(OSRRefP22_5x_0)</f>
        <v>0</v>
      </c>
      <c r="Q100" s="1"/>
      <c r="R100" s="5">
        <f t="shared" ref="R100:R110" si="41">IF(P$12=0,0,P100/P$12)</f>
        <v>0</v>
      </c>
      <c r="S100" s="1"/>
      <c r="T100" s="1">
        <f>SUM(OSRRefT22_5x_0)</f>
        <v>5.0999999999999996</v>
      </c>
      <c r="U100" s="1"/>
      <c r="V100" s="5">
        <f t="shared" ref="V100:V110" si="42">IF(T$12=0,0,T100/T$12)</f>
        <v>1.2663362340213196E-5</v>
      </c>
      <c r="W100" s="1"/>
      <c r="X100" s="1">
        <f t="shared" ref="X100:X110" si="43">+P100-T100</f>
        <v>-5.0999999999999996</v>
      </c>
      <c r="Y100" s="1"/>
      <c r="Z100" s="5">
        <f t="shared" ref="Z100:Z110" si="44">IF(T100=0,0,X100/T100)</f>
        <v>-1</v>
      </c>
    </row>
    <row r="101" spans="1:26" s="24" customFormat="1" hidden="1" outlineLevel="2" x14ac:dyDescent="0.25">
      <c r="A101" s="26"/>
      <c r="B101" s="11" t="str">
        <f>CONCATENATE("          ", "6305", " - ", "FREIGHT OUT")</f>
        <v xml:space="preserve">          6305 - FREIGHT OUT</v>
      </c>
      <c r="C101" s="11"/>
      <c r="D101" s="6"/>
      <c r="E101" s="2"/>
      <c r="F101" s="7">
        <f t="shared" si="37"/>
        <v>0</v>
      </c>
      <c r="G101" s="2"/>
      <c r="H101" s="6">
        <v>5.0999999999999996</v>
      </c>
      <c r="I101" s="2"/>
      <c r="J101" s="7">
        <f t="shared" si="38"/>
        <v>4.2247847244375884E-5</v>
      </c>
      <c r="K101" s="2"/>
      <c r="L101" s="6">
        <f t="shared" si="39"/>
        <v>-5.0999999999999996</v>
      </c>
      <c r="M101" s="2"/>
      <c r="N101" s="7">
        <f t="shared" si="40"/>
        <v>-1</v>
      </c>
      <c r="O101" s="11"/>
      <c r="P101" s="6"/>
      <c r="Q101" s="2"/>
      <c r="R101" s="7">
        <f t="shared" si="41"/>
        <v>0</v>
      </c>
      <c r="S101" s="2"/>
      <c r="T101" s="6">
        <v>5.0999999999999996</v>
      </c>
      <c r="U101" s="2"/>
      <c r="V101" s="7">
        <f t="shared" si="42"/>
        <v>1.2663362340213196E-5</v>
      </c>
      <c r="W101" s="2"/>
      <c r="X101" s="6">
        <f t="shared" si="43"/>
        <v>-5.0999999999999996</v>
      </c>
      <c r="Y101" s="2"/>
      <c r="Z101" s="7">
        <f t="shared" si="44"/>
        <v>-1</v>
      </c>
    </row>
    <row r="102" spans="1:26" s="27" customFormat="1" outlineLevel="1" collapsed="1" x14ac:dyDescent="0.25">
      <c r="A102" s="25"/>
      <c r="B102" s="13" t="str">
        <f>CONCATENATE("     ","General                                           ")</f>
        <v xml:space="preserve">     General                                           </v>
      </c>
      <c r="C102" s="13"/>
      <c r="D102" s="1">
        <f>SUM(OSRRefD22_6x_0)</f>
        <v>99.5</v>
      </c>
      <c r="E102" s="1"/>
      <c r="F102" s="5">
        <f t="shared" si="37"/>
        <v>8.5921031577403941E-4</v>
      </c>
      <c r="G102" s="1"/>
      <c r="H102" s="1">
        <f>SUM(OSRRefH22_6x_0)</f>
        <v>0</v>
      </c>
      <c r="I102" s="1"/>
      <c r="J102" s="5">
        <f t="shared" si="38"/>
        <v>0</v>
      </c>
      <c r="K102" s="1"/>
      <c r="L102" s="1">
        <f t="shared" si="39"/>
        <v>99.5</v>
      </c>
      <c r="M102" s="1"/>
      <c r="N102" s="5">
        <f t="shared" si="40"/>
        <v>0</v>
      </c>
      <c r="O102" s="13"/>
      <c r="P102" s="1">
        <f>SUM(OSRRefP22_6x_0)</f>
        <v>794.05</v>
      </c>
      <c r="Q102" s="1"/>
      <c r="R102" s="5">
        <f t="shared" si="41"/>
        <v>1.9532241617014269E-3</v>
      </c>
      <c r="S102" s="1"/>
      <c r="T102" s="1">
        <f>SUM(OSRRefT22_6x_0)</f>
        <v>669.2</v>
      </c>
      <c r="U102" s="1"/>
      <c r="V102" s="5">
        <f t="shared" si="42"/>
        <v>1.6616317800138573E-3</v>
      </c>
      <c r="W102" s="1"/>
      <c r="X102" s="1">
        <f t="shared" si="43"/>
        <v>124.84999999999991</v>
      </c>
      <c r="Y102" s="1"/>
      <c r="Z102" s="5">
        <f t="shared" si="44"/>
        <v>0.1865660490137476</v>
      </c>
    </row>
    <row r="103" spans="1:26" s="24" customFormat="1" hidden="1" outlineLevel="2" x14ac:dyDescent="0.25">
      <c r="A103" s="26"/>
      <c r="B103" s="11" t="str">
        <f>CONCATENATE("          ", "6279", " - ", "GENERAL EXPENSE")</f>
        <v xml:space="preserve">          6279 - GENERAL EXPENSE</v>
      </c>
      <c r="C103" s="11"/>
      <c r="D103" s="6">
        <v>99.5</v>
      </c>
      <c r="E103" s="2"/>
      <c r="F103" s="7">
        <f t="shared" si="37"/>
        <v>8.5921031577403941E-4</v>
      </c>
      <c r="G103" s="2"/>
      <c r="H103" s="6"/>
      <c r="I103" s="2"/>
      <c r="J103" s="7">
        <f t="shared" si="38"/>
        <v>0</v>
      </c>
      <c r="K103" s="2"/>
      <c r="L103" s="6">
        <f t="shared" si="39"/>
        <v>99.5</v>
      </c>
      <c r="M103" s="2"/>
      <c r="N103" s="7">
        <f t="shared" si="40"/>
        <v>0</v>
      </c>
      <c r="O103" s="11"/>
      <c r="P103" s="6">
        <v>794.05</v>
      </c>
      <c r="Q103" s="2"/>
      <c r="R103" s="7">
        <f t="shared" si="41"/>
        <v>1.9532241617014269E-3</v>
      </c>
      <c r="S103" s="2"/>
      <c r="T103" s="6">
        <v>669.2</v>
      </c>
      <c r="U103" s="2"/>
      <c r="V103" s="7">
        <f t="shared" si="42"/>
        <v>1.6616317800138573E-3</v>
      </c>
      <c r="W103" s="2"/>
      <c r="X103" s="6">
        <f t="shared" si="43"/>
        <v>124.84999999999991</v>
      </c>
      <c r="Y103" s="2"/>
      <c r="Z103" s="7">
        <f t="shared" si="44"/>
        <v>0.1865660490137476</v>
      </c>
    </row>
    <row r="104" spans="1:26" s="27" customFormat="1" outlineLevel="1" collapsed="1" x14ac:dyDescent="0.25">
      <c r="A104" s="25"/>
      <c r="B104" s="13" t="str">
        <f>CONCATENATE("     ","Inventory Adjustment                              ")</f>
        <v xml:space="preserve">     Inventory Adjustment                              </v>
      </c>
      <c r="C104" s="13"/>
      <c r="D104" s="1">
        <f>SUM(OSRRefD22_7x_0)</f>
        <v>0</v>
      </c>
      <c r="E104" s="1"/>
      <c r="F104" s="5">
        <f t="shared" si="37"/>
        <v>0</v>
      </c>
      <c r="G104" s="1"/>
      <c r="H104" s="1">
        <f>SUM(OSRRefH22_7x_0)</f>
        <v>400</v>
      </c>
      <c r="I104" s="1"/>
      <c r="J104" s="5">
        <f t="shared" si="38"/>
        <v>3.3135566466177165E-3</v>
      </c>
      <c r="K104" s="1"/>
      <c r="L104" s="1">
        <f t="shared" si="39"/>
        <v>-400</v>
      </c>
      <c r="M104" s="1"/>
      <c r="N104" s="5">
        <f t="shared" si="40"/>
        <v>-1</v>
      </c>
      <c r="O104" s="13"/>
      <c r="P104" s="1">
        <f>SUM(OSRRefP22_7x_0)</f>
        <v>0</v>
      </c>
      <c r="Q104" s="1"/>
      <c r="R104" s="5">
        <f t="shared" si="41"/>
        <v>0</v>
      </c>
      <c r="S104" s="1"/>
      <c r="T104" s="1">
        <f>SUM(OSRRefT22_7x_0)</f>
        <v>1600</v>
      </c>
      <c r="U104" s="1"/>
      <c r="V104" s="5">
        <f t="shared" si="42"/>
        <v>3.9728195577139443E-3</v>
      </c>
      <c r="W104" s="1"/>
      <c r="X104" s="1">
        <f t="shared" si="43"/>
        <v>-1600</v>
      </c>
      <c r="Y104" s="1"/>
      <c r="Z104" s="5">
        <f t="shared" si="44"/>
        <v>-1</v>
      </c>
    </row>
    <row r="105" spans="1:26" s="24" customFormat="1" hidden="1" outlineLevel="2" x14ac:dyDescent="0.25">
      <c r="A105" s="26"/>
      <c r="B105" s="11" t="str">
        <f>CONCATENATE("          ", "6408", " - ", "INVENTORY ADJUSTMENT")</f>
        <v xml:space="preserve">          6408 - INVENTORY ADJUSTMENT</v>
      </c>
      <c r="C105" s="11"/>
      <c r="D105" s="6"/>
      <c r="E105" s="2"/>
      <c r="F105" s="7">
        <f t="shared" si="37"/>
        <v>0</v>
      </c>
      <c r="G105" s="2"/>
      <c r="H105" s="6">
        <v>400</v>
      </c>
      <c r="I105" s="2"/>
      <c r="J105" s="7">
        <f t="shared" si="38"/>
        <v>3.3135566466177165E-3</v>
      </c>
      <c r="K105" s="2"/>
      <c r="L105" s="6">
        <f t="shared" si="39"/>
        <v>-400</v>
      </c>
      <c r="M105" s="2"/>
      <c r="N105" s="7">
        <f t="shared" si="40"/>
        <v>-1</v>
      </c>
      <c r="O105" s="11"/>
      <c r="P105" s="6"/>
      <c r="Q105" s="2"/>
      <c r="R105" s="7">
        <f t="shared" si="41"/>
        <v>0</v>
      </c>
      <c r="S105" s="2"/>
      <c r="T105" s="6">
        <v>1600</v>
      </c>
      <c r="U105" s="2"/>
      <c r="V105" s="7">
        <f t="shared" si="42"/>
        <v>3.9728195577139443E-3</v>
      </c>
      <c r="W105" s="2"/>
      <c r="X105" s="6">
        <f t="shared" si="43"/>
        <v>-1600</v>
      </c>
      <c r="Y105" s="2"/>
      <c r="Z105" s="7">
        <f t="shared" si="44"/>
        <v>-1</v>
      </c>
    </row>
    <row r="106" spans="1:26" s="27" customFormat="1" outlineLevel="1" collapsed="1" x14ac:dyDescent="0.25">
      <c r="A106" s="25"/>
      <c r="B106" s="13" t="str">
        <f>CONCATENATE("     ","Professional Services                             ")</f>
        <v xml:space="preserve">     Professional Services                             </v>
      </c>
      <c r="C106" s="13"/>
      <c r="D106" s="1">
        <f>SUM(OSRRefD22_8x_0)</f>
        <v>0</v>
      </c>
      <c r="E106" s="1"/>
      <c r="F106" s="5">
        <f t="shared" si="37"/>
        <v>0</v>
      </c>
      <c r="G106" s="1"/>
      <c r="H106" s="1">
        <f>SUM(OSRRefH22_8x_0)</f>
        <v>0</v>
      </c>
      <c r="I106" s="1"/>
      <c r="J106" s="5">
        <f t="shared" si="38"/>
        <v>0</v>
      </c>
      <c r="K106" s="1"/>
      <c r="L106" s="1">
        <f t="shared" si="39"/>
        <v>0</v>
      </c>
      <c r="M106" s="1"/>
      <c r="N106" s="5">
        <f t="shared" si="40"/>
        <v>0</v>
      </c>
      <c r="O106" s="13"/>
      <c r="P106" s="1">
        <f>SUM(OSRRefP22_8x_0)</f>
        <v>750</v>
      </c>
      <c r="Q106" s="1"/>
      <c r="R106" s="5">
        <f t="shared" si="41"/>
        <v>1.8448688637693728E-3</v>
      </c>
      <c r="S106" s="1"/>
      <c r="T106" s="1">
        <f>SUM(OSRRefT22_8x_0)</f>
        <v>750</v>
      </c>
      <c r="U106" s="1"/>
      <c r="V106" s="5">
        <f t="shared" si="42"/>
        <v>1.8622591676784113E-3</v>
      </c>
      <c r="W106" s="1"/>
      <c r="X106" s="1">
        <f t="shared" si="43"/>
        <v>0</v>
      </c>
      <c r="Y106" s="1"/>
      <c r="Z106" s="5">
        <f t="shared" si="44"/>
        <v>0</v>
      </c>
    </row>
    <row r="107" spans="1:26" s="24" customFormat="1" hidden="1" outlineLevel="2" x14ac:dyDescent="0.25">
      <c r="A107" s="26"/>
      <c r="B107" s="11" t="str">
        <f>CONCATENATE("          ", "6336", " - ", "PROFESSIONAL SERVICES")</f>
        <v xml:space="preserve">          6336 - PROFESSIONAL SERVICES</v>
      </c>
      <c r="C107" s="11"/>
      <c r="D107" s="6"/>
      <c r="E107" s="2"/>
      <c r="F107" s="7">
        <f t="shared" si="37"/>
        <v>0</v>
      </c>
      <c r="G107" s="2"/>
      <c r="H107" s="6"/>
      <c r="I107" s="2"/>
      <c r="J107" s="7">
        <f t="shared" si="38"/>
        <v>0</v>
      </c>
      <c r="K107" s="2"/>
      <c r="L107" s="6">
        <f t="shared" si="39"/>
        <v>0</v>
      </c>
      <c r="M107" s="2"/>
      <c r="N107" s="7">
        <f t="shared" si="40"/>
        <v>0</v>
      </c>
      <c r="O107" s="11"/>
      <c r="P107" s="6">
        <v>750</v>
      </c>
      <c r="Q107" s="2"/>
      <c r="R107" s="7">
        <f t="shared" si="41"/>
        <v>1.8448688637693728E-3</v>
      </c>
      <c r="S107" s="2"/>
      <c r="T107" s="6">
        <v>750</v>
      </c>
      <c r="U107" s="2"/>
      <c r="V107" s="7">
        <f t="shared" si="42"/>
        <v>1.8622591676784113E-3</v>
      </c>
      <c r="W107" s="2"/>
      <c r="X107" s="6">
        <f t="shared" si="43"/>
        <v>0</v>
      </c>
      <c r="Y107" s="2"/>
      <c r="Z107" s="7">
        <f t="shared" si="44"/>
        <v>0</v>
      </c>
    </row>
    <row r="108" spans="1:26" s="27" customFormat="1" outlineLevel="1" collapsed="1" x14ac:dyDescent="0.25">
      <c r="A108" s="25"/>
      <c r="B108" s="13" t="str">
        <f>CONCATENATE("     ","Repair and Maintenance                            ")</f>
        <v xml:space="preserve">     Repair and Maintenance                            </v>
      </c>
      <c r="C108" s="13"/>
      <c r="D108" s="1">
        <f>SUM(OSRRefD22_9x_0)</f>
        <v>58.62</v>
      </c>
      <c r="E108" s="1"/>
      <c r="F108" s="5">
        <f t="shared" si="37"/>
        <v>5.0620008754446424E-4</v>
      </c>
      <c r="G108" s="1"/>
      <c r="H108" s="1">
        <f>SUM(OSRRefH22_9x_0)</f>
        <v>0</v>
      </c>
      <c r="I108" s="1"/>
      <c r="J108" s="5">
        <f t="shared" si="38"/>
        <v>0</v>
      </c>
      <c r="K108" s="1"/>
      <c r="L108" s="1">
        <f t="shared" si="39"/>
        <v>58.62</v>
      </c>
      <c r="M108" s="1"/>
      <c r="N108" s="5">
        <f t="shared" si="40"/>
        <v>0</v>
      </c>
      <c r="O108" s="13"/>
      <c r="P108" s="1">
        <f>SUM(OSRRefP22_9x_0)</f>
        <v>68.42</v>
      </c>
      <c r="Q108" s="1"/>
      <c r="R108" s="5">
        <f t="shared" si="41"/>
        <v>1.6830123687880066E-4</v>
      </c>
      <c r="S108" s="1"/>
      <c r="T108" s="1">
        <f>SUM(OSRRefT22_9x_0)</f>
        <v>49.62</v>
      </c>
      <c r="U108" s="1"/>
      <c r="V108" s="5">
        <f t="shared" si="42"/>
        <v>1.2320706653360367E-4</v>
      </c>
      <c r="W108" s="1"/>
      <c r="X108" s="1">
        <f t="shared" si="43"/>
        <v>18.800000000000004</v>
      </c>
      <c r="Y108" s="1"/>
      <c r="Z108" s="5">
        <f t="shared" si="44"/>
        <v>0.37887948407900052</v>
      </c>
    </row>
    <row r="109" spans="1:26" s="24" customFormat="1" hidden="1" outlineLevel="2" x14ac:dyDescent="0.25">
      <c r="A109" s="26"/>
      <c r="B109" s="11" t="str">
        <f>CONCATENATE("          ", "6373", " - ", "MAINTENANCE CONTRACTS")</f>
        <v xml:space="preserve">          6373 - MAINTENANCE CONTRACTS</v>
      </c>
      <c r="C109" s="11"/>
      <c r="D109" s="6">
        <v>58.62</v>
      </c>
      <c r="E109" s="2"/>
      <c r="F109" s="7">
        <f t="shared" si="37"/>
        <v>5.0620008754446424E-4</v>
      </c>
      <c r="G109" s="2"/>
      <c r="H109" s="6"/>
      <c r="I109" s="2"/>
      <c r="J109" s="7">
        <f t="shared" si="38"/>
        <v>0</v>
      </c>
      <c r="K109" s="2"/>
      <c r="L109" s="6">
        <f t="shared" si="39"/>
        <v>58.62</v>
      </c>
      <c r="M109" s="2"/>
      <c r="N109" s="7">
        <f t="shared" si="40"/>
        <v>0</v>
      </c>
      <c r="O109" s="11"/>
      <c r="P109" s="6">
        <v>58.62</v>
      </c>
      <c r="Q109" s="2"/>
      <c r="R109" s="7">
        <f t="shared" si="41"/>
        <v>1.4419495039221417E-4</v>
      </c>
      <c r="S109" s="2"/>
      <c r="T109" s="6">
        <v>49.62</v>
      </c>
      <c r="U109" s="2"/>
      <c r="V109" s="7">
        <f t="shared" si="42"/>
        <v>1.2320706653360367E-4</v>
      </c>
      <c r="W109" s="2"/>
      <c r="X109" s="6">
        <f t="shared" si="43"/>
        <v>9</v>
      </c>
      <c r="Y109" s="2"/>
      <c r="Z109" s="7">
        <f t="shared" si="44"/>
        <v>0.18137847642079807</v>
      </c>
    </row>
    <row r="110" spans="1:26" s="24" customFormat="1" hidden="1" outlineLevel="2" x14ac:dyDescent="0.25">
      <c r="A110" s="26"/>
      <c r="B110" s="11" t="str">
        <f>CONCATENATE("          ", "6375", " - ", "OUTSIDE REPAIRS &amp; MAINTENANCE")</f>
        <v xml:space="preserve">          6375 - OUTSIDE REPAIRS &amp; MAINTENANCE</v>
      </c>
      <c r="C110" s="11"/>
      <c r="D110" s="6"/>
      <c r="E110" s="2"/>
      <c r="F110" s="7">
        <f t="shared" si="37"/>
        <v>0</v>
      </c>
      <c r="G110" s="2"/>
      <c r="H110" s="6"/>
      <c r="I110" s="2"/>
      <c r="J110" s="7">
        <f t="shared" si="38"/>
        <v>0</v>
      </c>
      <c r="K110" s="2"/>
      <c r="L110" s="6">
        <f t="shared" si="39"/>
        <v>0</v>
      </c>
      <c r="M110" s="2"/>
      <c r="N110" s="7">
        <f t="shared" si="40"/>
        <v>0</v>
      </c>
      <c r="O110" s="11"/>
      <c r="P110" s="6">
        <v>9.8000000000000007</v>
      </c>
      <c r="Q110" s="2"/>
      <c r="R110" s="7">
        <f t="shared" si="41"/>
        <v>2.4106286486586471E-5</v>
      </c>
      <c r="S110" s="2"/>
      <c r="T110" s="6"/>
      <c r="U110" s="2"/>
      <c r="V110" s="7">
        <f t="shared" si="42"/>
        <v>0</v>
      </c>
      <c r="W110" s="2"/>
      <c r="X110" s="6">
        <f t="shared" si="43"/>
        <v>9.8000000000000007</v>
      </c>
      <c r="Y110" s="2"/>
      <c r="Z110" s="7">
        <f t="shared" si="44"/>
        <v>0</v>
      </c>
    </row>
    <row r="111" spans="1:26" s="27" customFormat="1" outlineLevel="1" collapsed="1" x14ac:dyDescent="0.25">
      <c r="A111" s="25"/>
      <c r="B111" s="13" t="str">
        <f>CONCATENATE("     ","Services                                          ")</f>
        <v xml:space="preserve">     Services                                          </v>
      </c>
      <c r="C111" s="13"/>
      <c r="D111" s="1">
        <f>SUM(OSRRefD22_10x_0)</f>
        <v>274.26</v>
      </c>
      <c r="E111" s="1"/>
      <c r="F111" s="5">
        <f t="shared" ref="F111:F113" si="45">IF(D$12=0,0,D111/D$12)</f>
        <v>2.3683117708963621E-3</v>
      </c>
      <c r="G111" s="1"/>
      <c r="H111" s="1">
        <f>SUM(OSRRefH22_10x_0)</f>
        <v>238.2</v>
      </c>
      <c r="I111" s="1"/>
      <c r="J111" s="5">
        <f t="shared" ref="J111:J113" si="46">IF(H$12=0,0,H111/H$12)</f>
        <v>1.9732229830608503E-3</v>
      </c>
      <c r="K111" s="1"/>
      <c r="L111" s="1">
        <f t="shared" ref="L111:L113" si="47">+D111-H111</f>
        <v>36.06</v>
      </c>
      <c r="M111" s="1"/>
      <c r="N111" s="5">
        <f t="shared" ref="N111:N113" si="48">IF(H111=0,0,L111/H111)</f>
        <v>0.15138539042821161</v>
      </c>
      <c r="O111" s="13"/>
      <c r="P111" s="1">
        <f>SUM(OSRRefP22_10x_0)</f>
        <v>970.22</v>
      </c>
      <c r="Q111" s="1"/>
      <c r="R111" s="5">
        <f t="shared" ref="R111:R113" si="49">IF(P$12=0,0,P111/P$12)</f>
        <v>2.3865715586750946E-3</v>
      </c>
      <c r="S111" s="1"/>
      <c r="T111" s="1">
        <f>SUM(OSRRefT22_10x_0)</f>
        <v>838.12</v>
      </c>
      <c r="U111" s="1"/>
      <c r="V111" s="5">
        <f t="shared" ref="V111:V113" si="50">IF(T$12=0,0,T111/T$12)</f>
        <v>2.0810622048195067E-3</v>
      </c>
      <c r="W111" s="1"/>
      <c r="X111" s="1">
        <f t="shared" ref="X111:X113" si="51">+P111-T111</f>
        <v>132.10000000000002</v>
      </c>
      <c r="Y111" s="1"/>
      <c r="Z111" s="5">
        <f t="shared" ref="Z111:Z113" si="52">IF(T111=0,0,X111/T111)</f>
        <v>0.15761466138500457</v>
      </c>
    </row>
    <row r="112" spans="1:26" s="24" customFormat="1" hidden="1" outlineLevel="2" x14ac:dyDescent="0.25">
      <c r="A112" s="26"/>
      <c r="B112" s="11" t="str">
        <f>CONCATENATE("          ", "6282", " - ", "JANITORIAL/EXTERMINATOR EXPENS")</f>
        <v xml:space="preserve">          6282 - JANITORIAL/EXTERMINATOR EXPENS</v>
      </c>
      <c r="C112" s="11"/>
      <c r="D112" s="6">
        <v>44</v>
      </c>
      <c r="E112" s="2"/>
      <c r="F112" s="7">
        <f t="shared" si="45"/>
        <v>3.7995230044279128E-4</v>
      </c>
      <c r="G112" s="2"/>
      <c r="H112" s="6">
        <v>41.5</v>
      </c>
      <c r="I112" s="2"/>
      <c r="J112" s="7">
        <f t="shared" si="46"/>
        <v>3.4378150208658811E-4</v>
      </c>
      <c r="K112" s="2"/>
      <c r="L112" s="6">
        <f t="shared" si="47"/>
        <v>2.5</v>
      </c>
      <c r="M112" s="2"/>
      <c r="N112" s="7">
        <f t="shared" si="48"/>
        <v>6.0240963855421686E-2</v>
      </c>
      <c r="O112" s="11"/>
      <c r="P112" s="6">
        <v>176</v>
      </c>
      <c r="Q112" s="2"/>
      <c r="R112" s="7">
        <f t="shared" si="49"/>
        <v>4.3292922669787946E-4</v>
      </c>
      <c r="S112" s="2"/>
      <c r="T112" s="6">
        <v>124.5</v>
      </c>
      <c r="U112" s="2"/>
      <c r="V112" s="7">
        <f t="shared" si="50"/>
        <v>3.091350218346163E-4</v>
      </c>
      <c r="W112" s="2"/>
      <c r="X112" s="6">
        <f t="shared" si="51"/>
        <v>51.5</v>
      </c>
      <c r="Y112" s="2"/>
      <c r="Z112" s="7">
        <f t="shared" si="52"/>
        <v>0.41365461847389556</v>
      </c>
    </row>
    <row r="113" spans="1:26" s="24" customFormat="1" hidden="1" outlineLevel="2" x14ac:dyDescent="0.25">
      <c r="A113" s="26"/>
      <c r="B113" s="11" t="str">
        <f>CONCATENATE("          ", "6285", " - ", "JANITORIAL SERVICES")</f>
        <v xml:space="preserve">          6285 - JANITORIAL SERVICES</v>
      </c>
      <c r="C113" s="11"/>
      <c r="D113" s="6">
        <v>230.26</v>
      </c>
      <c r="E113" s="2"/>
      <c r="F113" s="7">
        <f t="shared" si="45"/>
        <v>1.9883594704535709E-3</v>
      </c>
      <c r="G113" s="2"/>
      <c r="H113" s="6">
        <v>196.7</v>
      </c>
      <c r="I113" s="2"/>
      <c r="J113" s="7">
        <f t="shared" si="46"/>
        <v>1.6294414809742621E-3</v>
      </c>
      <c r="K113" s="2"/>
      <c r="L113" s="6">
        <f t="shared" si="47"/>
        <v>33.56</v>
      </c>
      <c r="M113" s="2"/>
      <c r="N113" s="7">
        <f t="shared" si="48"/>
        <v>0.1706151499745806</v>
      </c>
      <c r="O113" s="11"/>
      <c r="P113" s="6">
        <v>794.22</v>
      </c>
      <c r="Q113" s="2"/>
      <c r="R113" s="7">
        <f t="shared" si="49"/>
        <v>1.953642331977215E-3</v>
      </c>
      <c r="S113" s="2"/>
      <c r="T113" s="6">
        <v>713.62</v>
      </c>
      <c r="U113" s="2"/>
      <c r="V113" s="7">
        <f t="shared" si="50"/>
        <v>1.7719271829848904E-3</v>
      </c>
      <c r="W113" s="2"/>
      <c r="X113" s="6">
        <f t="shared" si="51"/>
        <v>80.600000000000023</v>
      </c>
      <c r="Y113" s="2"/>
      <c r="Z113" s="7">
        <f t="shared" si="52"/>
        <v>0.11294526498696789</v>
      </c>
    </row>
    <row r="114" spans="1:26" s="27" customFormat="1" outlineLevel="1" collapsed="1" x14ac:dyDescent="0.25">
      <c r="A114" s="25"/>
      <c r="B114" s="13" t="str">
        <f>CONCATENATE("     ","Subscriptions &amp; Dues                              ")</f>
        <v xml:space="preserve">     Subscriptions &amp; Dues                              </v>
      </c>
      <c r="C114" s="13"/>
      <c r="D114" s="1">
        <f>SUM(OSRRefD22_11x_0)</f>
        <v>0</v>
      </c>
      <c r="E114" s="1"/>
      <c r="F114" s="5">
        <f t="shared" ref="F114:F119" si="53">IF(D$12=0,0,D114/D$12)</f>
        <v>0</v>
      </c>
      <c r="G114" s="1"/>
      <c r="H114" s="1">
        <f>SUM(OSRRefH22_11x_0)</f>
        <v>0</v>
      </c>
      <c r="I114" s="1"/>
      <c r="J114" s="5">
        <f t="shared" ref="J114:J119" si="54">IF(H$12=0,0,H114/H$12)</f>
        <v>0</v>
      </c>
      <c r="K114" s="1"/>
      <c r="L114" s="1">
        <f t="shared" ref="L114:L119" si="55">+D114-H114</f>
        <v>0</v>
      </c>
      <c r="M114" s="1"/>
      <c r="N114" s="5">
        <f t="shared" ref="N114:N119" si="56">IF(H114=0,0,L114/H114)</f>
        <v>0</v>
      </c>
      <c r="O114" s="13"/>
      <c r="P114" s="1">
        <f>SUM(OSRRefP22_11x_0)</f>
        <v>120</v>
      </c>
      <c r="Q114" s="1"/>
      <c r="R114" s="5">
        <f t="shared" ref="R114:R119" si="57">IF(P$12=0,0,P114/P$12)</f>
        <v>2.9517901820309963E-4</v>
      </c>
      <c r="S114" s="1"/>
      <c r="T114" s="1">
        <f>SUM(OSRRefT22_11x_0)</f>
        <v>120</v>
      </c>
      <c r="U114" s="1"/>
      <c r="V114" s="5">
        <f t="shared" ref="V114:V119" si="58">IF(T$12=0,0,T114/T$12)</f>
        <v>2.9796146682854583E-4</v>
      </c>
      <c r="W114" s="1"/>
      <c r="X114" s="1">
        <f t="shared" ref="X114:X119" si="59">+P114-T114</f>
        <v>0</v>
      </c>
      <c r="Y114" s="1"/>
      <c r="Z114" s="5">
        <f t="shared" ref="Z114:Z119" si="60">IF(T114=0,0,X114/T114)</f>
        <v>0</v>
      </c>
    </row>
    <row r="115" spans="1:26" s="24" customFormat="1" hidden="1" outlineLevel="2" x14ac:dyDescent="0.25">
      <c r="A115" s="26"/>
      <c r="B115" s="11" t="str">
        <f>CONCATENATE("          ", "6258", " - ", "MEMBERSHIP DUES")</f>
        <v xml:space="preserve">          6258 - MEMBERSHIP DUES</v>
      </c>
      <c r="C115" s="11"/>
      <c r="D115" s="6"/>
      <c r="E115" s="2"/>
      <c r="F115" s="7">
        <f t="shared" si="53"/>
        <v>0</v>
      </c>
      <c r="G115" s="2"/>
      <c r="H115" s="6"/>
      <c r="I115" s="2"/>
      <c r="J115" s="7">
        <f t="shared" si="54"/>
        <v>0</v>
      </c>
      <c r="K115" s="2"/>
      <c r="L115" s="6">
        <f t="shared" si="55"/>
        <v>0</v>
      </c>
      <c r="M115" s="2"/>
      <c r="N115" s="7">
        <f t="shared" si="56"/>
        <v>0</v>
      </c>
      <c r="O115" s="11"/>
      <c r="P115" s="6">
        <v>120</v>
      </c>
      <c r="Q115" s="2"/>
      <c r="R115" s="7">
        <f t="shared" si="57"/>
        <v>2.9517901820309963E-4</v>
      </c>
      <c r="S115" s="2"/>
      <c r="T115" s="6">
        <v>120</v>
      </c>
      <c r="U115" s="2"/>
      <c r="V115" s="7">
        <f t="shared" si="58"/>
        <v>2.9796146682854583E-4</v>
      </c>
      <c r="W115" s="2"/>
      <c r="X115" s="6">
        <f t="shared" si="59"/>
        <v>0</v>
      </c>
      <c r="Y115" s="2"/>
      <c r="Z115" s="7">
        <f t="shared" si="60"/>
        <v>0</v>
      </c>
    </row>
    <row r="116" spans="1:26" s="27" customFormat="1" outlineLevel="1" collapsed="1" x14ac:dyDescent="0.25">
      <c r="A116" s="25"/>
      <c r="B116" s="13" t="str">
        <f>CONCATENATE("     ","Supplies                                          ")</f>
        <v xml:space="preserve">     Supplies                                          </v>
      </c>
      <c r="C116" s="13"/>
      <c r="D116" s="1">
        <f>SUM(OSRRefD22_12x_0)</f>
        <v>217.44</v>
      </c>
      <c r="E116" s="1"/>
      <c r="F116" s="5">
        <f t="shared" si="53"/>
        <v>1.8776551865518304E-3</v>
      </c>
      <c r="G116" s="1"/>
      <c r="H116" s="1">
        <f>SUM(OSRRefH22_12x_0)</f>
        <v>123.24000000000001</v>
      </c>
      <c r="I116" s="1"/>
      <c r="J116" s="5">
        <f t="shared" si="54"/>
        <v>1.0209068028229186E-3</v>
      </c>
      <c r="K116" s="1"/>
      <c r="L116" s="1">
        <f t="shared" si="55"/>
        <v>94.199999999999989</v>
      </c>
      <c r="M116" s="1"/>
      <c r="N116" s="5">
        <f t="shared" si="56"/>
        <v>0.76436222005842247</v>
      </c>
      <c r="O116" s="13"/>
      <c r="P116" s="1">
        <f>SUM(OSRRefP22_12x_0)</f>
        <v>789.4</v>
      </c>
      <c r="Q116" s="1"/>
      <c r="R116" s="5">
        <f t="shared" si="57"/>
        <v>1.941785974746057E-3</v>
      </c>
      <c r="S116" s="1"/>
      <c r="T116" s="1">
        <f>SUM(OSRRefT22_12x_0)</f>
        <v>795.26</v>
      </c>
      <c r="U116" s="1"/>
      <c r="V116" s="5">
        <f t="shared" si="58"/>
        <v>1.9746403009172444E-3</v>
      </c>
      <c r="W116" s="1"/>
      <c r="X116" s="1">
        <f t="shared" si="59"/>
        <v>-5.8600000000000136</v>
      </c>
      <c r="Y116" s="1"/>
      <c r="Z116" s="5">
        <f t="shared" si="60"/>
        <v>-7.3686593063903797E-3</v>
      </c>
    </row>
    <row r="117" spans="1:26" s="24" customFormat="1" hidden="1" outlineLevel="2" x14ac:dyDescent="0.25">
      <c r="A117" s="26"/>
      <c r="B117" s="11" t="str">
        <f>CONCATENATE("          ", "6241", " - ", "OFFICE EXPENSE")</f>
        <v xml:space="preserve">          6241 - OFFICE EXPENSE</v>
      </c>
      <c r="C117" s="11"/>
      <c r="D117" s="6">
        <v>217.54</v>
      </c>
      <c r="E117" s="2"/>
      <c r="F117" s="7">
        <f t="shared" si="53"/>
        <v>1.8785187145073821E-3</v>
      </c>
      <c r="G117" s="2"/>
      <c r="H117" s="6">
        <v>123.84</v>
      </c>
      <c r="I117" s="2"/>
      <c r="J117" s="7">
        <f t="shared" si="54"/>
        <v>1.0258771377928452E-3</v>
      </c>
      <c r="K117" s="2"/>
      <c r="L117" s="6">
        <f t="shared" si="55"/>
        <v>93.699999999999989</v>
      </c>
      <c r="M117" s="2"/>
      <c r="N117" s="7">
        <f t="shared" si="56"/>
        <v>0.75662144702842371</v>
      </c>
      <c r="O117" s="11"/>
      <c r="P117" s="6">
        <v>789.5</v>
      </c>
      <c r="Q117" s="2"/>
      <c r="R117" s="7">
        <f t="shared" si="57"/>
        <v>1.9420319572612263E-3</v>
      </c>
      <c r="S117" s="2"/>
      <c r="T117" s="6">
        <v>792.33</v>
      </c>
      <c r="U117" s="2"/>
      <c r="V117" s="7">
        <f t="shared" si="58"/>
        <v>1.967365075102181E-3</v>
      </c>
      <c r="W117" s="2"/>
      <c r="X117" s="6">
        <f t="shared" si="59"/>
        <v>-2.8300000000000409</v>
      </c>
      <c r="Y117" s="2"/>
      <c r="Z117" s="7">
        <f t="shared" si="60"/>
        <v>-3.571744096525489E-3</v>
      </c>
    </row>
    <row r="118" spans="1:26" s="24" customFormat="1" hidden="1" outlineLevel="2" x14ac:dyDescent="0.25">
      <c r="A118" s="26"/>
      <c r="B118" s="11" t="str">
        <f>CONCATENATE("          ", "6245", " - ", "PRINTING")</f>
        <v xml:space="preserve">          6245 - PRINTING</v>
      </c>
      <c r="C118" s="11"/>
      <c r="D118" s="6"/>
      <c r="E118" s="2"/>
      <c r="F118" s="7">
        <f t="shared" si="53"/>
        <v>0</v>
      </c>
      <c r="G118" s="2"/>
      <c r="H118" s="6"/>
      <c r="I118" s="2"/>
      <c r="J118" s="7">
        <f t="shared" si="54"/>
        <v>0</v>
      </c>
      <c r="K118" s="2"/>
      <c r="L118" s="6">
        <f t="shared" si="55"/>
        <v>0</v>
      </c>
      <c r="M118" s="2"/>
      <c r="N118" s="7">
        <f t="shared" si="56"/>
        <v>0</v>
      </c>
      <c r="O118" s="11"/>
      <c r="P118" s="6"/>
      <c r="Q118" s="2"/>
      <c r="R118" s="7">
        <f t="shared" si="57"/>
        <v>0</v>
      </c>
      <c r="S118" s="2"/>
      <c r="T118" s="6">
        <v>3.53</v>
      </c>
      <c r="U118" s="2"/>
      <c r="V118" s="7">
        <f t="shared" si="58"/>
        <v>8.7650331492063887E-6</v>
      </c>
      <c r="W118" s="2"/>
      <c r="X118" s="6">
        <f t="shared" si="59"/>
        <v>-3.53</v>
      </c>
      <c r="Y118" s="2"/>
      <c r="Z118" s="7">
        <f t="shared" si="60"/>
        <v>-1</v>
      </c>
    </row>
    <row r="119" spans="1:26" s="24" customFormat="1" hidden="1" outlineLevel="2" x14ac:dyDescent="0.25">
      <c r="A119" s="26"/>
      <c r="B119" s="11" t="str">
        <f>CONCATENATE("          ", "6247", " - ", "STORE SUPPLIES")</f>
        <v xml:space="preserve">          6247 - STORE SUPPLIES</v>
      </c>
      <c r="C119" s="11"/>
      <c r="D119" s="6">
        <v>-0.1</v>
      </c>
      <c r="E119" s="2"/>
      <c r="F119" s="7">
        <f t="shared" si="53"/>
        <v>-8.6352795555179839E-7</v>
      </c>
      <c r="G119" s="2"/>
      <c r="H119" s="6">
        <v>-0.6</v>
      </c>
      <c r="I119" s="2"/>
      <c r="J119" s="7">
        <f t="shared" si="54"/>
        <v>-4.970334969926575E-6</v>
      </c>
      <c r="K119" s="2"/>
      <c r="L119" s="6">
        <f t="shared" si="55"/>
        <v>0.5</v>
      </c>
      <c r="M119" s="2"/>
      <c r="N119" s="7">
        <f t="shared" si="56"/>
        <v>-0.83333333333333337</v>
      </c>
      <c r="O119" s="11"/>
      <c r="P119" s="6">
        <v>-0.1</v>
      </c>
      <c r="Q119" s="2"/>
      <c r="R119" s="7">
        <f t="shared" si="57"/>
        <v>-2.4598251516924973E-7</v>
      </c>
      <c r="S119" s="2"/>
      <c r="T119" s="6">
        <v>-0.6</v>
      </c>
      <c r="U119" s="2"/>
      <c r="V119" s="7">
        <f t="shared" si="58"/>
        <v>-1.4898073341427289E-6</v>
      </c>
      <c r="W119" s="2"/>
      <c r="X119" s="6">
        <f t="shared" si="59"/>
        <v>0.5</v>
      </c>
      <c r="Y119" s="2"/>
      <c r="Z119" s="7">
        <f t="shared" si="60"/>
        <v>-0.83333333333333337</v>
      </c>
    </row>
    <row r="120" spans="1:26" s="27" customFormat="1" outlineLevel="1" collapsed="1" x14ac:dyDescent="0.25">
      <c r="A120" s="25"/>
      <c r="B120" s="13" t="str">
        <f>CONCATENATE("     ","Telephone/Data Lines                              ")</f>
        <v xml:space="preserve">     Telephone/Data Lines                              </v>
      </c>
      <c r="C120" s="13"/>
      <c r="D120" s="1">
        <f>SUM(OSRRefD22_13x_0)</f>
        <v>87.49</v>
      </c>
      <c r="E120" s="1"/>
      <c r="F120" s="5">
        <f t="shared" ref="F120:F123" si="61">IF(D$12=0,0,D120/D$12)</f>
        <v>7.5550060831226838E-4</v>
      </c>
      <c r="G120" s="1"/>
      <c r="H120" s="1">
        <f>SUM(OSRRefH22_13x_0)</f>
        <v>143.4</v>
      </c>
      <c r="I120" s="1"/>
      <c r="J120" s="5">
        <f t="shared" ref="J120:J123" si="62">IF(H$12=0,0,H120/H$12)</f>
        <v>1.1879100578124516E-3</v>
      </c>
      <c r="K120" s="1"/>
      <c r="L120" s="1">
        <f t="shared" ref="L120:L123" si="63">+D120-H120</f>
        <v>-55.910000000000011</v>
      </c>
      <c r="M120" s="1"/>
      <c r="N120" s="5">
        <f t="shared" ref="N120:N123" si="64">IF(H120=0,0,L120/H120)</f>
        <v>-0.38988842398884244</v>
      </c>
      <c r="O120" s="13"/>
      <c r="P120" s="1">
        <f>SUM(OSRRefP22_13x_0)</f>
        <v>389.99</v>
      </c>
      <c r="Q120" s="1"/>
      <c r="R120" s="5">
        <f t="shared" ref="R120:R123" si="65">IF(P$12=0,0,P120/P$12)</f>
        <v>9.5930721090855696E-4</v>
      </c>
      <c r="S120" s="1"/>
      <c r="T120" s="1">
        <f>SUM(OSRRefT22_13x_0)</f>
        <v>503.75</v>
      </c>
      <c r="U120" s="1"/>
      <c r="V120" s="5">
        <f t="shared" ref="V120:V123" si="66">IF(T$12=0,0,T120/T$12)</f>
        <v>1.2508174076239996E-3</v>
      </c>
      <c r="W120" s="1"/>
      <c r="X120" s="1">
        <f t="shared" ref="X120:X123" si="67">+P120-T120</f>
        <v>-113.75999999999999</v>
      </c>
      <c r="Y120" s="1"/>
      <c r="Z120" s="5">
        <f t="shared" ref="Z120:Z123" si="68">IF(T120=0,0,X120/T120)</f>
        <v>-0.22582630272952853</v>
      </c>
    </row>
    <row r="121" spans="1:26" s="24" customFormat="1" hidden="1" outlineLevel="2" x14ac:dyDescent="0.25">
      <c r="A121" s="26"/>
      <c r="B121" s="11" t="str">
        <f>CONCATENATE("          ", "6309", " - ", "TELEPHONE")</f>
        <v xml:space="preserve">          6309 - TELEPHONE</v>
      </c>
      <c r="C121" s="11"/>
      <c r="D121" s="6">
        <v>87.49</v>
      </c>
      <c r="E121" s="2"/>
      <c r="F121" s="7">
        <f t="shared" si="61"/>
        <v>7.5550060831226838E-4</v>
      </c>
      <c r="G121" s="2"/>
      <c r="H121" s="6">
        <v>143.4</v>
      </c>
      <c r="I121" s="2"/>
      <c r="J121" s="7">
        <f t="shared" si="62"/>
        <v>1.1879100578124516E-3</v>
      </c>
      <c r="K121" s="2"/>
      <c r="L121" s="6">
        <f t="shared" si="63"/>
        <v>-55.910000000000011</v>
      </c>
      <c r="M121" s="2"/>
      <c r="N121" s="7">
        <f t="shared" si="64"/>
        <v>-0.38988842398884244</v>
      </c>
      <c r="O121" s="11"/>
      <c r="P121" s="6">
        <v>389.99</v>
      </c>
      <c r="Q121" s="2"/>
      <c r="R121" s="7">
        <f t="shared" si="65"/>
        <v>9.5930721090855696E-4</v>
      </c>
      <c r="S121" s="2"/>
      <c r="T121" s="6">
        <v>503.75</v>
      </c>
      <c r="U121" s="2"/>
      <c r="V121" s="7">
        <f t="shared" si="66"/>
        <v>1.2508174076239996E-3</v>
      </c>
      <c r="W121" s="2"/>
      <c r="X121" s="6">
        <f t="shared" si="67"/>
        <v>-113.75999999999999</v>
      </c>
      <c r="Y121" s="2"/>
      <c r="Z121" s="7">
        <f t="shared" si="68"/>
        <v>-0.22582630272952853</v>
      </c>
    </row>
    <row r="122" spans="1:26" s="27" customFormat="1" outlineLevel="1" collapsed="1" x14ac:dyDescent="0.25">
      <c r="A122" s="25"/>
      <c r="B122" s="13" t="str">
        <f>CONCATENATE("     ","Training                                          ")</f>
        <v xml:space="preserve">     Training                                          </v>
      </c>
      <c r="C122" s="13"/>
      <c r="D122" s="1">
        <f>SUM(OSRRefD22_14x_0)</f>
        <v>80</v>
      </c>
      <c r="E122" s="1"/>
      <c r="F122" s="5">
        <f t="shared" si="61"/>
        <v>6.9082236444143873E-4</v>
      </c>
      <c r="G122" s="1"/>
      <c r="H122" s="1">
        <f>SUM(OSRRefH22_14x_0)</f>
        <v>0</v>
      </c>
      <c r="I122" s="1"/>
      <c r="J122" s="5">
        <f t="shared" si="62"/>
        <v>0</v>
      </c>
      <c r="K122" s="1"/>
      <c r="L122" s="1">
        <f t="shared" si="63"/>
        <v>80</v>
      </c>
      <c r="M122" s="1"/>
      <c r="N122" s="5">
        <f t="shared" si="64"/>
        <v>0</v>
      </c>
      <c r="O122" s="13"/>
      <c r="P122" s="1">
        <f>SUM(OSRRefP22_14x_0)</f>
        <v>80</v>
      </c>
      <c r="Q122" s="1"/>
      <c r="R122" s="5">
        <f t="shared" si="65"/>
        <v>1.9678601213539976E-4</v>
      </c>
      <c r="S122" s="1"/>
      <c r="T122" s="1">
        <f>SUM(OSRRefT22_14x_0)</f>
        <v>0</v>
      </c>
      <c r="U122" s="1"/>
      <c r="V122" s="5">
        <f t="shared" si="66"/>
        <v>0</v>
      </c>
      <c r="W122" s="1"/>
      <c r="X122" s="1">
        <f t="shared" si="67"/>
        <v>80</v>
      </c>
      <c r="Y122" s="1"/>
      <c r="Z122" s="5">
        <f t="shared" si="68"/>
        <v>0</v>
      </c>
    </row>
    <row r="123" spans="1:26" s="24" customFormat="1" hidden="1" outlineLevel="2" x14ac:dyDescent="0.25">
      <c r="A123" s="26"/>
      <c r="B123" s="11" t="str">
        <f>CONCATENATE("          ", "6376", " - ", "TRAINING")</f>
        <v xml:space="preserve">          6376 - TRAINING</v>
      </c>
      <c r="C123" s="11"/>
      <c r="D123" s="6">
        <v>80</v>
      </c>
      <c r="E123" s="2"/>
      <c r="F123" s="7">
        <f t="shared" si="61"/>
        <v>6.9082236444143873E-4</v>
      </c>
      <c r="G123" s="2"/>
      <c r="H123" s="6"/>
      <c r="I123" s="2"/>
      <c r="J123" s="7">
        <f t="shared" si="62"/>
        <v>0</v>
      </c>
      <c r="K123" s="2"/>
      <c r="L123" s="6">
        <f t="shared" si="63"/>
        <v>80</v>
      </c>
      <c r="M123" s="2"/>
      <c r="N123" s="7">
        <f t="shared" si="64"/>
        <v>0</v>
      </c>
      <c r="O123" s="11"/>
      <c r="P123" s="6">
        <v>80</v>
      </c>
      <c r="Q123" s="2"/>
      <c r="R123" s="7">
        <f t="shared" si="65"/>
        <v>1.9678601213539976E-4</v>
      </c>
      <c r="S123" s="2"/>
      <c r="T123" s="6"/>
      <c r="U123" s="2"/>
      <c r="V123" s="7">
        <f t="shared" si="66"/>
        <v>0</v>
      </c>
      <c r="W123" s="2"/>
      <c r="X123" s="6">
        <f t="shared" si="67"/>
        <v>80</v>
      </c>
      <c r="Y123" s="2"/>
      <c r="Z123" s="7">
        <f t="shared" si="68"/>
        <v>0</v>
      </c>
    </row>
    <row r="124" spans="1:26" s="55" customFormat="1" x14ac:dyDescent="0.25">
      <c r="A124" s="37"/>
      <c r="B124" s="37"/>
      <c r="C124" s="37"/>
      <c r="D124" s="1"/>
      <c r="E124" s="1"/>
      <c r="F124" s="5"/>
      <c r="G124" s="1"/>
      <c r="H124" s="1"/>
      <c r="I124" s="1"/>
      <c r="J124" s="5"/>
      <c r="K124" s="1"/>
      <c r="L124" s="1"/>
      <c r="M124" s="1"/>
      <c r="N124" s="5"/>
      <c r="O124" s="37"/>
      <c r="P124" s="1"/>
      <c r="Q124" s="1"/>
      <c r="R124" s="5"/>
      <c r="S124" s="1"/>
      <c r="T124" s="1"/>
      <c r="U124" s="1"/>
      <c r="V124" s="5"/>
      <c r="W124" s="1"/>
      <c r="X124" s="1"/>
      <c r="Y124" s="1"/>
      <c r="Z124" s="5"/>
    </row>
    <row r="125" spans="1:26" s="23" customFormat="1" x14ac:dyDescent="0.25">
      <c r="A125" s="10"/>
      <c r="B125" s="29" t="s">
        <v>0</v>
      </c>
      <c r="C125" s="10"/>
      <c r="D125" s="4">
        <f>SUM(0)</f>
        <v>0</v>
      </c>
      <c r="E125" s="4"/>
      <c r="F125" s="12">
        <f>IF(D$12=0,0,D125/D$12)</f>
        <v>0</v>
      </c>
      <c r="G125" s="4"/>
      <c r="H125" s="4">
        <f>SUM(0)</f>
        <v>0</v>
      </c>
      <c r="I125" s="4"/>
      <c r="J125" s="12">
        <f>IF(H$12=0,0,H125/H$12)</f>
        <v>0</v>
      </c>
      <c r="K125" s="4"/>
      <c r="L125" s="4">
        <f>+D125-H125</f>
        <v>0</v>
      </c>
      <c r="M125" s="4"/>
      <c r="N125" s="12">
        <f>IF(H125=0,0,L125/H125)</f>
        <v>0</v>
      </c>
      <c r="O125" s="10"/>
      <c r="P125" s="4">
        <f>SUM(0)</f>
        <v>0</v>
      </c>
      <c r="Q125" s="4"/>
      <c r="R125" s="12">
        <f>IF(P$12=0,0,P125/P$12)</f>
        <v>0</v>
      </c>
      <c r="S125" s="4"/>
      <c r="T125" s="4">
        <f>SUM(0)</f>
        <v>0</v>
      </c>
      <c r="U125" s="4"/>
      <c r="V125" s="12">
        <f>IF(T$12=0,0,T125/T$12)</f>
        <v>0</v>
      </c>
      <c r="W125" s="4"/>
      <c r="X125" s="4">
        <f>+P125-T125</f>
        <v>0</v>
      </c>
      <c r="Y125" s="4"/>
      <c r="Z125" s="12">
        <f>IF(T125=0,0,X125/T125)</f>
        <v>0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8" t="s">
        <v>3</v>
      </c>
      <c r="C127" s="28"/>
      <c r="D127" s="21">
        <f>+D76-D78+D125</f>
        <v>31178.57</v>
      </c>
      <c r="E127" s="14"/>
      <c r="F127" s="22">
        <f>IF(D$12=0,0,D127/D$12)</f>
        <v>0.26923566809128635</v>
      </c>
      <c r="G127" s="14"/>
      <c r="H127" s="21">
        <f>+H76-H78+H125</f>
        <v>29128.129999999983</v>
      </c>
      <c r="I127" s="14"/>
      <c r="J127" s="22">
        <f>IF(H$12=0,0,H127/H$12)</f>
        <v>0.24129427191261213</v>
      </c>
      <c r="K127" s="16"/>
      <c r="L127" s="21">
        <f>+D127-H127</f>
        <v>2050.4400000000169</v>
      </c>
      <c r="M127" s="16"/>
      <c r="N127" s="22">
        <f>IF(H127=0,0,L127/H127)</f>
        <v>7.0393808322059062E-2</v>
      </c>
      <c r="O127" s="29"/>
      <c r="P127" s="21">
        <f>+P76-P78+P125</f>
        <v>118231.64000000006</v>
      </c>
      <c r="Q127" s="14"/>
      <c r="R127" s="22">
        <f>IF(P$12=0,0,P127/P$12)</f>
        <v>0.29082916179785284</v>
      </c>
      <c r="S127" s="14"/>
      <c r="T127" s="21">
        <f>+T76-T78+T125</f>
        <v>105872.09999999999</v>
      </c>
      <c r="U127" s="14"/>
      <c r="V127" s="22">
        <f>IF(T$12=0,0,T127/T$12)</f>
        <v>0.26288171843515401</v>
      </c>
      <c r="W127" s="16"/>
      <c r="X127" s="21">
        <f>+P127-T127</f>
        <v>12359.540000000066</v>
      </c>
      <c r="Y127" s="16"/>
      <c r="Z127" s="22">
        <f>IF(T127=0,0,X127/T127)</f>
        <v>0.11674029324061833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1"/>
      <c r="B129" s="10" t="s">
        <v>13</v>
      </c>
      <c r="C129" s="10"/>
      <c r="D129" s="4">
        <v>9694.51</v>
      </c>
      <c r="E129" s="4"/>
      <c r="F129" s="12">
        <f>IF(D$12=0,0,D129/D$12)</f>
        <v>8.3714804003764659E-2</v>
      </c>
      <c r="G129" s="4"/>
      <c r="H129" s="4">
        <v>11930.56</v>
      </c>
      <c r="I129" s="4"/>
      <c r="J129" s="12">
        <f>IF(H$12=0,0,H129/H$12)</f>
        <v>9.8831465964678664E-2</v>
      </c>
      <c r="K129" s="4"/>
      <c r="L129" s="4">
        <f>+D129-H129</f>
        <v>-2236.0499999999993</v>
      </c>
      <c r="M129" s="4"/>
      <c r="N129" s="12">
        <f>IF(H129=0,0,L129/H129)</f>
        <v>-0.18742204892310163</v>
      </c>
      <c r="O129" s="10"/>
      <c r="P129" s="4">
        <v>40922.65</v>
      </c>
      <c r="Q129" s="4"/>
      <c r="R129" s="12">
        <f>IF(P$12=0,0,P129/P$12)</f>
        <v>0.10066256374390896</v>
      </c>
      <c r="S129" s="4"/>
      <c r="T129" s="4">
        <v>36987.25</v>
      </c>
      <c r="U129" s="4"/>
      <c r="V129" s="12">
        <f>IF(T$12=0,0,T129/T$12)</f>
        <v>9.1839793866284422E-2</v>
      </c>
      <c r="W129" s="4"/>
      <c r="X129" s="4">
        <f>+P129-T129</f>
        <v>3935.4000000000015</v>
      </c>
      <c r="Y129" s="4"/>
      <c r="Z129" s="12">
        <f>IF(T129=0,0,X129/T129)</f>
        <v>0.10639882662268758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4</v>
      </c>
      <c r="C131" s="28"/>
      <c r="D131" s="31">
        <f>+D127-D129</f>
        <v>21484.059999999998</v>
      </c>
      <c r="E131" s="14"/>
      <c r="F131" s="34">
        <f>IF(D$12=0,0,D131/D$12)</f>
        <v>0.18552086408752169</v>
      </c>
      <c r="G131" s="14"/>
      <c r="H131" s="31">
        <f>+H127-H129</f>
        <v>17197.569999999985</v>
      </c>
      <c r="I131" s="14"/>
      <c r="J131" s="34">
        <f>IF(H$12=0,0,H131/H$12)</f>
        <v>0.14246280594793348</v>
      </c>
      <c r="K131" s="16"/>
      <c r="L131" s="31">
        <f>D131-H131</f>
        <v>4286.4900000000125</v>
      </c>
      <c r="M131" s="16"/>
      <c r="N131" s="34">
        <f>IF(H131=0,0,L131/H131)</f>
        <v>0.2492497486563518</v>
      </c>
      <c r="O131" s="29"/>
      <c r="P131" s="31">
        <f>+P127-P129</f>
        <v>77308.990000000049</v>
      </c>
      <c r="Q131" s="14"/>
      <c r="R131" s="34">
        <f>IF(P$12=0,0,P131/P$12)</f>
        <v>0.19016659805394384</v>
      </c>
      <c r="S131" s="14"/>
      <c r="T131" s="31">
        <f>+T127-T129</f>
        <v>68884.849999999991</v>
      </c>
      <c r="U131" s="14"/>
      <c r="V131" s="34">
        <f>IF(T$12=0,0,T131/T$12)</f>
        <v>0.1710419245688696</v>
      </c>
      <c r="W131" s="16"/>
      <c r="X131" s="31">
        <f>P131-T131</f>
        <v>8424.1400000000576</v>
      </c>
      <c r="Y131" s="16"/>
      <c r="Z131" s="34">
        <f>IF(T131=0,0,X131/T131)</f>
        <v>0.12229307315033797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5</v>
      </c>
      <c r="C134" s="28"/>
      <c r="D134" s="36">
        <f>SUM(D131:D133)</f>
        <v>21484.059999999998</v>
      </c>
      <c r="E134" s="14"/>
      <c r="F134" s="33">
        <f>IF(D$12=0,0,D134/D$12)</f>
        <v>0.18552086408752169</v>
      </c>
      <c r="G134" s="14"/>
      <c r="H134" s="36">
        <f>SUM(H131:H133)</f>
        <v>17197.569999999985</v>
      </c>
      <c r="I134" s="14"/>
      <c r="J134" s="33">
        <f>IF(H$12=0,0,H134/H$12)</f>
        <v>0.14246280594793348</v>
      </c>
      <c r="K134" s="16"/>
      <c r="L134" s="36">
        <f>+D134-H134</f>
        <v>4286.4900000000125</v>
      </c>
      <c r="M134" s="16"/>
      <c r="N134" s="33">
        <f>IF(H134=0,0,L134/H134)</f>
        <v>0.2492497486563518</v>
      </c>
      <c r="O134" s="29"/>
      <c r="P134" s="36">
        <f>SUM(P131:P133)</f>
        <v>77308.990000000049</v>
      </c>
      <c r="Q134" s="14"/>
      <c r="R134" s="33">
        <f>IF(P$12=0,0,P134/P$12)</f>
        <v>0.19016659805394384</v>
      </c>
      <c r="S134" s="14"/>
      <c r="T134" s="36">
        <f>SUM(T131:T133)</f>
        <v>68884.849999999991</v>
      </c>
      <c r="U134" s="14"/>
      <c r="V134" s="33">
        <f>IF(T$12=0,0,T134/T$12)</f>
        <v>0.1710419245688696</v>
      </c>
      <c r="W134" s="16"/>
      <c r="X134" s="36">
        <f>+P134-T134</f>
        <v>8424.1400000000576</v>
      </c>
      <c r="Y134" s="16"/>
      <c r="Z134" s="33">
        <f>IF(T134=0,0,X134/T134)</f>
        <v>0.12229307315033797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A136" s="9"/>
      <c r="B136" s="61">
        <v>43791.354813194448</v>
      </c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A137" s="9"/>
      <c r="B137" s="56" t="s">
        <v>313</v>
      </c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57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","307", " - ", "Art Store")</f>
        <v>Department 307 - Art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72753.589999999967</v>
      </c>
      <c r="E12" s="4"/>
      <c r="F12" s="12"/>
      <c r="G12" s="4"/>
      <c r="H12" s="4">
        <f>SUM(OSRRefH13x_0)</f>
        <v>79035.339999999982</v>
      </c>
      <c r="I12" s="4"/>
      <c r="J12" s="12"/>
      <c r="K12" s="4"/>
      <c r="L12" s="4">
        <f t="shared" ref="L12:L45" si="0">+D12-H12</f>
        <v>-6281.7500000000146</v>
      </c>
      <c r="M12" s="4"/>
      <c r="N12" s="12">
        <f t="shared" ref="N12:N45" si="1">IF(H12=0,0,L12/H12)</f>
        <v>-7.9480267940898533E-2</v>
      </c>
      <c r="O12" s="10"/>
      <c r="P12" s="4">
        <f>SUM(OSRRefP13x_0)</f>
        <v>201112.60999999996</v>
      </c>
      <c r="Q12" s="4"/>
      <c r="R12" s="12"/>
      <c r="S12" s="4"/>
      <c r="T12" s="4">
        <f>SUM(OSRRefT13x_0)</f>
        <v>202144.17999999991</v>
      </c>
      <c r="U12" s="4"/>
      <c r="V12" s="12"/>
      <c r="W12" s="4"/>
      <c r="X12" s="4">
        <f t="shared" ref="X12:X45" si="2">+P12-T12</f>
        <v>-1031.5699999999488</v>
      </c>
      <c r="Y12" s="4"/>
      <c r="Z12" s="12">
        <f t="shared" ref="Z12:Z45" si="3">IF(T12=0,0,X12/T12)</f>
        <v>-5.1031397490640057E-3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--16.47</f>
        <v>16.47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16.47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--39.9</f>
        <v>39.9</v>
      </c>
      <c r="U14" s="2"/>
      <c r="V14" s="19"/>
      <c r="W14" s="2"/>
      <c r="X14" s="2">
        <f t="shared" si="2"/>
        <v>-39.9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--621.4</f>
        <v>621.4</v>
      </c>
      <c r="E15" s="2"/>
      <c r="F15" s="19"/>
      <c r="G15" s="2"/>
      <c r="H15" s="2">
        <f>--529.85</f>
        <v>529.85</v>
      </c>
      <c r="I15" s="2"/>
      <c r="J15" s="19"/>
      <c r="K15" s="2"/>
      <c r="L15" s="2">
        <f t="shared" si="0"/>
        <v>91.549999999999955</v>
      </c>
      <c r="M15" s="2"/>
      <c r="N15" s="19">
        <f t="shared" si="1"/>
        <v>0.17278475040105681</v>
      </c>
      <c r="O15" s="11"/>
      <c r="P15" s="2">
        <f>--1120.16</f>
        <v>1120.1600000000001</v>
      </c>
      <c r="Q15" s="2"/>
      <c r="R15" s="19"/>
      <c r="S15" s="2"/>
      <c r="T15" s="2">
        <f>--742.47</f>
        <v>742.47</v>
      </c>
      <c r="U15" s="2"/>
      <c r="V15" s="19"/>
      <c r="W15" s="2"/>
      <c r="X15" s="2">
        <f t="shared" si="2"/>
        <v>377.69000000000005</v>
      </c>
      <c r="Y15" s="2"/>
      <c r="Z15" s="19">
        <f t="shared" si="3"/>
        <v>0.50869395396447004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--1197.9</f>
        <v>1197.9000000000001</v>
      </c>
      <c r="E16" s="2"/>
      <c r="F16" s="19"/>
      <c r="G16" s="2"/>
      <c r="H16" s="2">
        <f>--969.02</f>
        <v>969.02</v>
      </c>
      <c r="I16" s="2"/>
      <c r="J16" s="19"/>
      <c r="K16" s="2"/>
      <c r="L16" s="2">
        <f t="shared" si="0"/>
        <v>228.88000000000011</v>
      </c>
      <c r="M16" s="2"/>
      <c r="N16" s="19">
        <f t="shared" si="1"/>
        <v>0.23619739530659853</v>
      </c>
      <c r="O16" s="11"/>
      <c r="P16" s="2">
        <f>--2718.47</f>
        <v>2718.47</v>
      </c>
      <c r="Q16" s="2"/>
      <c r="R16" s="19"/>
      <c r="S16" s="2"/>
      <c r="T16" s="2">
        <f>--2762.65</f>
        <v>2762.65</v>
      </c>
      <c r="U16" s="2"/>
      <c r="V16" s="19"/>
      <c r="W16" s="2"/>
      <c r="X16" s="2">
        <f t="shared" si="2"/>
        <v>-44.180000000000291</v>
      </c>
      <c r="Y16" s="2"/>
      <c r="Z16" s="19">
        <f t="shared" si="3"/>
        <v>-1.5991891842976957E-2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--820.16</f>
        <v>820.16</v>
      </c>
      <c r="E17" s="2"/>
      <c r="F17" s="19"/>
      <c r="G17" s="2"/>
      <c r="H17" s="2">
        <f>--592.69</f>
        <v>592.69000000000005</v>
      </c>
      <c r="I17" s="2"/>
      <c r="J17" s="19"/>
      <c r="K17" s="2"/>
      <c r="L17" s="2">
        <f t="shared" si="0"/>
        <v>227.46999999999991</v>
      </c>
      <c r="M17" s="2"/>
      <c r="N17" s="19">
        <f t="shared" si="1"/>
        <v>0.38379253910138506</v>
      </c>
      <c r="O17" s="11"/>
      <c r="P17" s="2">
        <f>--5242.48</f>
        <v>5242.4799999999996</v>
      </c>
      <c r="Q17" s="2"/>
      <c r="R17" s="19"/>
      <c r="S17" s="2"/>
      <c r="T17" s="2">
        <f>--2797.77</f>
        <v>2797.77</v>
      </c>
      <c r="U17" s="2"/>
      <c r="V17" s="19"/>
      <c r="W17" s="2"/>
      <c r="X17" s="2">
        <f t="shared" si="2"/>
        <v>2444.7099999999996</v>
      </c>
      <c r="Y17" s="2"/>
      <c r="Z17" s="19">
        <f t="shared" si="3"/>
        <v>0.87380663885880527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--44128.18</f>
        <v>44128.18</v>
      </c>
      <c r="E18" s="2"/>
      <c r="F18" s="19"/>
      <c r="G18" s="2"/>
      <c r="H18" s="2">
        <f>--51539.49</f>
        <v>51539.49</v>
      </c>
      <c r="I18" s="2"/>
      <c r="J18" s="19"/>
      <c r="K18" s="2"/>
      <c r="L18" s="2">
        <f t="shared" si="0"/>
        <v>-7411.3099999999977</v>
      </c>
      <c r="M18" s="2"/>
      <c r="N18" s="19">
        <f t="shared" si="1"/>
        <v>-0.14379866777882352</v>
      </c>
      <c r="O18" s="11"/>
      <c r="P18" s="2">
        <f>--140725.33</f>
        <v>140725.32999999999</v>
      </c>
      <c r="Q18" s="2"/>
      <c r="R18" s="19"/>
      <c r="S18" s="2"/>
      <c r="T18" s="2">
        <f>--147627.5</f>
        <v>147627.5</v>
      </c>
      <c r="U18" s="2"/>
      <c r="V18" s="19"/>
      <c r="W18" s="2"/>
      <c r="X18" s="2">
        <f t="shared" si="2"/>
        <v>-6902.1700000000128</v>
      </c>
      <c r="Y18" s="2"/>
      <c r="Z18" s="19">
        <f t="shared" si="3"/>
        <v>-4.6753958442702158E-2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--100.46</f>
        <v>100.46</v>
      </c>
      <c r="E19" s="2"/>
      <c r="F19" s="19"/>
      <c r="G19" s="2"/>
      <c r="H19" s="2">
        <f>--130.84</f>
        <v>130.84</v>
      </c>
      <c r="I19" s="2"/>
      <c r="J19" s="19"/>
      <c r="K19" s="2"/>
      <c r="L19" s="2">
        <f t="shared" si="0"/>
        <v>-30.38000000000001</v>
      </c>
      <c r="M19" s="2"/>
      <c r="N19" s="19">
        <f t="shared" si="1"/>
        <v>-0.23219199021705908</v>
      </c>
      <c r="O19" s="11"/>
      <c r="P19" s="2">
        <f>--221.28</f>
        <v>221.28</v>
      </c>
      <c r="Q19" s="2"/>
      <c r="R19" s="19"/>
      <c r="S19" s="2"/>
      <c r="T19" s="2">
        <f>--245.9</f>
        <v>245.9</v>
      </c>
      <c r="U19" s="2"/>
      <c r="V19" s="19"/>
      <c r="W19" s="2"/>
      <c r="X19" s="2">
        <f t="shared" si="2"/>
        <v>-24.620000000000005</v>
      </c>
      <c r="Y19" s="2"/>
      <c r="Z19" s="19">
        <f t="shared" si="3"/>
        <v>-0.10012200081333877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>--32.07</f>
        <v>32.07</v>
      </c>
      <c r="E20" s="2"/>
      <c r="F20" s="19"/>
      <c r="G20" s="2"/>
      <c r="H20" s="2">
        <f>--127.15</f>
        <v>127.15</v>
      </c>
      <c r="I20" s="2"/>
      <c r="J20" s="19"/>
      <c r="K20" s="2"/>
      <c r="L20" s="2">
        <f t="shared" si="0"/>
        <v>-95.080000000000013</v>
      </c>
      <c r="M20" s="2"/>
      <c r="N20" s="19">
        <f t="shared" si="1"/>
        <v>-0.74777821470703898</v>
      </c>
      <c r="O20" s="11"/>
      <c r="P20" s="2">
        <f>--53.42</f>
        <v>53.42</v>
      </c>
      <c r="Q20" s="2"/>
      <c r="R20" s="19"/>
      <c r="S20" s="2"/>
      <c r="T20" s="2">
        <f>--183.3</f>
        <v>183.3</v>
      </c>
      <c r="U20" s="2"/>
      <c r="V20" s="19"/>
      <c r="W20" s="2"/>
      <c r="X20" s="2">
        <f t="shared" si="2"/>
        <v>-129.88</v>
      </c>
      <c r="Y20" s="2"/>
      <c r="Z20" s="19">
        <f t="shared" si="3"/>
        <v>-0.70856519367157655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>--44.43</f>
        <v>44.43</v>
      </c>
      <c r="E21" s="2"/>
      <c r="F21" s="19"/>
      <c r="G21" s="2"/>
      <c r="H21" s="2">
        <f>--43.82</f>
        <v>43.82</v>
      </c>
      <c r="I21" s="2"/>
      <c r="J21" s="19"/>
      <c r="K21" s="2"/>
      <c r="L21" s="2">
        <f t="shared" si="0"/>
        <v>0.60999999999999943</v>
      </c>
      <c r="M21" s="2"/>
      <c r="N21" s="19">
        <f t="shared" si="1"/>
        <v>1.3920584208124131E-2</v>
      </c>
      <c r="O21" s="11"/>
      <c r="P21" s="2">
        <f>--85.4</f>
        <v>85.4</v>
      </c>
      <c r="Q21" s="2"/>
      <c r="R21" s="19"/>
      <c r="S21" s="2"/>
      <c r="T21" s="2">
        <f>--73.67</f>
        <v>73.67</v>
      </c>
      <c r="U21" s="2"/>
      <c r="V21" s="19"/>
      <c r="W21" s="2"/>
      <c r="X21" s="2">
        <f t="shared" si="2"/>
        <v>11.730000000000004</v>
      </c>
      <c r="Y21" s="2"/>
      <c r="Z21" s="19">
        <f t="shared" si="3"/>
        <v>0.1592235645445908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>--1854.69</f>
        <v>1854.69</v>
      </c>
      <c r="E22" s="2"/>
      <c r="F22" s="19"/>
      <c r="G22" s="2"/>
      <c r="H22" s="2">
        <f>--1601.31</f>
        <v>1601.31</v>
      </c>
      <c r="I22" s="2"/>
      <c r="J22" s="19"/>
      <c r="K22" s="2"/>
      <c r="L22" s="2">
        <f t="shared" si="0"/>
        <v>253.38000000000011</v>
      </c>
      <c r="M22" s="2"/>
      <c r="N22" s="19">
        <f t="shared" si="1"/>
        <v>0.15823294677482819</v>
      </c>
      <c r="O22" s="11"/>
      <c r="P22" s="2">
        <f>--3714.24</f>
        <v>3714.24</v>
      </c>
      <c r="Q22" s="2"/>
      <c r="R22" s="19"/>
      <c r="S22" s="2"/>
      <c r="T22" s="2">
        <f>--2966.87</f>
        <v>2966.87</v>
      </c>
      <c r="U22" s="2"/>
      <c r="V22" s="19"/>
      <c r="W22" s="2"/>
      <c r="X22" s="2">
        <f t="shared" si="2"/>
        <v>747.36999999999989</v>
      </c>
      <c r="Y22" s="2"/>
      <c r="Z22" s="19">
        <f t="shared" si="3"/>
        <v>0.25190520649708276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--425.93</f>
        <v>425.93</v>
      </c>
      <c r="E23" s="2"/>
      <c r="F23" s="19"/>
      <c r="G23" s="2"/>
      <c r="H23" s="2">
        <f>--450.89</f>
        <v>450.89</v>
      </c>
      <c r="I23" s="2"/>
      <c r="J23" s="19"/>
      <c r="K23" s="2"/>
      <c r="L23" s="2">
        <f t="shared" si="0"/>
        <v>-24.95999999999998</v>
      </c>
      <c r="M23" s="2"/>
      <c r="N23" s="19">
        <f t="shared" si="1"/>
        <v>-5.5357182461354168E-2</v>
      </c>
      <c r="O23" s="11"/>
      <c r="P23" s="2">
        <f>--848.16</f>
        <v>848.16</v>
      </c>
      <c r="Q23" s="2"/>
      <c r="R23" s="19"/>
      <c r="S23" s="2"/>
      <c r="T23" s="2">
        <f>--868.92</f>
        <v>868.92</v>
      </c>
      <c r="U23" s="2"/>
      <c r="V23" s="19"/>
      <c r="W23" s="2"/>
      <c r="X23" s="2">
        <f t="shared" si="2"/>
        <v>-20.759999999999991</v>
      </c>
      <c r="Y23" s="2"/>
      <c r="Z23" s="19">
        <f t="shared" si="3"/>
        <v>-2.3891727661925138E-2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>--128.42</f>
        <v>128.41999999999999</v>
      </c>
      <c r="E24" s="2"/>
      <c r="F24" s="19"/>
      <c r="G24" s="2"/>
      <c r="H24" s="2">
        <f>--145.84</f>
        <v>145.84</v>
      </c>
      <c r="I24" s="2"/>
      <c r="J24" s="19"/>
      <c r="K24" s="2"/>
      <c r="L24" s="2">
        <f t="shared" si="0"/>
        <v>-17.420000000000016</v>
      </c>
      <c r="M24" s="2"/>
      <c r="N24" s="19">
        <f t="shared" si="1"/>
        <v>-0.11944596818431168</v>
      </c>
      <c r="O24" s="11"/>
      <c r="P24" s="2">
        <f>--302.57</f>
        <v>302.57</v>
      </c>
      <c r="Q24" s="2"/>
      <c r="R24" s="19"/>
      <c r="S24" s="2"/>
      <c r="T24" s="2">
        <f>--303.08</f>
        <v>303.08</v>
      </c>
      <c r="U24" s="2"/>
      <c r="V24" s="19"/>
      <c r="W24" s="2"/>
      <c r="X24" s="2">
        <f t="shared" si="2"/>
        <v>-0.50999999999999091</v>
      </c>
      <c r="Y24" s="2"/>
      <c r="Z24" s="19">
        <f t="shared" si="3"/>
        <v>-1.6827240332585158E-3</v>
      </c>
    </row>
    <row r="25" spans="1:26" s="24" customFormat="1" hidden="1" outlineLevel="1" x14ac:dyDescent="0.25">
      <c r="A25" s="44"/>
      <c r="B25" s="11" t="str">
        <f>CONCATENATE("          ", "4042", " - ", "TAXABLE SALES-EVERYDAY GIFTS")</f>
        <v xml:space="preserve">          4042 - TAXABLE SALES-EVERYDAY GIFTS</v>
      </c>
      <c r="C25" s="11"/>
      <c r="D25" s="2">
        <f>0</f>
        <v>0</v>
      </c>
      <c r="E25" s="2"/>
      <c r="F25" s="19"/>
      <c r="G25" s="2"/>
      <c r="H25" s="2">
        <f>--125.83</f>
        <v>125.83</v>
      </c>
      <c r="I25" s="2"/>
      <c r="J25" s="19"/>
      <c r="K25" s="2"/>
      <c r="L25" s="2">
        <f t="shared" si="0"/>
        <v>-125.83</v>
      </c>
      <c r="M25" s="2"/>
      <c r="N25" s="19">
        <f t="shared" si="1"/>
        <v>-1</v>
      </c>
      <c r="O25" s="11"/>
      <c r="P25" s="2">
        <f>0</f>
        <v>0</v>
      </c>
      <c r="Q25" s="2"/>
      <c r="R25" s="19"/>
      <c r="S25" s="2"/>
      <c r="T25" s="2">
        <f>--464.38</f>
        <v>464.38</v>
      </c>
      <c r="U25" s="2"/>
      <c r="V25" s="19"/>
      <c r="W25" s="2"/>
      <c r="X25" s="2">
        <f t="shared" si="2"/>
        <v>-464.38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>--873.49</f>
        <v>873.49</v>
      </c>
      <c r="E26" s="2"/>
      <c r="F26" s="19"/>
      <c r="G26" s="2"/>
      <c r="H26" s="2">
        <f>--991.34</f>
        <v>991.34</v>
      </c>
      <c r="I26" s="2"/>
      <c r="J26" s="19"/>
      <c r="K26" s="2"/>
      <c r="L26" s="2">
        <f t="shared" si="0"/>
        <v>-117.85000000000002</v>
      </c>
      <c r="M26" s="2"/>
      <c r="N26" s="19">
        <f t="shared" si="1"/>
        <v>-0.11887949643916317</v>
      </c>
      <c r="O26" s="11"/>
      <c r="P26" s="2">
        <f>--1792.91</f>
        <v>1792.91</v>
      </c>
      <c r="Q26" s="2"/>
      <c r="R26" s="19"/>
      <c r="S26" s="2"/>
      <c r="T26" s="2">
        <f>--2199.46</f>
        <v>2199.46</v>
      </c>
      <c r="U26" s="2"/>
      <c r="V26" s="19"/>
      <c r="W26" s="2"/>
      <c r="X26" s="2">
        <f t="shared" si="2"/>
        <v>-406.54999999999995</v>
      </c>
      <c r="Y26" s="2"/>
      <c r="Z26" s="19">
        <f t="shared" si="3"/>
        <v>-0.18484082456602982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0</f>
        <v>0</v>
      </c>
      <c r="E27" s="2"/>
      <c r="F27" s="19"/>
      <c r="G27" s="2"/>
      <c r="H27" s="2">
        <f>--173</f>
        <v>173</v>
      </c>
      <c r="I27" s="2"/>
      <c r="J27" s="19"/>
      <c r="K27" s="2"/>
      <c r="L27" s="2">
        <f t="shared" si="0"/>
        <v>-173</v>
      </c>
      <c r="M27" s="2"/>
      <c r="N27" s="19">
        <f t="shared" si="1"/>
        <v>-1</v>
      </c>
      <c r="O27" s="11"/>
      <c r="P27" s="2">
        <f>--162</f>
        <v>162</v>
      </c>
      <c r="Q27" s="2"/>
      <c r="R27" s="19"/>
      <c r="S27" s="2"/>
      <c r="T27" s="2">
        <f>--308</f>
        <v>308</v>
      </c>
      <c r="U27" s="2"/>
      <c r="V27" s="19"/>
      <c r="W27" s="2"/>
      <c r="X27" s="2">
        <f t="shared" si="2"/>
        <v>-146</v>
      </c>
      <c r="Y27" s="2"/>
      <c r="Z27" s="19">
        <f t="shared" si="3"/>
        <v>-0.47402597402597402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--129.89</f>
        <v>129.88999999999999</v>
      </c>
      <c r="E28" s="2"/>
      <c r="F28" s="19"/>
      <c r="G28" s="2"/>
      <c r="H28" s="2">
        <f>--249.81</f>
        <v>249.81</v>
      </c>
      <c r="I28" s="2"/>
      <c r="J28" s="19"/>
      <c r="K28" s="2"/>
      <c r="L28" s="2">
        <f t="shared" si="0"/>
        <v>-119.92000000000002</v>
      </c>
      <c r="M28" s="2"/>
      <c r="N28" s="19">
        <f t="shared" si="1"/>
        <v>-0.4800448340738962</v>
      </c>
      <c r="O28" s="11"/>
      <c r="P28" s="2">
        <f>--429.69</f>
        <v>429.69</v>
      </c>
      <c r="Q28" s="2"/>
      <c r="R28" s="19"/>
      <c r="S28" s="2"/>
      <c r="T28" s="2">
        <f>--639.49</f>
        <v>639.49</v>
      </c>
      <c r="U28" s="2"/>
      <c r="V28" s="19"/>
      <c r="W28" s="2"/>
      <c r="X28" s="2">
        <f t="shared" si="2"/>
        <v>-209.8</v>
      </c>
      <c r="Y28" s="2"/>
      <c r="Z28" s="19">
        <f t="shared" si="3"/>
        <v>-0.32807393391608941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--80.97</f>
        <v>80.97</v>
      </c>
      <c r="E29" s="2"/>
      <c r="F29" s="19"/>
      <c r="G29" s="2"/>
      <c r="H29" s="2">
        <f>--409.79</f>
        <v>409.79</v>
      </c>
      <c r="I29" s="2"/>
      <c r="J29" s="19"/>
      <c r="K29" s="2"/>
      <c r="L29" s="2">
        <f t="shared" si="0"/>
        <v>-328.82000000000005</v>
      </c>
      <c r="M29" s="2"/>
      <c r="N29" s="19">
        <f t="shared" si="1"/>
        <v>-0.80241099099538793</v>
      </c>
      <c r="O29" s="11"/>
      <c r="P29" s="2">
        <f>--534.79</f>
        <v>534.79</v>
      </c>
      <c r="Q29" s="2"/>
      <c r="R29" s="19"/>
      <c r="S29" s="2"/>
      <c r="T29" s="2">
        <f>--970.49</f>
        <v>970.49</v>
      </c>
      <c r="U29" s="2"/>
      <c r="V29" s="19"/>
      <c r="W29" s="2"/>
      <c r="X29" s="2">
        <f t="shared" si="2"/>
        <v>-435.70000000000005</v>
      </c>
      <c r="Y29" s="2"/>
      <c r="Z29" s="19">
        <f t="shared" si="3"/>
        <v>-0.44894846932992616</v>
      </c>
    </row>
    <row r="30" spans="1:26" s="24" customFormat="1" hidden="1" outlineLevel="1" x14ac:dyDescent="0.25">
      <c r="A30" s="44"/>
      <c r="B30" s="11" t="str">
        <f>CONCATENATE("          ", "4126", " - ", "NON-TAXABLE SALES-WRITING INST")</f>
        <v xml:space="preserve">          4126 - NON-TAXABLE SALES-WRITING INST</v>
      </c>
      <c r="C30" s="11"/>
      <c r="D30" s="2">
        <f>0</f>
        <v>0</v>
      </c>
      <c r="E30" s="2"/>
      <c r="F30" s="19"/>
      <c r="G30" s="2"/>
      <c r="H30" s="2">
        <f t="shared" ref="H30:H31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0</f>
        <v>0</v>
      </c>
      <c r="Q30" s="2"/>
      <c r="R30" s="19"/>
      <c r="S30" s="2"/>
      <c r="T30" s="2">
        <f>--1.79</f>
        <v>1.79</v>
      </c>
      <c r="U30" s="2"/>
      <c r="V30" s="19"/>
      <c r="W30" s="2"/>
      <c r="X30" s="2">
        <f t="shared" si="2"/>
        <v>-1.79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"4127", " - ", "NON-TAXABLE SALES-SCHOOL SUPPL")</f>
        <v xml:space="preserve">          4127 - NON-TAXABLE SALES-SCHOOL SUPPL</v>
      </c>
      <c r="C31" s="11"/>
      <c r="D31" s="2">
        <f>--1.09</f>
        <v>1.0900000000000001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1.0900000000000001</v>
      </c>
      <c r="M31" s="2"/>
      <c r="N31" s="19">
        <f t="shared" si="1"/>
        <v>0</v>
      </c>
      <c r="O31" s="11"/>
      <c r="P31" s="2">
        <f>--12.17</f>
        <v>12.17</v>
      </c>
      <c r="Q31" s="2"/>
      <c r="R31" s="19"/>
      <c r="S31" s="2"/>
      <c r="T31" s="2">
        <f>--10.24</f>
        <v>10.24</v>
      </c>
      <c r="U31" s="2"/>
      <c r="V31" s="19"/>
      <c r="W31" s="2"/>
      <c r="X31" s="2">
        <f t="shared" si="2"/>
        <v>1.9299999999999997</v>
      </c>
      <c r="Y31" s="2"/>
      <c r="Z31" s="19">
        <f t="shared" si="3"/>
        <v>0.18847656249999997</v>
      </c>
    </row>
    <row r="32" spans="1:26" s="24" customFormat="1" hidden="1" outlineLevel="1" x14ac:dyDescent="0.25">
      <c r="A32" s="44"/>
      <c r="B32" s="11" t="str">
        <f>CONCATENATE("          ", "4128", " - ", "NON-TAXABLE SALES-ART/TECH")</f>
        <v xml:space="preserve">          4128 - NON-TAXABLE SALES-ART/TECH</v>
      </c>
      <c r="C32" s="11"/>
      <c r="D32" s="2">
        <f>--53.19</f>
        <v>53.19</v>
      </c>
      <c r="E32" s="2"/>
      <c r="F32" s="19"/>
      <c r="G32" s="2"/>
      <c r="H32" s="2">
        <f>--31.85</f>
        <v>31.85</v>
      </c>
      <c r="I32" s="2"/>
      <c r="J32" s="19"/>
      <c r="K32" s="2"/>
      <c r="L32" s="2">
        <f t="shared" si="0"/>
        <v>21.339999999999996</v>
      </c>
      <c r="M32" s="2"/>
      <c r="N32" s="19">
        <f t="shared" si="1"/>
        <v>0.67001569858712706</v>
      </c>
      <c r="O32" s="11"/>
      <c r="P32" s="2">
        <f>--95.4</f>
        <v>95.4</v>
      </c>
      <c r="Q32" s="2"/>
      <c r="R32" s="19"/>
      <c r="S32" s="2"/>
      <c r="T32" s="2">
        <f>--284.8</f>
        <v>284.8</v>
      </c>
      <c r="U32" s="2"/>
      <c r="V32" s="19"/>
      <c r="W32" s="2"/>
      <c r="X32" s="2">
        <f t="shared" si="2"/>
        <v>-189.4</v>
      </c>
      <c r="Y32" s="2"/>
      <c r="Z32" s="19">
        <f t="shared" si="3"/>
        <v>-0.66502808988764039</v>
      </c>
    </row>
    <row r="33" spans="1:26" s="24" customFormat="1" hidden="1" outlineLevel="1" x14ac:dyDescent="0.25">
      <c r="A33" s="44"/>
      <c r="B33" s="11" t="str">
        <f>CONCATENATE("          ", "4131", " - ", "NON-TAXABLE SALES-FOOD")</f>
        <v xml:space="preserve">          4131 - NON-TAXABLE SALES-FOOD</v>
      </c>
      <c r="C33" s="11"/>
      <c r="D33" s="2">
        <f>--13258.46</f>
        <v>13258.46</v>
      </c>
      <c r="E33" s="2"/>
      <c r="F33" s="19"/>
      <c r="G33" s="2"/>
      <c r="H33" s="2">
        <f>--13475.07</f>
        <v>13475.07</v>
      </c>
      <c r="I33" s="2"/>
      <c r="J33" s="19"/>
      <c r="K33" s="2"/>
      <c r="L33" s="2">
        <f t="shared" si="0"/>
        <v>-216.61000000000058</v>
      </c>
      <c r="M33" s="2"/>
      <c r="N33" s="19">
        <f t="shared" si="1"/>
        <v>-1.6074870111992042E-2</v>
      </c>
      <c r="O33" s="11"/>
      <c r="P33" s="2">
        <f>--26018.75</f>
        <v>26018.75</v>
      </c>
      <c r="Q33" s="2"/>
      <c r="R33" s="19"/>
      <c r="S33" s="2"/>
      <c r="T33" s="2">
        <f>--25931.37</f>
        <v>25931.37</v>
      </c>
      <c r="U33" s="2"/>
      <c r="V33" s="19"/>
      <c r="W33" s="2"/>
      <c r="X33" s="2">
        <f t="shared" si="2"/>
        <v>87.380000000001019</v>
      </c>
      <c r="Y33" s="2"/>
      <c r="Z33" s="19">
        <f t="shared" si="3"/>
        <v>3.3696638473015897E-3</v>
      </c>
    </row>
    <row r="34" spans="1:26" s="24" customFormat="1" hidden="1" outlineLevel="1" x14ac:dyDescent="0.25">
      <c r="A34" s="44"/>
      <c r="B34" s="11" t="str">
        <f>CONCATENATE("          ", "4132", " - ", "NON-TAXABLE SALES-JUICE")</f>
        <v xml:space="preserve">          4132 - NON-TAXABLE SALES-JUICE</v>
      </c>
      <c r="C34" s="11"/>
      <c r="D34" s="2">
        <f>--3958.43</f>
        <v>3958.43</v>
      </c>
      <c r="E34" s="2"/>
      <c r="F34" s="19"/>
      <c r="G34" s="2"/>
      <c r="H34" s="2">
        <f>--3458.58</f>
        <v>3458.58</v>
      </c>
      <c r="I34" s="2"/>
      <c r="J34" s="19"/>
      <c r="K34" s="2"/>
      <c r="L34" s="2">
        <f t="shared" si="0"/>
        <v>499.84999999999991</v>
      </c>
      <c r="M34" s="2"/>
      <c r="N34" s="19">
        <f t="shared" si="1"/>
        <v>0.14452463149616315</v>
      </c>
      <c r="O34" s="11"/>
      <c r="P34" s="2">
        <f>--7768.8</f>
        <v>7768.8</v>
      </c>
      <c r="Q34" s="2"/>
      <c r="R34" s="19"/>
      <c r="S34" s="2"/>
      <c r="T34" s="2">
        <f>--6841.08</f>
        <v>6841.08</v>
      </c>
      <c r="U34" s="2"/>
      <c r="V34" s="19"/>
      <c r="W34" s="2"/>
      <c r="X34" s="2">
        <f t="shared" si="2"/>
        <v>927.72000000000025</v>
      </c>
      <c r="Y34" s="2"/>
      <c r="Z34" s="19">
        <f t="shared" si="3"/>
        <v>0.13561016681576596</v>
      </c>
    </row>
    <row r="35" spans="1:26" s="24" customFormat="1" hidden="1" outlineLevel="1" x14ac:dyDescent="0.25">
      <c r="A35" s="44"/>
      <c r="B35" s="11" t="str">
        <f>CONCATENATE("          ", "4133", " - ", "NON-TAXABLE SALES-CANDY")</f>
        <v xml:space="preserve">          4133 - NON-TAXABLE SALES-CANDY</v>
      </c>
      <c r="C35" s="11"/>
      <c r="D35" s="2">
        <f>--3528.83</f>
        <v>3528.83</v>
      </c>
      <c r="E35" s="2"/>
      <c r="F35" s="19"/>
      <c r="G35" s="2"/>
      <c r="H35" s="2">
        <f>--3039.71</f>
        <v>3039.71</v>
      </c>
      <c r="I35" s="2"/>
      <c r="J35" s="19"/>
      <c r="K35" s="2"/>
      <c r="L35" s="2">
        <f t="shared" si="0"/>
        <v>489.11999999999989</v>
      </c>
      <c r="M35" s="2"/>
      <c r="N35" s="19">
        <f t="shared" si="1"/>
        <v>0.16091008681749241</v>
      </c>
      <c r="O35" s="11"/>
      <c r="P35" s="2">
        <f>--7321.46</f>
        <v>7321.46</v>
      </c>
      <c r="Q35" s="2"/>
      <c r="R35" s="19"/>
      <c r="S35" s="2"/>
      <c r="T35" s="2">
        <f>--5902.71</f>
        <v>5902.71</v>
      </c>
      <c r="U35" s="2"/>
      <c r="V35" s="19"/>
      <c r="W35" s="2"/>
      <c r="X35" s="2">
        <f t="shared" si="2"/>
        <v>1418.75</v>
      </c>
      <c r="Y35" s="2"/>
      <c r="Z35" s="19">
        <f t="shared" si="3"/>
        <v>0.24035570102546119</v>
      </c>
    </row>
    <row r="36" spans="1:26" s="24" customFormat="1" hidden="1" outlineLevel="1" x14ac:dyDescent="0.25">
      <c r="A36" s="44"/>
      <c r="B36" s="11" t="str">
        <f>CONCATENATE("          ", "4134", " - ", "NON-TAXABLE SALES-SODA")</f>
        <v xml:space="preserve">          4134 - NON-TAXABLE SALES-SODA</v>
      </c>
      <c r="C36" s="11"/>
      <c r="D36" s="2">
        <f>0</f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0</f>
        <v>0</v>
      </c>
      <c r="Q36" s="2"/>
      <c r="R36" s="19"/>
      <c r="S36" s="2"/>
      <c r="T36" s="2">
        <f>--109.47</f>
        <v>109.47</v>
      </c>
      <c r="U36" s="2"/>
      <c r="V36" s="19"/>
      <c r="W36" s="2"/>
      <c r="X36" s="2">
        <f t="shared" si="2"/>
        <v>-109.47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"4135", " - ", "NON-TAXABLE SALES")</f>
        <v xml:space="preserve">          4135 - NON-TAXABLE SALES</v>
      </c>
      <c r="C37" s="11"/>
      <c r="D37" s="2">
        <f>--17.9</f>
        <v>17.899999999999999</v>
      </c>
      <c r="E37" s="2"/>
      <c r="F37" s="19"/>
      <c r="G37" s="2"/>
      <c r="H37" s="2">
        <f>--18.95</f>
        <v>18.95</v>
      </c>
      <c r="I37" s="2"/>
      <c r="J37" s="19"/>
      <c r="K37" s="2"/>
      <c r="L37" s="2">
        <f t="shared" si="0"/>
        <v>-1.0500000000000007</v>
      </c>
      <c r="M37" s="2"/>
      <c r="N37" s="19">
        <f t="shared" si="1"/>
        <v>-5.5408970976253337E-2</v>
      </c>
      <c r="O37" s="11"/>
      <c r="P37" s="2">
        <f>--53.8</f>
        <v>53.8</v>
      </c>
      <c r="Q37" s="2"/>
      <c r="R37" s="19"/>
      <c r="S37" s="2"/>
      <c r="T37" s="2">
        <f>--36.9</f>
        <v>36.9</v>
      </c>
      <c r="U37" s="2"/>
      <c r="V37" s="19"/>
      <c r="W37" s="2"/>
      <c r="X37" s="2">
        <f t="shared" si="2"/>
        <v>16.899999999999999</v>
      </c>
      <c r="Y37" s="2"/>
      <c r="Z37" s="19">
        <f t="shared" si="3"/>
        <v>0.45799457994579945</v>
      </c>
    </row>
    <row r="38" spans="1:26" s="24" customFormat="1" hidden="1" outlineLevel="1" x14ac:dyDescent="0.25">
      <c r="A38" s="44"/>
      <c r="B38" s="11" t="str">
        <f>CONCATENATE("          ", "4137", " - ", "NON-TAXABLE SALES-WATER")</f>
        <v xml:space="preserve">          4137 - NON-TAXABLE SALES-WATER</v>
      </c>
      <c r="C38" s="11"/>
      <c r="D38" s="2">
        <f>--2012.43</f>
        <v>2012.43</v>
      </c>
      <c r="E38" s="2"/>
      <c r="F38" s="19"/>
      <c r="G38" s="2"/>
      <c r="H38" s="2">
        <f>--2001.18</f>
        <v>2001.18</v>
      </c>
      <c r="I38" s="2"/>
      <c r="J38" s="19"/>
      <c r="K38" s="2"/>
      <c r="L38" s="2">
        <f t="shared" si="0"/>
        <v>11.25</v>
      </c>
      <c r="M38" s="2"/>
      <c r="N38" s="19">
        <f t="shared" si="1"/>
        <v>5.6216832069079245E-3</v>
      </c>
      <c r="O38" s="11"/>
      <c r="P38" s="2">
        <f>--4179.8</f>
        <v>4179.8</v>
      </c>
      <c r="Q38" s="2"/>
      <c r="R38" s="19"/>
      <c r="S38" s="2"/>
      <c r="T38" s="2">
        <f>--3772.86</f>
        <v>3772.86</v>
      </c>
      <c r="U38" s="2"/>
      <c r="V38" s="19"/>
      <c r="W38" s="2"/>
      <c r="X38" s="2">
        <f t="shared" si="2"/>
        <v>406.94000000000005</v>
      </c>
      <c r="Y38" s="2"/>
      <c r="Z38" s="19">
        <f t="shared" si="3"/>
        <v>0.10785981987139731</v>
      </c>
    </row>
    <row r="39" spans="1:26" s="24" customFormat="1" hidden="1" outlineLevel="1" x14ac:dyDescent="0.25">
      <c r="A39" s="44"/>
      <c r="B39" s="11" t="str">
        <f>CONCATENATE("          ", "4186", " - ", "NON-TAXABLE SALES-COMPUTER SUP")</f>
        <v xml:space="preserve">          4186 - NON-TAXABLE SALES-COMPUTER SUP</v>
      </c>
      <c r="C39" s="11"/>
      <c r="D39" s="2">
        <f>--4.01</f>
        <v>4.01</v>
      </c>
      <c r="E39" s="2"/>
      <c r="F39" s="19"/>
      <c r="G39" s="2"/>
      <c r="H39" s="2">
        <f>-19</f>
        <v>-19</v>
      </c>
      <c r="I39" s="2"/>
      <c r="J39" s="19"/>
      <c r="K39" s="2"/>
      <c r="L39" s="2">
        <f t="shared" si="0"/>
        <v>23.009999999999998</v>
      </c>
      <c r="M39" s="2"/>
      <c r="N39" s="19">
        <f t="shared" si="1"/>
        <v>-1.2110526315789472</v>
      </c>
      <c r="O39" s="11"/>
      <c r="P39" s="2">
        <f>-30.97</f>
        <v>-30.97</v>
      </c>
      <c r="Q39" s="2"/>
      <c r="R39" s="19"/>
      <c r="S39" s="2"/>
      <c r="T39" s="2">
        <f>-67.98</f>
        <v>-67.98</v>
      </c>
      <c r="U39" s="2"/>
      <c r="V39" s="19"/>
      <c r="W39" s="2"/>
      <c r="X39" s="2">
        <f t="shared" si="2"/>
        <v>37.010000000000005</v>
      </c>
      <c r="Y39" s="2"/>
      <c r="Z39" s="19">
        <f t="shared" si="3"/>
        <v>-0.54442483083259785</v>
      </c>
    </row>
    <row r="40" spans="1:26" s="24" customFormat="1" hidden="1" outlineLevel="1" x14ac:dyDescent="0.25">
      <c r="A40" s="44"/>
      <c r="B40" s="11" t="str">
        <f>CONCATENATE("          ", "4225", " - ", "SALES RETURN TAXABLE-TEST FORM")</f>
        <v xml:space="preserve">          4225 - SALES RETURN TAXABLE-TEST FORM</v>
      </c>
      <c r="C40" s="11"/>
      <c r="D40" s="2">
        <f>-0.49</f>
        <v>-0.49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-0.49</v>
      </c>
      <c r="M40" s="2"/>
      <c r="N40" s="19">
        <f t="shared" si="1"/>
        <v>0</v>
      </c>
      <c r="O40" s="11"/>
      <c r="P40" s="2">
        <f>-0.49</f>
        <v>-0.49</v>
      </c>
      <c r="Q40" s="2"/>
      <c r="R40" s="19"/>
      <c r="S40" s="2"/>
      <c r="T40" s="2">
        <f>0</f>
        <v>0</v>
      </c>
      <c r="U40" s="2"/>
      <c r="V40" s="19"/>
      <c r="W40" s="2"/>
      <c r="X40" s="2">
        <f t="shared" si="2"/>
        <v>-0.49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"4226", " - ", "SALES RETURN TAXABLE-WRITING I")</f>
        <v xml:space="preserve">          4226 - SALES RETURN TAXABLE-WRITING I</v>
      </c>
      <c r="C41" s="11"/>
      <c r="D41" s="2">
        <f t="shared" ref="D41:D42" si="7">0</f>
        <v>0</v>
      </c>
      <c r="E41" s="2"/>
      <c r="F41" s="19"/>
      <c r="G41" s="2"/>
      <c r="H41" s="2">
        <f>-54.42</f>
        <v>-54.42</v>
      </c>
      <c r="I41" s="2"/>
      <c r="J41" s="19"/>
      <c r="K41" s="2"/>
      <c r="L41" s="2">
        <f t="shared" si="0"/>
        <v>54.42</v>
      </c>
      <c r="M41" s="2"/>
      <c r="N41" s="19">
        <f t="shared" si="1"/>
        <v>-1</v>
      </c>
      <c r="O41" s="11"/>
      <c r="P41" s="2">
        <f>-2.99</f>
        <v>-2.99</v>
      </c>
      <c r="Q41" s="2"/>
      <c r="R41" s="19"/>
      <c r="S41" s="2"/>
      <c r="T41" s="2">
        <f>-59.99</f>
        <v>-59.99</v>
      </c>
      <c r="U41" s="2"/>
      <c r="V41" s="19"/>
      <c r="W41" s="2"/>
      <c r="X41" s="2">
        <f t="shared" si="2"/>
        <v>57</v>
      </c>
      <c r="Y41" s="2"/>
      <c r="Z41" s="19">
        <f t="shared" si="3"/>
        <v>-0.9501583597266211</v>
      </c>
    </row>
    <row r="42" spans="1:26" s="24" customFormat="1" hidden="1" outlineLevel="1" x14ac:dyDescent="0.25">
      <c r="A42" s="44"/>
      <c r="B42" s="11" t="str">
        <f>CONCATENATE("          ", "4227", " - ", "SALES RETURN TAXABLE-SCHOOL SU")</f>
        <v xml:space="preserve">          4227 - SALES RETURN TAXABLE-SCHOOL SU</v>
      </c>
      <c r="C42" s="11"/>
      <c r="D42" s="2">
        <f t="shared" si="7"/>
        <v>0</v>
      </c>
      <c r="E42" s="2"/>
      <c r="F42" s="19"/>
      <c r="G42" s="2"/>
      <c r="H42" s="2">
        <f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-22.22</f>
        <v>-22.22</v>
      </c>
      <c r="Q42" s="2"/>
      <c r="R42" s="19"/>
      <c r="S42" s="2"/>
      <c r="T42" s="2">
        <f>-40</f>
        <v>-40</v>
      </c>
      <c r="U42" s="2"/>
      <c r="V42" s="19"/>
      <c r="W42" s="2"/>
      <c r="X42" s="2">
        <f t="shared" si="2"/>
        <v>17.78</v>
      </c>
      <c r="Y42" s="2"/>
      <c r="Z42" s="19">
        <f t="shared" si="3"/>
        <v>-0.44450000000000001</v>
      </c>
    </row>
    <row r="43" spans="1:26" s="24" customFormat="1" hidden="1" outlineLevel="1" x14ac:dyDescent="0.25">
      <c r="A43" s="44"/>
      <c r="B43" s="11" t="str">
        <f>CONCATENATE("          ", "4228", " - ", "SALES RETURN TAXABLE-ART/TECH")</f>
        <v xml:space="preserve">          4228 - SALES RETURN TAXABLE-ART/TECH</v>
      </c>
      <c r="C43" s="11"/>
      <c r="D43" s="2">
        <f>-498.26</f>
        <v>-498.26</v>
      </c>
      <c r="E43" s="2"/>
      <c r="F43" s="19"/>
      <c r="G43" s="2"/>
      <c r="H43" s="2">
        <f>-995.36</f>
        <v>-995.36</v>
      </c>
      <c r="I43" s="2"/>
      <c r="J43" s="19"/>
      <c r="K43" s="2"/>
      <c r="L43" s="2">
        <f t="shared" si="0"/>
        <v>497.1</v>
      </c>
      <c r="M43" s="2"/>
      <c r="N43" s="19">
        <f t="shared" si="1"/>
        <v>-0.49941729625462145</v>
      </c>
      <c r="O43" s="11"/>
      <c r="P43" s="2">
        <f>-2203.29</f>
        <v>-2203.29</v>
      </c>
      <c r="Q43" s="2"/>
      <c r="R43" s="19"/>
      <c r="S43" s="2"/>
      <c r="T43" s="2">
        <f>-3771.03</f>
        <v>-3771.03</v>
      </c>
      <c r="U43" s="2"/>
      <c r="V43" s="19"/>
      <c r="W43" s="2"/>
      <c r="X43" s="2">
        <f t="shared" si="2"/>
        <v>1567.7400000000002</v>
      </c>
      <c r="Y43" s="2"/>
      <c r="Z43" s="19">
        <f t="shared" si="3"/>
        <v>-0.41573257173769507</v>
      </c>
    </row>
    <row r="44" spans="1:26" s="24" customFormat="1" hidden="1" outlineLevel="1" x14ac:dyDescent="0.25">
      <c r="A44" s="44"/>
      <c r="B44" s="11" t="str">
        <f>CONCATENATE("          ", "4233", " - ", "SALES RETURN TAXABLE-CANDY")</f>
        <v xml:space="preserve">          4233 - SALES RETURN TAXABLE-CANDY</v>
      </c>
      <c r="C44" s="11"/>
      <c r="D44" s="2">
        <f>0</f>
        <v>0</v>
      </c>
      <c r="E44" s="2"/>
      <c r="F44" s="19"/>
      <c r="G44" s="2"/>
      <c r="H44" s="2">
        <f>-1.89</f>
        <v>-1.89</v>
      </c>
      <c r="I44" s="2"/>
      <c r="J44" s="19"/>
      <c r="K44" s="2"/>
      <c r="L44" s="2">
        <f t="shared" si="0"/>
        <v>1.89</v>
      </c>
      <c r="M44" s="2"/>
      <c r="N44" s="19">
        <f t="shared" si="1"/>
        <v>-1</v>
      </c>
      <c r="O44" s="11"/>
      <c r="P44" s="2">
        <f>0</f>
        <v>0</v>
      </c>
      <c r="Q44" s="2"/>
      <c r="R44" s="19"/>
      <c r="S44" s="2"/>
      <c r="T44" s="2">
        <f>-1.89</f>
        <v>-1.89</v>
      </c>
      <c r="U44" s="2"/>
      <c r="V44" s="19"/>
      <c r="W44" s="2"/>
      <c r="X44" s="2">
        <f t="shared" si="2"/>
        <v>1.89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"4281", " - ", "SALES RETURN TAXABLE-ELECTRONI")</f>
        <v xml:space="preserve">          4281 - SALES RETURN TAXABLE-ELECTRONI</v>
      </c>
      <c r="C45" s="11"/>
      <c r="D45" s="2">
        <f>-19.99</f>
        <v>-19.989999999999998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-19.989999999999998</v>
      </c>
      <c r="M45" s="2"/>
      <c r="N45" s="19">
        <f t="shared" si="1"/>
        <v>0</v>
      </c>
      <c r="O45" s="11"/>
      <c r="P45" s="2">
        <f>-44.98</f>
        <v>-44.98</v>
      </c>
      <c r="Q45" s="2"/>
      <c r="R45" s="19"/>
      <c r="S45" s="2"/>
      <c r="T45" s="2">
        <f>0</f>
        <v>0</v>
      </c>
      <c r="U45" s="2"/>
      <c r="V45" s="19"/>
      <c r="W45" s="2"/>
      <c r="X45" s="2">
        <f t="shared" si="2"/>
        <v>-44.98</v>
      </c>
      <c r="Y45" s="2"/>
      <c r="Z45" s="19">
        <f t="shared" si="3"/>
        <v>0</v>
      </c>
    </row>
    <row r="46" spans="1:26" x14ac:dyDescent="0.25">
      <c r="A46" s="9"/>
      <c r="B46" s="10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collapsed="1" x14ac:dyDescent="0.25">
      <c r="A47" s="10"/>
      <c r="B47" s="29" t="s">
        <v>8</v>
      </c>
      <c r="C47" s="10"/>
      <c r="D47" s="4">
        <f>SUM(OSRRefD16x_0)</f>
        <v>37850.569999999985</v>
      </c>
      <c r="E47" s="4"/>
      <c r="F47" s="12">
        <f t="shared" ref="F47:F66" si="8">IF(D$12=0,0,D47/D$12)</f>
        <v>0.52025707597384541</v>
      </c>
      <c r="G47" s="4"/>
      <c r="H47" s="4">
        <f>SUM(OSRRefH16x_0)</f>
        <v>42399.02</v>
      </c>
      <c r="I47" s="4"/>
      <c r="J47" s="12">
        <f t="shared" ref="J47:J66" si="9">IF(H$12=0,0,H47/H$12)</f>
        <v>0.53645647630540982</v>
      </c>
      <c r="K47" s="4"/>
      <c r="L47" s="4">
        <f t="shared" ref="L47:L66" si="10">+D47-H47</f>
        <v>-4548.4500000000116</v>
      </c>
      <c r="M47" s="4"/>
      <c r="N47" s="12">
        <f t="shared" ref="N47:N66" si="11">IF(H47=0,0,L47/H47)</f>
        <v>-0.10727724367214177</v>
      </c>
      <c r="O47" s="10"/>
      <c r="P47" s="4">
        <f>SUM(OSRRefP16x_0)</f>
        <v>105174.71</v>
      </c>
      <c r="Q47" s="4"/>
      <c r="R47" s="12">
        <f t="shared" ref="R47:R66" si="12">IF(P$12=0,0,P47/P$12)</f>
        <v>0.5229642735977621</v>
      </c>
      <c r="S47" s="4"/>
      <c r="T47" s="4">
        <f>SUM(OSRRefT16x_0)</f>
        <v>108887.02999999998</v>
      </c>
      <c r="U47" s="4"/>
      <c r="V47" s="12">
        <f t="shared" ref="V47:V66" si="13">IF(T$12=0,0,T47/T$12)</f>
        <v>0.53866022756628484</v>
      </c>
      <c r="W47" s="4"/>
      <c r="X47" s="4">
        <f t="shared" ref="X47:X66" si="14">+P47-T47</f>
        <v>-3712.3199999999779</v>
      </c>
      <c r="Y47" s="4"/>
      <c r="Z47" s="12">
        <f t="shared" ref="Z47:Z66" si="15">IF(T47=0,0,X47/T47)</f>
        <v>-3.4093316715498423E-2</v>
      </c>
    </row>
    <row r="48" spans="1:26" s="24" customFormat="1" hidden="1" outlineLevel="1" x14ac:dyDescent="0.25">
      <c r="A48" s="44"/>
      <c r="B48" s="11" t="str">
        <f>CONCATENATE("          ", "5014", " - ", "PURCHASES @ COST-REMAINDERS")</f>
        <v xml:space="preserve">          5014 - PURCHASES @ COST-REMAINDERS</v>
      </c>
      <c r="C48" s="11"/>
      <c r="D48" s="2">
        <v>14.46</v>
      </c>
      <c r="E48" s="2"/>
      <c r="F48" s="19">
        <f t="shared" si="8"/>
        <v>1.9875307871405394E-4</v>
      </c>
      <c r="G48" s="2"/>
      <c r="H48" s="2"/>
      <c r="I48" s="2"/>
      <c r="J48" s="19">
        <f t="shared" si="9"/>
        <v>0</v>
      </c>
      <c r="K48" s="2"/>
      <c r="L48" s="2">
        <f t="shared" si="10"/>
        <v>14.46</v>
      </c>
      <c r="M48" s="2"/>
      <c r="N48" s="19">
        <f t="shared" si="11"/>
        <v>0</v>
      </c>
      <c r="O48" s="11"/>
      <c r="P48" s="2">
        <v>14.46</v>
      </c>
      <c r="Q48" s="2"/>
      <c r="R48" s="19">
        <f t="shared" si="12"/>
        <v>7.1900016612583392E-5</v>
      </c>
      <c r="S48" s="2"/>
      <c r="T48" s="2"/>
      <c r="U48" s="2"/>
      <c r="V48" s="19">
        <f t="shared" si="13"/>
        <v>0</v>
      </c>
      <c r="W48" s="2"/>
      <c r="X48" s="2">
        <f t="shared" si="14"/>
        <v>14.46</v>
      </c>
      <c r="Y48" s="2"/>
      <c r="Z48" s="19">
        <f t="shared" si="15"/>
        <v>0</v>
      </c>
    </row>
    <row r="49" spans="1:26" s="24" customFormat="1" hidden="1" outlineLevel="1" x14ac:dyDescent="0.25">
      <c r="A49" s="44"/>
      <c r="B49" s="11" t="str">
        <f>CONCATENATE("          ", "5025", " - ", "PURCHASES @ COST-TEST FORMS")</f>
        <v xml:space="preserve">          5025 - PURCHASES @ COST-TEST FORMS</v>
      </c>
      <c r="C49" s="11"/>
      <c r="D49" s="2">
        <v>294.16000000000003</v>
      </c>
      <c r="E49" s="2"/>
      <c r="F49" s="19">
        <f t="shared" si="8"/>
        <v>4.0432369041857614E-3</v>
      </c>
      <c r="G49" s="2"/>
      <c r="H49" s="2">
        <v>60</v>
      </c>
      <c r="I49" s="2"/>
      <c r="J49" s="19">
        <f t="shared" si="9"/>
        <v>7.5915406955926314E-4</v>
      </c>
      <c r="K49" s="2"/>
      <c r="L49" s="2">
        <f t="shared" si="10"/>
        <v>234.16000000000003</v>
      </c>
      <c r="M49" s="2"/>
      <c r="N49" s="19">
        <f t="shared" si="11"/>
        <v>3.9026666666666672</v>
      </c>
      <c r="O49" s="11"/>
      <c r="P49" s="2">
        <v>438.38</v>
      </c>
      <c r="Q49" s="2"/>
      <c r="R49" s="19">
        <f t="shared" si="12"/>
        <v>2.1797738093101179E-3</v>
      </c>
      <c r="S49" s="2"/>
      <c r="T49" s="2">
        <v>120</v>
      </c>
      <c r="U49" s="2"/>
      <c r="V49" s="19">
        <f t="shared" si="13"/>
        <v>5.9363569111908169E-4</v>
      </c>
      <c r="W49" s="2"/>
      <c r="X49" s="2">
        <f t="shared" si="14"/>
        <v>318.38</v>
      </c>
      <c r="Y49" s="2"/>
      <c r="Z49" s="19">
        <f t="shared" si="15"/>
        <v>2.6531666666666665</v>
      </c>
    </row>
    <row r="50" spans="1:26" s="24" customFormat="1" hidden="1" outlineLevel="1" x14ac:dyDescent="0.25">
      <c r="A50" s="44"/>
      <c r="B50" s="11" t="str">
        <f>CONCATENATE("          ", "5026", " - ", "PURCHASES @ COST-WRITING INSTR")</f>
        <v xml:space="preserve">          5026 - PURCHASES @ COST-WRITING INSTR</v>
      </c>
      <c r="C50" s="11"/>
      <c r="D50" s="2">
        <v>1291.24</v>
      </c>
      <c r="E50" s="2"/>
      <c r="F50" s="19">
        <f t="shared" si="8"/>
        <v>1.7748127618169778E-2</v>
      </c>
      <c r="G50" s="2"/>
      <c r="H50" s="2">
        <v>591.39</v>
      </c>
      <c r="I50" s="2"/>
      <c r="J50" s="19">
        <f t="shared" si="9"/>
        <v>7.482602086610877E-3</v>
      </c>
      <c r="K50" s="2"/>
      <c r="L50" s="2">
        <f t="shared" si="10"/>
        <v>699.85</v>
      </c>
      <c r="M50" s="2"/>
      <c r="N50" s="19">
        <f t="shared" si="11"/>
        <v>1.1833984341973993</v>
      </c>
      <c r="O50" s="11"/>
      <c r="P50" s="2">
        <v>1853.84</v>
      </c>
      <c r="Q50" s="2"/>
      <c r="R50" s="19">
        <f t="shared" si="12"/>
        <v>9.2179202487601367E-3</v>
      </c>
      <c r="S50" s="2"/>
      <c r="T50" s="2">
        <v>1446.4</v>
      </c>
      <c r="U50" s="2"/>
      <c r="V50" s="19">
        <f t="shared" si="13"/>
        <v>7.1552888636219987E-3</v>
      </c>
      <c r="W50" s="2"/>
      <c r="X50" s="2">
        <f t="shared" si="14"/>
        <v>407.43999999999983</v>
      </c>
      <c r="Y50" s="2"/>
      <c r="Z50" s="19">
        <f t="shared" si="15"/>
        <v>0.28169247787610607</v>
      </c>
    </row>
    <row r="51" spans="1:26" s="24" customFormat="1" hidden="1" outlineLevel="1" x14ac:dyDescent="0.25">
      <c r="A51" s="44"/>
      <c r="B51" s="11" t="str">
        <f>CONCATENATE("          ", "5027", " - ", "PURCHASES @ COST-SCHOOL SUPPLI")</f>
        <v xml:space="preserve">          5027 - PURCHASES @ COST-SCHOOL SUPPLI</v>
      </c>
      <c r="C51" s="11"/>
      <c r="D51" s="2">
        <v>999.17</v>
      </c>
      <c r="E51" s="2"/>
      <c r="F51" s="19">
        <f t="shared" si="8"/>
        <v>1.3733617818722078E-2</v>
      </c>
      <c r="G51" s="2"/>
      <c r="H51" s="2">
        <v>467.45</v>
      </c>
      <c r="I51" s="2"/>
      <c r="J51" s="19">
        <f t="shared" si="9"/>
        <v>5.9144428302579594E-3</v>
      </c>
      <c r="K51" s="2"/>
      <c r="L51" s="2">
        <f t="shared" si="10"/>
        <v>531.72</v>
      </c>
      <c r="M51" s="2"/>
      <c r="N51" s="19">
        <f t="shared" si="11"/>
        <v>1.1374906407102365</v>
      </c>
      <c r="O51" s="11"/>
      <c r="P51" s="2">
        <v>1762.36</v>
      </c>
      <c r="Q51" s="2"/>
      <c r="R51" s="19">
        <f t="shared" si="12"/>
        <v>8.7630507107435991E-3</v>
      </c>
      <c r="S51" s="2"/>
      <c r="T51" s="2">
        <v>1567.12</v>
      </c>
      <c r="U51" s="2"/>
      <c r="V51" s="19">
        <f t="shared" si="13"/>
        <v>7.7524863688877938E-3</v>
      </c>
      <c r="W51" s="2"/>
      <c r="X51" s="2">
        <f t="shared" si="14"/>
        <v>195.24</v>
      </c>
      <c r="Y51" s="2"/>
      <c r="Z51" s="19">
        <f t="shared" si="15"/>
        <v>0.12458522640257289</v>
      </c>
    </row>
    <row r="52" spans="1:26" s="24" customFormat="1" hidden="1" outlineLevel="1" x14ac:dyDescent="0.25">
      <c r="A52" s="44"/>
      <c r="B52" s="11" t="str">
        <f>CONCATENATE("          ", "5028", " - ", "PURCHASES @ COST-ART/TECH")</f>
        <v xml:space="preserve">          5028 - PURCHASES @ COST-ART/TECH</v>
      </c>
      <c r="C52" s="11"/>
      <c r="D52" s="2">
        <v>19299.78</v>
      </c>
      <c r="E52" s="2"/>
      <c r="F52" s="19">
        <f t="shared" si="8"/>
        <v>0.26527598157011917</v>
      </c>
      <c r="G52" s="2"/>
      <c r="H52" s="2">
        <v>28310.9</v>
      </c>
      <c r="I52" s="2"/>
      <c r="J52" s="19">
        <f t="shared" si="9"/>
        <v>0.35820558246475576</v>
      </c>
      <c r="K52" s="2"/>
      <c r="L52" s="2">
        <f t="shared" si="10"/>
        <v>-9011.1200000000026</v>
      </c>
      <c r="M52" s="2"/>
      <c r="N52" s="19">
        <f t="shared" si="11"/>
        <v>-0.31829154142044236</v>
      </c>
      <c r="O52" s="11"/>
      <c r="P52" s="2">
        <v>87065.73000000001</v>
      </c>
      <c r="Q52" s="2"/>
      <c r="R52" s="19">
        <f t="shared" si="12"/>
        <v>0.43292029276533195</v>
      </c>
      <c r="S52" s="2"/>
      <c r="T52" s="2">
        <v>79816.97</v>
      </c>
      <c r="U52" s="2"/>
      <c r="V52" s="19">
        <f t="shared" si="13"/>
        <v>0.39485168457484177</v>
      </c>
      <c r="W52" s="2"/>
      <c r="X52" s="2">
        <f t="shared" si="14"/>
        <v>7248.7600000000093</v>
      </c>
      <c r="Y52" s="2"/>
      <c r="Z52" s="19">
        <f t="shared" si="15"/>
        <v>9.0817278581234159E-2</v>
      </c>
    </row>
    <row r="53" spans="1:26" s="24" customFormat="1" hidden="1" outlineLevel="1" x14ac:dyDescent="0.25">
      <c r="A53" s="44"/>
      <c r="B53" s="11" t="str">
        <f>CONCATENATE("          ", "5031", " - ", "PURCHASES @ COST-FOOD")</f>
        <v xml:space="preserve">          5031 - PURCHASES @ COST-FOOD</v>
      </c>
      <c r="C53" s="11"/>
      <c r="D53" s="2">
        <v>7820.85</v>
      </c>
      <c r="E53" s="2"/>
      <c r="F53" s="19">
        <f t="shared" si="8"/>
        <v>0.10749778808166036</v>
      </c>
      <c r="G53" s="2"/>
      <c r="H53" s="2">
        <v>6218.31</v>
      </c>
      <c r="I53" s="2"/>
      <c r="J53" s="19">
        <f t="shared" si="9"/>
        <v>7.8677589038017706E-2</v>
      </c>
      <c r="K53" s="2"/>
      <c r="L53" s="2">
        <f t="shared" si="10"/>
        <v>1602.54</v>
      </c>
      <c r="M53" s="2"/>
      <c r="N53" s="19">
        <f t="shared" si="11"/>
        <v>0.25771310854556945</v>
      </c>
      <c r="O53" s="11"/>
      <c r="P53" s="2">
        <v>15821.79</v>
      </c>
      <c r="Q53" s="2"/>
      <c r="R53" s="19">
        <f t="shared" si="12"/>
        <v>7.8671297637676746E-2</v>
      </c>
      <c r="S53" s="2"/>
      <c r="T53" s="2">
        <v>13024.09</v>
      </c>
      <c r="U53" s="2"/>
      <c r="V53" s="19">
        <f t="shared" si="13"/>
        <v>6.4429705569559348E-2</v>
      </c>
      <c r="W53" s="2"/>
      <c r="X53" s="2">
        <f t="shared" si="14"/>
        <v>2797.7000000000007</v>
      </c>
      <c r="Y53" s="2"/>
      <c r="Z53" s="19">
        <f t="shared" si="15"/>
        <v>0.21480963353293786</v>
      </c>
    </row>
    <row r="54" spans="1:26" s="24" customFormat="1" hidden="1" outlineLevel="1" x14ac:dyDescent="0.25">
      <c r="A54" s="44"/>
      <c r="B54" s="11" t="str">
        <f>CONCATENATE("          ", "5032", " - ", "PURCHASES @ COST-JUICE")</f>
        <v xml:space="preserve">          5032 - PURCHASES @ COST-JUICE</v>
      </c>
      <c r="C54" s="11"/>
      <c r="D54" s="2">
        <v>2565.13</v>
      </c>
      <c r="E54" s="2"/>
      <c r="F54" s="19">
        <f t="shared" si="8"/>
        <v>3.5257779031935076E-2</v>
      </c>
      <c r="G54" s="2"/>
      <c r="H54" s="2">
        <v>1808.19</v>
      </c>
      <c r="I54" s="2"/>
      <c r="J54" s="19">
        <f t="shared" si="9"/>
        <v>2.2878246617272734E-2</v>
      </c>
      <c r="K54" s="2"/>
      <c r="L54" s="2">
        <f t="shared" si="10"/>
        <v>756.94</v>
      </c>
      <c r="M54" s="2"/>
      <c r="N54" s="19">
        <f t="shared" si="11"/>
        <v>0.41861751254016449</v>
      </c>
      <c r="O54" s="11"/>
      <c r="P54" s="2">
        <v>3384.28</v>
      </c>
      <c r="Q54" s="2"/>
      <c r="R54" s="19">
        <f t="shared" si="12"/>
        <v>1.6827786184068719E-2</v>
      </c>
      <c r="S54" s="2"/>
      <c r="T54" s="2">
        <v>3835.77</v>
      </c>
      <c r="U54" s="2"/>
      <c r="V54" s="19">
        <f t="shared" si="13"/>
        <v>1.8975416457698666E-2</v>
      </c>
      <c r="W54" s="2"/>
      <c r="X54" s="2">
        <f t="shared" si="14"/>
        <v>-451.48999999999978</v>
      </c>
      <c r="Y54" s="2"/>
      <c r="Z54" s="19">
        <f t="shared" si="15"/>
        <v>-0.11770518044616851</v>
      </c>
    </row>
    <row r="55" spans="1:26" s="24" customFormat="1" hidden="1" outlineLevel="1" x14ac:dyDescent="0.25">
      <c r="A55" s="44"/>
      <c r="B55" s="11" t="str">
        <f>CONCATENATE("          ", "5033", " - ", "PURCHASES @ COST-CANDY")</f>
        <v xml:space="preserve">          5033 - PURCHASES @ COST-CANDY</v>
      </c>
      <c r="C55" s="11"/>
      <c r="D55" s="2">
        <v>2029.05</v>
      </c>
      <c r="E55" s="2"/>
      <c r="F55" s="19">
        <f t="shared" si="8"/>
        <v>2.7889345391753188E-2</v>
      </c>
      <c r="G55" s="2"/>
      <c r="H55" s="2">
        <v>1489.14</v>
      </c>
      <c r="I55" s="2"/>
      <c r="J55" s="19">
        <f t="shared" si="9"/>
        <v>1.8841444852391354E-2</v>
      </c>
      <c r="K55" s="2"/>
      <c r="L55" s="2">
        <f t="shared" si="10"/>
        <v>539.90999999999985</v>
      </c>
      <c r="M55" s="2"/>
      <c r="N55" s="19">
        <f t="shared" si="11"/>
        <v>0.36256497038559155</v>
      </c>
      <c r="O55" s="11"/>
      <c r="P55" s="2">
        <v>4301.21</v>
      </c>
      <c r="Q55" s="2"/>
      <c r="R55" s="19">
        <f t="shared" si="12"/>
        <v>2.138707264551935E-2</v>
      </c>
      <c r="S55" s="2"/>
      <c r="T55" s="2">
        <v>2966.95</v>
      </c>
      <c r="U55" s="2"/>
      <c r="V55" s="19">
        <f t="shared" si="13"/>
        <v>1.4677395114714662E-2</v>
      </c>
      <c r="W55" s="2"/>
      <c r="X55" s="2">
        <f t="shared" si="14"/>
        <v>1334.2600000000002</v>
      </c>
      <c r="Y55" s="2"/>
      <c r="Z55" s="19">
        <f t="shared" si="15"/>
        <v>0.44970761219434108</v>
      </c>
    </row>
    <row r="56" spans="1:26" s="24" customFormat="1" hidden="1" outlineLevel="1" x14ac:dyDescent="0.25">
      <c r="A56" s="44"/>
      <c r="B56" s="11" t="str">
        <f>CONCATENATE("          ", "5034", " - ", "PURCHASES @ COST-SODA")</f>
        <v xml:space="preserve">          5034 - PURCHASES @ COST-SODA</v>
      </c>
      <c r="C56" s="11"/>
      <c r="D56" s="2">
        <v>876</v>
      </c>
      <c r="E56" s="2"/>
      <c r="F56" s="19">
        <f t="shared" si="8"/>
        <v>1.2040642942843101E-2</v>
      </c>
      <c r="G56" s="2"/>
      <c r="H56" s="2">
        <v>575.75</v>
      </c>
      <c r="I56" s="2"/>
      <c r="J56" s="19">
        <f t="shared" si="9"/>
        <v>7.2847159258124291E-3</v>
      </c>
      <c r="K56" s="2"/>
      <c r="L56" s="2">
        <f t="shared" si="10"/>
        <v>300.25</v>
      </c>
      <c r="M56" s="2"/>
      <c r="N56" s="19">
        <f t="shared" si="11"/>
        <v>0.52149370386452454</v>
      </c>
      <c r="O56" s="11"/>
      <c r="P56" s="2">
        <v>1494.54</v>
      </c>
      <c r="Q56" s="2"/>
      <c r="R56" s="19">
        <f t="shared" si="12"/>
        <v>7.4313589784350187E-3</v>
      </c>
      <c r="S56" s="2"/>
      <c r="T56" s="2">
        <v>1252.1099999999999</v>
      </c>
      <c r="U56" s="2"/>
      <c r="V56" s="19">
        <f t="shared" si="13"/>
        <v>6.1941432100592782E-3</v>
      </c>
      <c r="W56" s="2"/>
      <c r="X56" s="2">
        <f t="shared" si="14"/>
        <v>242.43000000000006</v>
      </c>
      <c r="Y56" s="2"/>
      <c r="Z56" s="19">
        <f t="shared" si="15"/>
        <v>0.19361717420993368</v>
      </c>
    </row>
    <row r="57" spans="1:26" s="24" customFormat="1" hidden="1" outlineLevel="1" x14ac:dyDescent="0.25">
      <c r="A57" s="44"/>
      <c r="B57" s="11" t="str">
        <f>CONCATENATE("          ", "5035", " - ", "PURCHASES @ COST-HEALTH &amp; BEAU")</f>
        <v xml:space="preserve">          5035 - PURCHASES @ COST-HEALTH &amp; BEAU</v>
      </c>
      <c r="C57" s="11"/>
      <c r="D57" s="2">
        <v>291.13</v>
      </c>
      <c r="E57" s="2"/>
      <c r="F57" s="19">
        <f t="shared" si="8"/>
        <v>4.0015894748286667E-3</v>
      </c>
      <c r="G57" s="2"/>
      <c r="H57" s="2">
        <v>265.63</v>
      </c>
      <c r="I57" s="2"/>
      <c r="J57" s="19">
        <f t="shared" si="9"/>
        <v>3.3609015916171176E-3</v>
      </c>
      <c r="K57" s="2"/>
      <c r="L57" s="2">
        <f t="shared" si="10"/>
        <v>25.5</v>
      </c>
      <c r="M57" s="2"/>
      <c r="N57" s="19">
        <f t="shared" si="11"/>
        <v>9.5998192975191063E-2</v>
      </c>
      <c r="O57" s="11"/>
      <c r="P57" s="2">
        <v>544.20000000000005</v>
      </c>
      <c r="Q57" s="2"/>
      <c r="R57" s="19">
        <f t="shared" si="12"/>
        <v>2.7059466833034497E-3</v>
      </c>
      <c r="S57" s="2"/>
      <c r="T57" s="2">
        <v>391.15</v>
      </c>
      <c r="U57" s="2"/>
      <c r="V57" s="19">
        <f t="shared" si="13"/>
        <v>1.9350050048435733E-3</v>
      </c>
      <c r="W57" s="2"/>
      <c r="X57" s="2">
        <f t="shared" si="14"/>
        <v>153.05000000000007</v>
      </c>
      <c r="Y57" s="2"/>
      <c r="Z57" s="19">
        <f t="shared" si="15"/>
        <v>0.39128211683497399</v>
      </c>
    </row>
    <row r="58" spans="1:26" s="24" customFormat="1" hidden="1" outlineLevel="1" x14ac:dyDescent="0.25">
      <c r="A58" s="44"/>
      <c r="B58" s="11" t="str">
        <f>CONCATENATE("          ", "5037", " - ", "PURCHASES @ COST-WATER")</f>
        <v xml:space="preserve">          5037 - PURCHASES @ COST-WATER</v>
      </c>
      <c r="C58" s="11"/>
      <c r="D58" s="2">
        <v>1463.27</v>
      </c>
      <c r="E58" s="2"/>
      <c r="F58" s="19">
        <f t="shared" si="8"/>
        <v>2.0112684473714639E-2</v>
      </c>
      <c r="G58" s="2"/>
      <c r="H58" s="2">
        <v>1459.34</v>
      </c>
      <c r="I58" s="2"/>
      <c r="J58" s="19">
        <f t="shared" si="9"/>
        <v>1.8464398331176916E-2</v>
      </c>
      <c r="K58" s="2"/>
      <c r="L58" s="2">
        <f t="shared" si="10"/>
        <v>3.9300000000000637</v>
      </c>
      <c r="M58" s="2"/>
      <c r="N58" s="19">
        <f t="shared" si="11"/>
        <v>2.6929982046679075E-3</v>
      </c>
      <c r="O58" s="11"/>
      <c r="P58" s="2">
        <v>2826.09</v>
      </c>
      <c r="Q58" s="2"/>
      <c r="R58" s="19">
        <f t="shared" si="12"/>
        <v>1.4052276483309529E-2</v>
      </c>
      <c r="S58" s="2"/>
      <c r="T58" s="2">
        <v>2649.44</v>
      </c>
      <c r="U58" s="2"/>
      <c r="V58" s="19">
        <f t="shared" si="13"/>
        <v>1.3106684545654499E-2</v>
      </c>
      <c r="W58" s="2"/>
      <c r="X58" s="2">
        <f t="shared" si="14"/>
        <v>176.65000000000009</v>
      </c>
      <c r="Y58" s="2"/>
      <c r="Z58" s="19">
        <f t="shared" si="15"/>
        <v>6.6674467057189477E-2</v>
      </c>
    </row>
    <row r="59" spans="1:26" s="24" customFormat="1" hidden="1" outlineLevel="1" x14ac:dyDescent="0.25">
      <c r="A59" s="44"/>
      <c r="B59" s="11" t="str">
        <f>CONCATENATE("          ", "5081", " - ", "PURCHASES @ COST-ELECTRONICS")</f>
        <v xml:space="preserve">          5081 - PURCHASES @ COST-ELECTRONICS</v>
      </c>
      <c r="C59" s="11"/>
      <c r="D59" s="2">
        <v>490.99</v>
      </c>
      <c r="E59" s="2"/>
      <c r="F59" s="19">
        <f t="shared" si="8"/>
        <v>6.7486704092540343E-3</v>
      </c>
      <c r="G59" s="2"/>
      <c r="H59" s="2">
        <v>627.16999999999996</v>
      </c>
      <c r="I59" s="2"/>
      <c r="J59" s="19">
        <f t="shared" si="9"/>
        <v>7.9353109634247177E-3</v>
      </c>
      <c r="K59" s="2"/>
      <c r="L59" s="2">
        <f t="shared" si="10"/>
        <v>-136.17999999999995</v>
      </c>
      <c r="M59" s="2"/>
      <c r="N59" s="19">
        <f t="shared" si="11"/>
        <v>-0.21713411036879945</v>
      </c>
      <c r="O59" s="11"/>
      <c r="P59" s="2">
        <v>963.07</v>
      </c>
      <c r="Q59" s="2"/>
      <c r="R59" s="19">
        <f t="shared" si="12"/>
        <v>4.7887101659115274E-3</v>
      </c>
      <c r="S59" s="2"/>
      <c r="T59" s="2">
        <v>1529.73</v>
      </c>
      <c r="U59" s="2"/>
      <c r="V59" s="19">
        <f t="shared" si="13"/>
        <v>7.5675193814632741E-3</v>
      </c>
      <c r="W59" s="2"/>
      <c r="X59" s="2">
        <f t="shared" si="14"/>
        <v>-566.66</v>
      </c>
      <c r="Y59" s="2"/>
      <c r="Z59" s="19">
        <f t="shared" si="15"/>
        <v>-0.37043138331601</v>
      </c>
    </row>
    <row r="60" spans="1:26" s="24" customFormat="1" hidden="1" outlineLevel="1" x14ac:dyDescent="0.25">
      <c r="A60" s="44"/>
      <c r="B60" s="11" t="str">
        <f>CONCATENATE("          ", "5082", " - ", "PURCHASES @ COST-COMPUTER HARD")</f>
        <v xml:space="preserve">          5082 - PURCHASES @ COST-COMPUTER HARD</v>
      </c>
      <c r="C60" s="11"/>
      <c r="D60" s="2"/>
      <c r="E60" s="2"/>
      <c r="F60" s="19">
        <f t="shared" si="8"/>
        <v>0</v>
      </c>
      <c r="G60" s="2"/>
      <c r="H60" s="2">
        <v>278</v>
      </c>
      <c r="I60" s="2"/>
      <c r="J60" s="19">
        <f t="shared" si="9"/>
        <v>3.517413855624586E-3</v>
      </c>
      <c r="K60" s="2"/>
      <c r="L60" s="2">
        <f t="shared" si="10"/>
        <v>-278</v>
      </c>
      <c r="M60" s="2"/>
      <c r="N60" s="19">
        <f t="shared" si="11"/>
        <v>-1</v>
      </c>
      <c r="O60" s="11"/>
      <c r="P60" s="2">
        <v>149.6</v>
      </c>
      <c r="Q60" s="2"/>
      <c r="R60" s="19">
        <f t="shared" si="12"/>
        <v>7.4386185928371185E-4</v>
      </c>
      <c r="S60" s="2"/>
      <c r="T60" s="2">
        <v>471</v>
      </c>
      <c r="U60" s="2"/>
      <c r="V60" s="19">
        <f t="shared" si="13"/>
        <v>2.3300200876423959E-3</v>
      </c>
      <c r="W60" s="2"/>
      <c r="X60" s="2">
        <f t="shared" si="14"/>
        <v>-321.39999999999998</v>
      </c>
      <c r="Y60" s="2"/>
      <c r="Z60" s="19">
        <f t="shared" si="15"/>
        <v>-0.68237791932059444</v>
      </c>
    </row>
    <row r="61" spans="1:26" s="24" customFormat="1" hidden="1" outlineLevel="1" x14ac:dyDescent="0.25">
      <c r="A61" s="44"/>
      <c r="B61" s="11" t="str">
        <f>CONCATENATE("          ", "5083", " - ", "PURCHASES @ COST-COMPUTER EQUI")</f>
        <v xml:space="preserve">          5083 - PURCHASES @ COST-COMPUTER EQUI</v>
      </c>
      <c r="C61" s="11"/>
      <c r="D61" s="2">
        <v>76.150000000000006</v>
      </c>
      <c r="E61" s="2"/>
      <c r="F61" s="19">
        <f t="shared" si="8"/>
        <v>1.0466837444035413E-3</v>
      </c>
      <c r="G61" s="2"/>
      <c r="H61" s="2">
        <v>93.36</v>
      </c>
      <c r="I61" s="2"/>
      <c r="J61" s="19">
        <f t="shared" si="9"/>
        <v>1.1812437322342134E-3</v>
      </c>
      <c r="K61" s="2"/>
      <c r="L61" s="2">
        <f t="shared" si="10"/>
        <v>-17.209999999999994</v>
      </c>
      <c r="M61" s="2"/>
      <c r="N61" s="19">
        <f t="shared" si="11"/>
        <v>-0.18434018851756634</v>
      </c>
      <c r="O61" s="11"/>
      <c r="P61" s="2">
        <v>192.2</v>
      </c>
      <c r="Q61" s="2"/>
      <c r="R61" s="19">
        <f t="shared" si="12"/>
        <v>9.5568348498883298E-4</v>
      </c>
      <c r="S61" s="2"/>
      <c r="T61" s="2">
        <v>276.12</v>
      </c>
      <c r="U61" s="2"/>
      <c r="V61" s="19">
        <f t="shared" si="13"/>
        <v>1.365955725265007E-3</v>
      </c>
      <c r="W61" s="2"/>
      <c r="X61" s="2">
        <f t="shared" si="14"/>
        <v>-83.920000000000016</v>
      </c>
      <c r="Y61" s="2"/>
      <c r="Z61" s="19">
        <f t="shared" si="15"/>
        <v>-0.3039258293495582</v>
      </c>
    </row>
    <row r="62" spans="1:26" s="24" customFormat="1" hidden="1" outlineLevel="1" x14ac:dyDescent="0.25">
      <c r="A62" s="44"/>
      <c r="B62" s="11" t="str">
        <f>CONCATENATE("          ", "5086", " - ", "PURCHASES @ COST-COMPUTER SUPP")</f>
        <v xml:space="preserve">          5086 - PURCHASES @ COST-COMPUTER SUPP</v>
      </c>
      <c r="C62" s="11"/>
      <c r="D62" s="2">
        <v>54</v>
      </c>
      <c r="E62" s="2"/>
      <c r="F62" s="19">
        <f t="shared" si="8"/>
        <v>7.4223141428484871E-4</v>
      </c>
      <c r="G62" s="2"/>
      <c r="H62" s="2">
        <v>214.62</v>
      </c>
      <c r="I62" s="2"/>
      <c r="J62" s="19">
        <f t="shared" si="9"/>
        <v>2.7154941068134844E-3</v>
      </c>
      <c r="K62" s="2"/>
      <c r="L62" s="2">
        <f t="shared" si="10"/>
        <v>-160.62</v>
      </c>
      <c r="M62" s="2"/>
      <c r="N62" s="19">
        <f t="shared" si="11"/>
        <v>-0.74839250768800669</v>
      </c>
      <c r="O62" s="11"/>
      <c r="P62" s="2">
        <v>141</v>
      </c>
      <c r="Q62" s="2"/>
      <c r="R62" s="19">
        <f t="shared" si="12"/>
        <v>7.0109974705216162E-4</v>
      </c>
      <c r="S62" s="2"/>
      <c r="T62" s="2">
        <v>457.53</v>
      </c>
      <c r="U62" s="2"/>
      <c r="V62" s="19">
        <f t="shared" si="13"/>
        <v>2.2633844813142786E-3</v>
      </c>
      <c r="W62" s="2"/>
      <c r="X62" s="2">
        <f t="shared" si="14"/>
        <v>-316.52999999999997</v>
      </c>
      <c r="Y62" s="2"/>
      <c r="Z62" s="19">
        <f t="shared" si="15"/>
        <v>-0.69182348698446006</v>
      </c>
    </row>
    <row r="63" spans="1:26" s="24" customFormat="1" hidden="1" outlineLevel="1" x14ac:dyDescent="0.25">
      <c r="A63" s="44"/>
      <c r="B63" s="11" t="str">
        <f>CONCATENATE("          ", "5200", " - ", "PURCHASES OFFSET")</f>
        <v xml:space="preserve">          5200 - PURCHASES OFFSET</v>
      </c>
      <c r="C63" s="11"/>
      <c r="D63" s="2">
        <v>-37764</v>
      </c>
      <c r="E63" s="2"/>
      <c r="F63" s="19">
        <f t="shared" si="8"/>
        <v>-0.51906716905653749</v>
      </c>
      <c r="G63" s="2"/>
      <c r="H63" s="2">
        <v>-42997</v>
      </c>
      <c r="I63" s="2"/>
      <c r="J63" s="19">
        <f t="shared" si="9"/>
        <v>-0.54402245881399391</v>
      </c>
      <c r="K63" s="2"/>
      <c r="L63" s="2">
        <f t="shared" si="10"/>
        <v>5233</v>
      </c>
      <c r="M63" s="2"/>
      <c r="N63" s="19">
        <f t="shared" si="11"/>
        <v>-0.12170616554643347</v>
      </c>
      <c r="O63" s="11"/>
      <c r="P63" s="2">
        <v>-121741</v>
      </c>
      <c r="Q63" s="2"/>
      <c r="R63" s="19">
        <f t="shared" si="12"/>
        <v>-0.60533747734664689</v>
      </c>
      <c r="S63" s="2"/>
      <c r="T63" s="2">
        <v>-110978</v>
      </c>
      <c r="U63" s="2"/>
      <c r="V63" s="19">
        <f t="shared" si="13"/>
        <v>-0.54900418107511206</v>
      </c>
      <c r="W63" s="2"/>
      <c r="X63" s="2">
        <f t="shared" si="14"/>
        <v>-10763</v>
      </c>
      <c r="Y63" s="2"/>
      <c r="Z63" s="19">
        <f t="shared" si="15"/>
        <v>9.6983185856656273E-2</v>
      </c>
    </row>
    <row r="64" spans="1:26" s="24" customFormat="1" hidden="1" outlineLevel="1" x14ac:dyDescent="0.25">
      <c r="A64" s="44"/>
      <c r="B64" s="11" t="str">
        <f>CONCATENATE("          ", "5300", " - ", "COG$ OFFSET")</f>
        <v xml:space="preserve">          5300 - COG$ OFFSET</v>
      </c>
      <c r="C64" s="11"/>
      <c r="D64" s="2">
        <v>37851</v>
      </c>
      <c r="E64" s="2"/>
      <c r="F64" s="19">
        <f t="shared" si="8"/>
        <v>0.52026298633510759</v>
      </c>
      <c r="G64" s="2"/>
      <c r="H64" s="2">
        <v>42398</v>
      </c>
      <c r="I64" s="2"/>
      <c r="J64" s="19">
        <f t="shared" si="9"/>
        <v>0.53644357068622728</v>
      </c>
      <c r="K64" s="2"/>
      <c r="L64" s="2">
        <f t="shared" si="10"/>
        <v>-4547</v>
      </c>
      <c r="M64" s="2"/>
      <c r="N64" s="19">
        <f t="shared" si="11"/>
        <v>-0.10724562479362235</v>
      </c>
      <c r="O64" s="11"/>
      <c r="P64" s="2">
        <v>105176</v>
      </c>
      <c r="Q64" s="2"/>
      <c r="R64" s="19">
        <f t="shared" si="12"/>
        <v>0.52297068791459678</v>
      </c>
      <c r="S64" s="2"/>
      <c r="T64" s="2">
        <v>108884</v>
      </c>
      <c r="U64" s="2"/>
      <c r="V64" s="19">
        <f t="shared" si="13"/>
        <v>0.53864523826508415</v>
      </c>
      <c r="W64" s="2"/>
      <c r="X64" s="2">
        <f t="shared" si="14"/>
        <v>-3708</v>
      </c>
      <c r="Y64" s="2"/>
      <c r="Z64" s="19">
        <f t="shared" si="15"/>
        <v>-3.4054590206090883E-2</v>
      </c>
    </row>
    <row r="65" spans="1:26" s="24" customFormat="1" hidden="1" outlineLevel="1" x14ac:dyDescent="0.25">
      <c r="A65" s="44"/>
      <c r="B65" s="11" t="str">
        <f>CONCATENATE("          ", "5527", " - ", "FREIGHT-IN-SCHOOL SUPPLIES")</f>
        <v xml:space="preserve">          5527 - FREIGHT-IN-SCHOOL SUPPLIES</v>
      </c>
      <c r="C65" s="11"/>
      <c r="D65" s="2">
        <v>12.52</v>
      </c>
      <c r="E65" s="2"/>
      <c r="F65" s="19">
        <f t="shared" si="8"/>
        <v>1.7208772790456122E-4</v>
      </c>
      <c r="G65" s="2"/>
      <c r="H65" s="2"/>
      <c r="I65" s="2"/>
      <c r="J65" s="19">
        <f t="shared" si="9"/>
        <v>0</v>
      </c>
      <c r="K65" s="2"/>
      <c r="L65" s="2">
        <f t="shared" si="10"/>
        <v>12.52</v>
      </c>
      <c r="M65" s="2"/>
      <c r="N65" s="19">
        <f t="shared" si="11"/>
        <v>0</v>
      </c>
      <c r="O65" s="11"/>
      <c r="P65" s="2">
        <v>12.52</v>
      </c>
      <c r="Q65" s="2"/>
      <c r="R65" s="19">
        <f t="shared" si="12"/>
        <v>6.2253679667326694E-5</v>
      </c>
      <c r="S65" s="2"/>
      <c r="T65" s="2">
        <v>88.48</v>
      </c>
      <c r="U65" s="2"/>
      <c r="V65" s="19">
        <f t="shared" si="13"/>
        <v>4.3770738291846963E-4</v>
      </c>
      <c r="W65" s="2"/>
      <c r="X65" s="2">
        <f t="shared" si="14"/>
        <v>-75.960000000000008</v>
      </c>
      <c r="Y65" s="2"/>
      <c r="Z65" s="19">
        <f t="shared" si="15"/>
        <v>-0.85849909584086803</v>
      </c>
    </row>
    <row r="66" spans="1:26" s="24" customFormat="1" hidden="1" outlineLevel="1" x14ac:dyDescent="0.25">
      <c r="A66" s="44"/>
      <c r="B66" s="11" t="str">
        <f>CONCATENATE("          ", "5528", " - ", "FREIGHT-IN-ART/TECH")</f>
        <v xml:space="preserve">          5528 - FREIGHT-IN-ART/TECH</v>
      </c>
      <c r="C66" s="11"/>
      <c r="D66" s="2">
        <v>185.67</v>
      </c>
      <c r="E66" s="2"/>
      <c r="F66" s="19">
        <f t="shared" si="8"/>
        <v>2.5520390127827378E-3</v>
      </c>
      <c r="G66" s="2"/>
      <c r="H66" s="2">
        <v>538.77</v>
      </c>
      <c r="I66" s="2"/>
      <c r="J66" s="19">
        <f t="shared" si="9"/>
        <v>6.8168239676074036E-3</v>
      </c>
      <c r="K66" s="2"/>
      <c r="L66" s="2">
        <f t="shared" si="10"/>
        <v>-353.1</v>
      </c>
      <c r="M66" s="2"/>
      <c r="N66" s="19">
        <f t="shared" si="11"/>
        <v>-0.6553817027674147</v>
      </c>
      <c r="O66" s="11"/>
      <c r="P66" s="2">
        <v>774.44</v>
      </c>
      <c r="Q66" s="2"/>
      <c r="R66" s="19">
        <f t="shared" si="12"/>
        <v>3.850777929837419E-3</v>
      </c>
      <c r="S66" s="2"/>
      <c r="T66" s="2">
        <v>1088.17</v>
      </c>
      <c r="U66" s="2"/>
      <c r="V66" s="19">
        <f t="shared" si="13"/>
        <v>5.3831379167087598E-3</v>
      </c>
      <c r="W66" s="2"/>
      <c r="X66" s="2">
        <f t="shared" si="14"/>
        <v>-313.73</v>
      </c>
      <c r="Y66" s="2"/>
      <c r="Z66" s="19">
        <f t="shared" si="15"/>
        <v>-0.28830973101629342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8" t="s">
        <v>6</v>
      </c>
      <c r="C68" s="28"/>
      <c r="D68" s="21">
        <f>D12-D47</f>
        <v>34903.019999999982</v>
      </c>
      <c r="E68" s="14"/>
      <c r="F68" s="22">
        <f>IF(D$12=0,0,D68/D$12)</f>
        <v>0.47974292402615454</v>
      </c>
      <c r="G68" s="14"/>
      <c r="H68" s="21">
        <f>H12-H47</f>
        <v>36636.319999999985</v>
      </c>
      <c r="I68" s="14"/>
      <c r="J68" s="22">
        <f>IF(H$12=0,0,H68/H$12)</f>
        <v>0.46354352369459023</v>
      </c>
      <c r="K68" s="16"/>
      <c r="L68" s="21">
        <f>+D68-H68</f>
        <v>-1733.3000000000029</v>
      </c>
      <c r="M68" s="16"/>
      <c r="N68" s="22">
        <f>IF(H68=0,0,L68/H68)</f>
        <v>-4.7310974464684324E-2</v>
      </c>
      <c r="O68" s="29"/>
      <c r="P68" s="21">
        <f>P12-P47</f>
        <v>95937.899999999951</v>
      </c>
      <c r="Q68" s="14"/>
      <c r="R68" s="22">
        <f>IF(P$12=0,0,P68/P$12)</f>
        <v>0.4770357264022379</v>
      </c>
      <c r="S68" s="14"/>
      <c r="T68" s="21">
        <f>T12-T47</f>
        <v>93257.149999999921</v>
      </c>
      <c r="U68" s="14"/>
      <c r="V68" s="22">
        <f>IF(T$12=0,0,T68/T$12)</f>
        <v>0.46133977243371521</v>
      </c>
      <c r="W68" s="16"/>
      <c r="X68" s="21">
        <f>+P68-T68</f>
        <v>2680.7500000000291</v>
      </c>
      <c r="Y68" s="16"/>
      <c r="Z68" s="22">
        <f>IF(T68=0,0,X68/T68)</f>
        <v>2.8745785175721447E-2</v>
      </c>
    </row>
    <row r="69" spans="1:26" x14ac:dyDescent="0.25">
      <c r="A69" s="9"/>
      <c r="B69" s="10"/>
      <c r="C69" s="9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9" t="s">
        <v>9</v>
      </c>
      <c r="C70" s="10"/>
      <c r="D70" s="20">
        <f>SUM(OSRRefD22x_0)</f>
        <v>16254.9</v>
      </c>
      <c r="E70" s="20"/>
      <c r="F70" s="35">
        <f t="shared" ref="F70:F79" si="16">IF(D$12=0,0,D70/D$12)</f>
        <v>0.22342402622331087</v>
      </c>
      <c r="G70" s="20"/>
      <c r="H70" s="20">
        <f>SUM(OSRRefH22x_0)</f>
        <v>16747.420000000006</v>
      </c>
      <c r="I70" s="20"/>
      <c r="J70" s="35">
        <f t="shared" ref="J70:J79" si="17">IF(H$12=0,0,H70/H$12)</f>
        <v>0.21189786746030331</v>
      </c>
      <c r="K70" s="4"/>
      <c r="L70" s="20">
        <f t="shared" ref="L70:L79" si="18">+D70-H70</f>
        <v>-492.52000000000589</v>
      </c>
      <c r="M70" s="4"/>
      <c r="N70" s="35">
        <f t="shared" ref="N70:N79" si="19">IF(H70=0,0,L70/H70)</f>
        <v>-2.9408708923524086E-2</v>
      </c>
      <c r="O70" s="10"/>
      <c r="P70" s="20">
        <f>SUM(OSRRefP22x_0)</f>
        <v>46976.480000000018</v>
      </c>
      <c r="Q70" s="20"/>
      <c r="R70" s="35">
        <f t="shared" ref="R70:R79" si="20">IF(P$12=0,0,P70/P$12)</f>
        <v>0.23358296627943931</v>
      </c>
      <c r="S70" s="20"/>
      <c r="T70" s="20">
        <f>SUM(OSRRefT22x_0)</f>
        <v>50038.37000000001</v>
      </c>
      <c r="U70" s="20"/>
      <c r="V70" s="35">
        <f t="shared" ref="V70:V79" si="21">IF(T$12=0,0,T70/T$12)</f>
        <v>0.2475380196451861</v>
      </c>
      <c r="W70" s="4"/>
      <c r="X70" s="20">
        <f t="shared" ref="X70:X79" si="22">+P70-T70</f>
        <v>-3061.8899999999921</v>
      </c>
      <c r="Y70" s="4"/>
      <c r="Z70" s="35">
        <f t="shared" ref="Z70:Z79" si="23">IF(T70=0,0,X70/T70)</f>
        <v>-6.1190842147735659E-2</v>
      </c>
    </row>
    <row r="71" spans="1:26" s="27" customFormat="1" outlineLevel="1" collapsed="1" x14ac:dyDescent="0.25">
      <c r="A71" s="25"/>
      <c r="B71" s="13" t="str">
        <f>CONCATENATE("     ","*Benefits                                         ")</f>
        <v xml:space="preserve">     *Benefits                                         </v>
      </c>
      <c r="C71" s="13"/>
      <c r="D71" s="1">
        <f>SUM(OSRRefD22_0x_0)</f>
        <v>2062.6799999999994</v>
      </c>
      <c r="E71" s="1"/>
      <c r="F71" s="5">
        <f t="shared" si="16"/>
        <v>2.8351590622538357E-2</v>
      </c>
      <c r="G71" s="1"/>
      <c r="H71" s="1">
        <f>SUM(OSRRefH22_0x_0)</f>
        <v>2528.1999999999998</v>
      </c>
      <c r="I71" s="1"/>
      <c r="J71" s="5">
        <f t="shared" si="17"/>
        <v>3.198822197766215E-2</v>
      </c>
      <c r="K71" s="1"/>
      <c r="L71" s="1">
        <f t="shared" si="18"/>
        <v>-465.52000000000044</v>
      </c>
      <c r="M71" s="1"/>
      <c r="N71" s="5">
        <f t="shared" si="19"/>
        <v>-0.18413100229412249</v>
      </c>
      <c r="O71" s="13"/>
      <c r="P71" s="1">
        <f>SUM(OSRRefP22_0x_0)</f>
        <v>6242.81</v>
      </c>
      <c r="Q71" s="1"/>
      <c r="R71" s="5">
        <f t="shared" si="20"/>
        <v>3.1041365332586564E-2</v>
      </c>
      <c r="S71" s="1"/>
      <c r="T71" s="1">
        <f>SUM(OSRRefT22_0x_0)</f>
        <v>7782.3600000000006</v>
      </c>
      <c r="U71" s="1"/>
      <c r="V71" s="5">
        <f t="shared" si="21"/>
        <v>3.8499055476145808E-2</v>
      </c>
      <c r="W71" s="1"/>
      <c r="X71" s="1">
        <f t="shared" si="22"/>
        <v>-1539.5500000000002</v>
      </c>
      <c r="Y71" s="1"/>
      <c r="Z71" s="5">
        <f t="shared" si="23"/>
        <v>-0.19782559532069965</v>
      </c>
    </row>
    <row r="72" spans="1:26" s="24" customFormat="1" hidden="1" outlineLevel="2" x14ac:dyDescent="0.25">
      <c r="A72" s="26"/>
      <c r="B72" s="11" t="str">
        <f>CONCATENATE("          ", "6111", " - ", "F.I.C.A.")</f>
        <v xml:space="preserve">          6111 - F.I.C.A.</v>
      </c>
      <c r="C72" s="11"/>
      <c r="D72" s="6">
        <v>297.12</v>
      </c>
      <c r="E72" s="2"/>
      <c r="F72" s="7">
        <f t="shared" si="16"/>
        <v>4.0839221817095227E-3</v>
      </c>
      <c r="G72" s="2"/>
      <c r="H72" s="6">
        <v>823.41</v>
      </c>
      <c r="I72" s="2"/>
      <c r="J72" s="7">
        <f t="shared" si="17"/>
        <v>1.0418250873596548E-2</v>
      </c>
      <c r="K72" s="2"/>
      <c r="L72" s="6">
        <f t="shared" si="18"/>
        <v>-526.29</v>
      </c>
      <c r="M72" s="2"/>
      <c r="N72" s="7">
        <f t="shared" si="19"/>
        <v>-0.63915910664189157</v>
      </c>
      <c r="O72" s="11"/>
      <c r="P72" s="6">
        <v>1202.3499999999999</v>
      </c>
      <c r="Q72" s="2"/>
      <c r="R72" s="7">
        <f t="shared" si="20"/>
        <v>5.9784913536749399E-3</v>
      </c>
      <c r="S72" s="2"/>
      <c r="T72" s="6">
        <v>1976.99</v>
      </c>
      <c r="U72" s="2"/>
      <c r="V72" s="7">
        <f t="shared" si="21"/>
        <v>9.7800985415459445E-3</v>
      </c>
      <c r="W72" s="2"/>
      <c r="X72" s="6">
        <f t="shared" si="22"/>
        <v>-774.6400000000001</v>
      </c>
      <c r="Y72" s="2"/>
      <c r="Z72" s="7">
        <f t="shared" si="23"/>
        <v>-0.39182798092049032</v>
      </c>
    </row>
    <row r="73" spans="1:26" s="24" customFormat="1" hidden="1" outlineLevel="2" x14ac:dyDescent="0.25">
      <c r="A73" s="26"/>
      <c r="B73" s="11" t="str">
        <f>CONCATENATE("          ", "6112", " - ", "COMPENSATION INSURANCE")</f>
        <v xml:space="preserve">          6112 - COMPENSATION INSURANCE</v>
      </c>
      <c r="C73" s="11"/>
      <c r="D73" s="6">
        <v>33.909999999999997</v>
      </c>
      <c r="E73" s="2"/>
      <c r="F73" s="7">
        <f t="shared" si="16"/>
        <v>4.6609383811850401E-4</v>
      </c>
      <c r="G73" s="2"/>
      <c r="H73" s="6">
        <v>229.03</v>
      </c>
      <c r="I73" s="2"/>
      <c r="J73" s="7">
        <f t="shared" si="17"/>
        <v>2.8978176091859673E-3</v>
      </c>
      <c r="K73" s="2"/>
      <c r="L73" s="6">
        <f t="shared" si="18"/>
        <v>-195.12</v>
      </c>
      <c r="M73" s="2"/>
      <c r="N73" s="7">
        <f t="shared" si="19"/>
        <v>-0.85194079378247389</v>
      </c>
      <c r="O73" s="11"/>
      <c r="P73" s="6">
        <v>373.85</v>
      </c>
      <c r="Q73" s="2"/>
      <c r="R73" s="7">
        <f t="shared" si="20"/>
        <v>1.8589087974145435E-3</v>
      </c>
      <c r="S73" s="2"/>
      <c r="T73" s="6">
        <v>379.72</v>
      </c>
      <c r="U73" s="2"/>
      <c r="V73" s="7">
        <f t="shared" si="21"/>
        <v>1.8784612052644811E-3</v>
      </c>
      <c r="W73" s="2"/>
      <c r="X73" s="6">
        <f t="shared" si="22"/>
        <v>-5.8700000000000045</v>
      </c>
      <c r="Y73" s="2"/>
      <c r="Z73" s="7">
        <f t="shared" si="23"/>
        <v>-1.5458759085642064E-2</v>
      </c>
    </row>
    <row r="74" spans="1:26" s="24" customFormat="1" hidden="1" outlineLevel="2" x14ac:dyDescent="0.25">
      <c r="A74" s="26"/>
      <c r="B74" s="11" t="str">
        <f>CONCATENATE("          ", "6113", " - ", "GROUP INSURANCE")</f>
        <v xml:space="preserve">          6113 - GROUP INSURANCE</v>
      </c>
      <c r="C74" s="11"/>
      <c r="D74" s="6">
        <v>1057.33</v>
      </c>
      <c r="E74" s="2"/>
      <c r="F74" s="7">
        <f t="shared" si="16"/>
        <v>1.4533028541959241E-2</v>
      </c>
      <c r="G74" s="2"/>
      <c r="H74" s="6">
        <v>691.86</v>
      </c>
      <c r="I74" s="2"/>
      <c r="J74" s="7">
        <f t="shared" si="17"/>
        <v>8.7538055760878631E-3</v>
      </c>
      <c r="K74" s="2"/>
      <c r="L74" s="6">
        <f t="shared" si="18"/>
        <v>365.46999999999991</v>
      </c>
      <c r="M74" s="2"/>
      <c r="N74" s="7">
        <f t="shared" si="19"/>
        <v>0.52824270806232465</v>
      </c>
      <c r="O74" s="11"/>
      <c r="P74" s="6">
        <v>2102.44</v>
      </c>
      <c r="Q74" s="2"/>
      <c r="R74" s="7">
        <f t="shared" si="20"/>
        <v>1.0454043632569835E-2</v>
      </c>
      <c r="S74" s="2"/>
      <c r="T74" s="6">
        <v>2103.9</v>
      </c>
      <c r="U74" s="2"/>
      <c r="V74" s="7">
        <f t="shared" si="21"/>
        <v>1.04079177545453E-2</v>
      </c>
      <c r="W74" s="2"/>
      <c r="X74" s="6">
        <f t="shared" si="22"/>
        <v>-1.4600000000000364</v>
      </c>
      <c r="Y74" s="2"/>
      <c r="Z74" s="7">
        <f t="shared" si="23"/>
        <v>-6.9394933219261198E-4</v>
      </c>
    </row>
    <row r="75" spans="1:26" s="24" customFormat="1" hidden="1" outlineLevel="2" x14ac:dyDescent="0.25">
      <c r="A75" s="26"/>
      <c r="B75" s="11" t="str">
        <f>CONCATENATE("          ", "6114", " - ", "STATE UNEMPLOYMENT INSURANCE")</f>
        <v xml:space="preserve">          6114 - STATE UNEMPLOYMENT INSURANCE</v>
      </c>
      <c r="C75" s="11"/>
      <c r="D75" s="6">
        <v>27.03</v>
      </c>
      <c r="E75" s="2"/>
      <c r="F75" s="7">
        <f t="shared" si="16"/>
        <v>3.7152805792813818E-4</v>
      </c>
      <c r="G75" s="2"/>
      <c r="H75" s="6">
        <v>25.54</v>
      </c>
      <c r="I75" s="2"/>
      <c r="J75" s="7">
        <f t="shared" si="17"/>
        <v>3.2314658227572635E-4</v>
      </c>
      <c r="K75" s="2"/>
      <c r="L75" s="6">
        <f t="shared" si="18"/>
        <v>1.490000000000002</v>
      </c>
      <c r="M75" s="2"/>
      <c r="N75" s="7">
        <f t="shared" si="19"/>
        <v>5.8339859044635949E-2</v>
      </c>
      <c r="O75" s="11"/>
      <c r="P75" s="6">
        <v>73.55</v>
      </c>
      <c r="Q75" s="2"/>
      <c r="R75" s="7">
        <f t="shared" si="20"/>
        <v>3.6571550635238642E-4</v>
      </c>
      <c r="S75" s="2"/>
      <c r="T75" s="6">
        <v>82.97</v>
      </c>
      <c r="U75" s="2"/>
      <c r="V75" s="7">
        <f t="shared" si="21"/>
        <v>4.104496107679184E-4</v>
      </c>
      <c r="W75" s="2"/>
      <c r="X75" s="6">
        <f t="shared" si="22"/>
        <v>-9.4200000000000017</v>
      </c>
      <c r="Y75" s="2"/>
      <c r="Z75" s="7">
        <f t="shared" si="23"/>
        <v>-0.1135350126551766</v>
      </c>
    </row>
    <row r="76" spans="1:26" s="24" customFormat="1" hidden="1" outlineLevel="2" x14ac:dyDescent="0.25">
      <c r="A76" s="26"/>
      <c r="B76" s="11" t="str">
        <f>CONCATENATE("          ", "6115", " - ", "P.E.R.S.")</f>
        <v xml:space="preserve">          6115 - P.E.R.S.</v>
      </c>
      <c r="C76" s="11"/>
      <c r="D76" s="6">
        <v>167.64</v>
      </c>
      <c r="E76" s="2"/>
      <c r="F76" s="7">
        <f t="shared" si="16"/>
        <v>2.3042161905687413E-3</v>
      </c>
      <c r="G76" s="2"/>
      <c r="H76" s="6">
        <v>250.45</v>
      </c>
      <c r="I76" s="2"/>
      <c r="J76" s="7">
        <f t="shared" si="17"/>
        <v>3.1688356120186242E-3</v>
      </c>
      <c r="K76" s="2"/>
      <c r="L76" s="6">
        <f t="shared" si="18"/>
        <v>-82.81</v>
      </c>
      <c r="M76" s="2"/>
      <c r="N76" s="7">
        <f t="shared" si="19"/>
        <v>-0.33064483928927935</v>
      </c>
      <c r="O76" s="11"/>
      <c r="P76" s="6">
        <v>737.62</v>
      </c>
      <c r="Q76" s="2"/>
      <c r="R76" s="7">
        <f t="shared" si="20"/>
        <v>3.6676964214228049E-3</v>
      </c>
      <c r="S76" s="2"/>
      <c r="T76" s="6">
        <v>1123.3800000000001</v>
      </c>
      <c r="U76" s="2"/>
      <c r="V76" s="7">
        <f t="shared" si="21"/>
        <v>5.5573205224112836E-3</v>
      </c>
      <c r="W76" s="2"/>
      <c r="X76" s="6">
        <f t="shared" si="22"/>
        <v>-385.7600000000001</v>
      </c>
      <c r="Y76" s="2"/>
      <c r="Z76" s="7">
        <f t="shared" si="23"/>
        <v>-0.34339226263597367</v>
      </c>
    </row>
    <row r="77" spans="1:26" s="24" customFormat="1" hidden="1" outlineLevel="2" x14ac:dyDescent="0.25">
      <c r="A77" s="26"/>
      <c r="B77" s="11" t="str">
        <f>CONCATENATE("          ", "6118", " - ", "VACATION")</f>
        <v xml:space="preserve">          6118 - VACATION</v>
      </c>
      <c r="C77" s="11"/>
      <c r="D77" s="6">
        <v>138.6</v>
      </c>
      <c r="E77" s="2"/>
      <c r="F77" s="7">
        <f t="shared" si="16"/>
        <v>1.9050606299977782E-3</v>
      </c>
      <c r="G77" s="2"/>
      <c r="H77" s="6">
        <v>105.69</v>
      </c>
      <c r="I77" s="2"/>
      <c r="J77" s="7">
        <f t="shared" si="17"/>
        <v>1.3372498935286421E-3</v>
      </c>
      <c r="K77" s="2"/>
      <c r="L77" s="6">
        <f t="shared" si="18"/>
        <v>32.909999999999997</v>
      </c>
      <c r="M77" s="2"/>
      <c r="N77" s="7">
        <f t="shared" si="19"/>
        <v>0.31138234459267666</v>
      </c>
      <c r="O77" s="11"/>
      <c r="P77" s="6">
        <v>562.91999999999996</v>
      </c>
      <c r="Q77" s="2"/>
      <c r="R77" s="7">
        <f t="shared" si="20"/>
        <v>2.7990288624865447E-3</v>
      </c>
      <c r="S77" s="2"/>
      <c r="T77" s="6">
        <v>597.89</v>
      </c>
      <c r="U77" s="2"/>
      <c r="V77" s="7">
        <f t="shared" si="21"/>
        <v>2.9577403613598981E-3</v>
      </c>
      <c r="W77" s="2"/>
      <c r="X77" s="6">
        <f t="shared" si="22"/>
        <v>-34.970000000000027</v>
      </c>
      <c r="Y77" s="2"/>
      <c r="Z77" s="7">
        <f t="shared" si="23"/>
        <v>-5.8489019719346412E-2</v>
      </c>
    </row>
    <row r="78" spans="1:26" s="24" customFormat="1" hidden="1" outlineLevel="2" x14ac:dyDescent="0.25">
      <c r="A78" s="26"/>
      <c r="B78" s="11" t="str">
        <f>CONCATENATE("          ", "6119", " - ", "SICK LEAVE")</f>
        <v xml:space="preserve">          6119 - SICK LEAVE</v>
      </c>
      <c r="C78" s="11"/>
      <c r="D78" s="6">
        <v>166.05</v>
      </c>
      <c r="E78" s="2"/>
      <c r="F78" s="7">
        <f t="shared" si="16"/>
        <v>2.2823615989259098E-3</v>
      </c>
      <c r="G78" s="2"/>
      <c r="H78" s="6">
        <v>253.26</v>
      </c>
      <c r="I78" s="2"/>
      <c r="J78" s="7">
        <f t="shared" si="17"/>
        <v>3.2043893276096497E-3</v>
      </c>
      <c r="K78" s="2"/>
      <c r="L78" s="6">
        <f t="shared" si="18"/>
        <v>-87.20999999999998</v>
      </c>
      <c r="M78" s="2"/>
      <c r="N78" s="7">
        <f t="shared" si="19"/>
        <v>-0.3443496801705756</v>
      </c>
      <c r="O78" s="11"/>
      <c r="P78" s="6">
        <v>542.42999999999995</v>
      </c>
      <c r="Q78" s="2"/>
      <c r="R78" s="7">
        <f t="shared" si="20"/>
        <v>2.6971456439255602E-3</v>
      </c>
      <c r="S78" s="2"/>
      <c r="T78" s="6">
        <v>918.77</v>
      </c>
      <c r="U78" s="2"/>
      <c r="V78" s="7">
        <f t="shared" si="21"/>
        <v>4.5451221994123221E-3</v>
      </c>
      <c r="W78" s="2"/>
      <c r="X78" s="6">
        <f t="shared" si="22"/>
        <v>-376.34000000000003</v>
      </c>
      <c r="Y78" s="2"/>
      <c r="Z78" s="7">
        <f t="shared" si="23"/>
        <v>-0.40961285196512731</v>
      </c>
    </row>
    <row r="79" spans="1:26" s="24" customFormat="1" hidden="1" outlineLevel="2" x14ac:dyDescent="0.25">
      <c r="A79" s="26"/>
      <c r="B79" s="11" t="str">
        <f>CONCATENATE("          ", "6156", " - ", "EMPLOYEE MEALS")</f>
        <v xml:space="preserve">          6156 - EMPLOYEE MEALS</v>
      </c>
      <c r="C79" s="11"/>
      <c r="D79" s="6">
        <v>175</v>
      </c>
      <c r="E79" s="2"/>
      <c r="F79" s="7">
        <f t="shared" si="16"/>
        <v>2.405379583330528E-3</v>
      </c>
      <c r="G79" s="2"/>
      <c r="H79" s="6">
        <v>148.96</v>
      </c>
      <c r="I79" s="2"/>
      <c r="J79" s="7">
        <f t="shared" si="17"/>
        <v>1.8847265033591308E-3</v>
      </c>
      <c r="K79" s="2"/>
      <c r="L79" s="6">
        <f t="shared" si="18"/>
        <v>26.039999999999992</v>
      </c>
      <c r="M79" s="2"/>
      <c r="N79" s="7">
        <f t="shared" si="19"/>
        <v>0.17481203007518792</v>
      </c>
      <c r="O79" s="11"/>
      <c r="P79" s="6">
        <v>647.65</v>
      </c>
      <c r="Q79" s="2"/>
      <c r="R79" s="7">
        <f t="shared" si="20"/>
        <v>3.2203351147399467E-3</v>
      </c>
      <c r="S79" s="2"/>
      <c r="T79" s="6">
        <v>598.74</v>
      </c>
      <c r="U79" s="2"/>
      <c r="V79" s="7">
        <f t="shared" si="21"/>
        <v>2.9619452808386584E-3</v>
      </c>
      <c r="W79" s="2"/>
      <c r="X79" s="6">
        <f t="shared" si="22"/>
        <v>48.909999999999968</v>
      </c>
      <c r="Y79" s="2"/>
      <c r="Z79" s="7">
        <f t="shared" si="23"/>
        <v>8.1688211911681144E-2</v>
      </c>
    </row>
    <row r="80" spans="1:26" s="27" customFormat="1" outlineLevel="1" collapsed="1" x14ac:dyDescent="0.25">
      <c r="A80" s="25"/>
      <c r="B80" s="13" t="str">
        <f>CONCATENATE("     ","*Payroll                                          ")</f>
        <v xml:space="preserve">     *Payroll                                          </v>
      </c>
      <c r="C80" s="13"/>
      <c r="D80" s="1">
        <f>SUM(OSRRefD22_1x_0)</f>
        <v>11483.380000000001</v>
      </c>
      <c r="E80" s="1"/>
      <c r="F80" s="5">
        <f t="shared" ref="F80:F84" si="24">IF(D$12=0,0,D80/D$12)</f>
        <v>0.15783935885500641</v>
      </c>
      <c r="G80" s="1"/>
      <c r="H80" s="1">
        <f>SUM(OSRRefH22_1x_0)</f>
        <v>11505.76</v>
      </c>
      <c r="I80" s="1"/>
      <c r="J80" s="5">
        <f t="shared" ref="J80:J84" si="25">IF(H$12=0,0,H80/H$12)</f>
        <v>0.14557740878953646</v>
      </c>
      <c r="K80" s="1"/>
      <c r="L80" s="1">
        <f t="shared" ref="L80:L84" si="26">+D80-H80</f>
        <v>-22.3799999999992</v>
      </c>
      <c r="M80" s="1"/>
      <c r="N80" s="5">
        <f t="shared" ref="N80:N84" si="27">IF(H80=0,0,L80/H80)</f>
        <v>-1.9451127087649317E-3</v>
      </c>
      <c r="O80" s="13"/>
      <c r="P80" s="1">
        <f>SUM(OSRRefP22_1x_0)</f>
        <v>31571.129999999997</v>
      </c>
      <c r="Q80" s="1"/>
      <c r="R80" s="5">
        <f t="shared" ref="R80:R84" si="28">IF(P$12=0,0,P80/P$12)</f>
        <v>0.15698234934149582</v>
      </c>
      <c r="S80" s="1"/>
      <c r="T80" s="1">
        <f>SUM(OSRRefT22_1x_0)</f>
        <v>32789.43</v>
      </c>
      <c r="U80" s="1"/>
      <c r="V80" s="5">
        <f t="shared" ref="V80:V84" si="29">IF(T$12=0,0,T80/T$12)</f>
        <v>0.16220813282875626</v>
      </c>
      <c r="W80" s="1"/>
      <c r="X80" s="1">
        <f t="shared" ref="X80:X84" si="30">+P80-T80</f>
        <v>-1218.3000000000029</v>
      </c>
      <c r="Y80" s="1"/>
      <c r="Z80" s="5">
        <f t="shared" ref="Z80:Z84" si="31">IF(T80=0,0,X80/T80)</f>
        <v>-3.7155266194014443E-2</v>
      </c>
    </row>
    <row r="81" spans="1:26" s="24" customFormat="1" hidden="1" outlineLevel="2" x14ac:dyDescent="0.25">
      <c r="A81" s="26"/>
      <c r="B81" s="11" t="str">
        <f>CONCATENATE("          ", "6002", " - ", "STAFF SALARIES")</f>
        <v xml:space="preserve">          6002 - STAFF SALARIES</v>
      </c>
      <c r="C81" s="11"/>
      <c r="D81" s="6">
        <v>2760</v>
      </c>
      <c r="E81" s="2"/>
      <c r="F81" s="7">
        <f t="shared" si="24"/>
        <v>3.7936272285670043E-2</v>
      </c>
      <c r="G81" s="2"/>
      <c r="H81" s="6">
        <v>4143.75</v>
      </c>
      <c r="I81" s="2"/>
      <c r="J81" s="7">
        <f t="shared" si="25"/>
        <v>5.2429077928936613E-2</v>
      </c>
      <c r="K81" s="2"/>
      <c r="L81" s="6">
        <f t="shared" si="26"/>
        <v>-1383.75</v>
      </c>
      <c r="M81" s="2"/>
      <c r="N81" s="7">
        <f t="shared" si="27"/>
        <v>-0.33393665158371039</v>
      </c>
      <c r="O81" s="11"/>
      <c r="P81" s="6">
        <v>11376</v>
      </c>
      <c r="Q81" s="2"/>
      <c r="R81" s="7">
        <f t="shared" si="28"/>
        <v>5.6565324272804189E-2</v>
      </c>
      <c r="S81" s="2"/>
      <c r="T81" s="6">
        <v>15534.28</v>
      </c>
      <c r="U81" s="2"/>
      <c r="V81" s="7">
        <f t="shared" si="29"/>
        <v>7.6847525365311073E-2</v>
      </c>
      <c r="W81" s="2"/>
      <c r="X81" s="6">
        <f t="shared" si="30"/>
        <v>-4158.2800000000007</v>
      </c>
      <c r="Y81" s="2"/>
      <c r="Z81" s="7">
        <f t="shared" si="31"/>
        <v>-0.26768411538867593</v>
      </c>
    </row>
    <row r="82" spans="1:26" s="24" customFormat="1" hidden="1" outlineLevel="2" x14ac:dyDescent="0.25">
      <c r="A82" s="26"/>
      <c r="B82" s="11" t="str">
        <f>CONCATENATE("          ", "6005", " - ", "TEMPORARY WAGES-HOURLY")</f>
        <v xml:space="preserve">          6005 - TEMPORARY WAGES-HOURLY</v>
      </c>
      <c r="C82" s="11"/>
      <c r="D82" s="6">
        <v>416.88</v>
      </c>
      <c r="E82" s="2"/>
      <c r="F82" s="7">
        <f t="shared" si="24"/>
        <v>5.7300265182790317E-3</v>
      </c>
      <c r="G82" s="2"/>
      <c r="H82" s="6"/>
      <c r="I82" s="2"/>
      <c r="J82" s="7">
        <f t="shared" si="25"/>
        <v>0</v>
      </c>
      <c r="K82" s="2"/>
      <c r="L82" s="6">
        <f t="shared" si="26"/>
        <v>416.88</v>
      </c>
      <c r="M82" s="2"/>
      <c r="N82" s="7">
        <f t="shared" si="27"/>
        <v>0</v>
      </c>
      <c r="O82" s="11"/>
      <c r="P82" s="6">
        <v>416.88</v>
      </c>
      <c r="Q82" s="2"/>
      <c r="R82" s="7">
        <f t="shared" si="28"/>
        <v>2.0728685287312422E-3</v>
      </c>
      <c r="S82" s="2"/>
      <c r="T82" s="6"/>
      <c r="U82" s="2"/>
      <c r="V82" s="7">
        <f t="shared" si="29"/>
        <v>0</v>
      </c>
      <c r="W82" s="2"/>
      <c r="X82" s="6">
        <f t="shared" si="30"/>
        <v>416.88</v>
      </c>
      <c r="Y82" s="2"/>
      <c r="Z82" s="7">
        <f t="shared" si="31"/>
        <v>0</v>
      </c>
    </row>
    <row r="83" spans="1:26" s="24" customFormat="1" hidden="1" outlineLevel="2" x14ac:dyDescent="0.25">
      <c r="A83" s="26"/>
      <c r="B83" s="11" t="str">
        <f>CONCATENATE("          ", "6006", " - ", "TEMPORARY PART TIME")</f>
        <v xml:space="preserve">          6006 - TEMPORARY PART TIME</v>
      </c>
      <c r="C83" s="11"/>
      <c r="D83" s="6"/>
      <c r="E83" s="2"/>
      <c r="F83" s="7">
        <f t="shared" si="24"/>
        <v>0</v>
      </c>
      <c r="G83" s="2"/>
      <c r="H83" s="6">
        <v>946</v>
      </c>
      <c r="I83" s="2"/>
      <c r="J83" s="7">
        <f t="shared" si="25"/>
        <v>1.1969329163384383E-2</v>
      </c>
      <c r="K83" s="2"/>
      <c r="L83" s="6">
        <f t="shared" si="26"/>
        <v>-946</v>
      </c>
      <c r="M83" s="2"/>
      <c r="N83" s="7">
        <f t="shared" si="27"/>
        <v>-1</v>
      </c>
      <c r="O83" s="11"/>
      <c r="P83" s="6">
        <v>25.5</v>
      </c>
      <c r="Q83" s="2"/>
      <c r="R83" s="7">
        <f t="shared" si="28"/>
        <v>1.2679463510517817E-4</v>
      </c>
      <c r="S83" s="2"/>
      <c r="T83" s="6">
        <v>2920.5</v>
      </c>
      <c r="U83" s="2"/>
      <c r="V83" s="7">
        <f t="shared" si="29"/>
        <v>1.4447608632610652E-2</v>
      </c>
      <c r="W83" s="2"/>
      <c r="X83" s="6">
        <f t="shared" si="30"/>
        <v>-2895</v>
      </c>
      <c r="Y83" s="2"/>
      <c r="Z83" s="7">
        <f t="shared" si="31"/>
        <v>-0.99126861838726243</v>
      </c>
    </row>
    <row r="84" spans="1:26" s="24" customFormat="1" hidden="1" outlineLevel="2" x14ac:dyDescent="0.25">
      <c r="A84" s="26"/>
      <c r="B84" s="11" t="str">
        <f>CONCATENATE("          ", "6007", " - ", "STUDENT HOURLY")</f>
        <v xml:space="preserve">          6007 - STUDENT HOURLY</v>
      </c>
      <c r="C84" s="11"/>
      <c r="D84" s="6">
        <v>8306.5</v>
      </c>
      <c r="E84" s="2"/>
      <c r="F84" s="7">
        <f t="shared" si="24"/>
        <v>0.11417306005105733</v>
      </c>
      <c r="G84" s="2"/>
      <c r="H84" s="6">
        <v>6416.01</v>
      </c>
      <c r="I84" s="2"/>
      <c r="J84" s="7">
        <f t="shared" si="25"/>
        <v>8.1179001697215467E-2</v>
      </c>
      <c r="K84" s="2"/>
      <c r="L84" s="6">
        <f t="shared" si="26"/>
        <v>1890.4899999999998</v>
      </c>
      <c r="M84" s="2"/>
      <c r="N84" s="7">
        <f t="shared" si="27"/>
        <v>0.29465197217585382</v>
      </c>
      <c r="O84" s="11"/>
      <c r="P84" s="6">
        <v>19752.75</v>
      </c>
      <c r="Q84" s="2"/>
      <c r="R84" s="7">
        <f t="shared" si="28"/>
        <v>9.8217361904855222E-2</v>
      </c>
      <c r="S84" s="2"/>
      <c r="T84" s="6">
        <v>14334.65</v>
      </c>
      <c r="U84" s="2"/>
      <c r="V84" s="7">
        <f t="shared" si="29"/>
        <v>7.0912998830834531E-2</v>
      </c>
      <c r="W84" s="2"/>
      <c r="X84" s="6">
        <f t="shared" si="30"/>
        <v>5418.1</v>
      </c>
      <c r="Y84" s="2"/>
      <c r="Z84" s="7">
        <f t="shared" si="31"/>
        <v>0.37797225603694545</v>
      </c>
    </row>
    <row r="85" spans="1:26" s="27" customFormat="1" outlineLevel="1" collapsed="1" x14ac:dyDescent="0.25">
      <c r="A85" s="25"/>
      <c r="B85" s="13" t="str">
        <f>CONCATENATE("     ","Advertising/Promo                                 ")</f>
        <v xml:space="preserve">     Advertising/Promo                                 </v>
      </c>
      <c r="C85" s="13"/>
      <c r="D85" s="1">
        <f>SUM(OSRRefD22_2x_0)</f>
        <v>701.91</v>
      </c>
      <c r="E85" s="1"/>
      <c r="F85" s="5">
        <f t="shared" ref="F85:F91" si="32">IF(D$12=0,0,D85/D$12)</f>
        <v>9.6477713333458903E-3</v>
      </c>
      <c r="G85" s="1"/>
      <c r="H85" s="1">
        <f>SUM(OSRRefH22_2x_0)</f>
        <v>0</v>
      </c>
      <c r="I85" s="1"/>
      <c r="J85" s="5">
        <f t="shared" ref="J85:J91" si="33">IF(H$12=0,0,H85/H$12)</f>
        <v>0</v>
      </c>
      <c r="K85" s="1"/>
      <c r="L85" s="1">
        <f t="shared" ref="L85:L91" si="34">+D85-H85</f>
        <v>701.91</v>
      </c>
      <c r="M85" s="1"/>
      <c r="N85" s="5">
        <f t="shared" ref="N85:N91" si="35">IF(H85=0,0,L85/H85)</f>
        <v>0</v>
      </c>
      <c r="O85" s="13"/>
      <c r="P85" s="1">
        <f>SUM(OSRRefP22_2x_0)</f>
        <v>848.62</v>
      </c>
      <c r="Q85" s="1"/>
      <c r="R85" s="5">
        <f t="shared" ref="R85:R91" si="36">IF(P$12=0,0,P85/P$12)</f>
        <v>4.2196260095276978E-3</v>
      </c>
      <c r="S85" s="1"/>
      <c r="T85" s="1">
        <f>SUM(OSRRefT22_2x_0)</f>
        <v>0</v>
      </c>
      <c r="U85" s="1"/>
      <c r="V85" s="5">
        <f t="shared" ref="V85:V91" si="37">IF(T$12=0,0,T85/T$12)</f>
        <v>0</v>
      </c>
      <c r="W85" s="1"/>
      <c r="X85" s="1">
        <f t="shared" ref="X85:X91" si="38">+P85-T85</f>
        <v>848.62</v>
      </c>
      <c r="Y85" s="1"/>
      <c r="Z85" s="5">
        <f t="shared" ref="Z85:Z91" si="39">IF(T85=0,0,X85/T85)</f>
        <v>0</v>
      </c>
    </row>
    <row r="86" spans="1:26" s="24" customFormat="1" hidden="1" outlineLevel="2" x14ac:dyDescent="0.25">
      <c r="A86" s="26"/>
      <c r="B86" s="11" t="str">
        <f>CONCATENATE("          ", "6362", " - ", "ADVERTISING EXPENSE")</f>
        <v xml:space="preserve">          6362 - ADVERTISING EXPENSE</v>
      </c>
      <c r="C86" s="11"/>
      <c r="D86" s="6">
        <v>701.91</v>
      </c>
      <c r="E86" s="2"/>
      <c r="F86" s="7">
        <f t="shared" si="32"/>
        <v>9.6477713333458903E-3</v>
      </c>
      <c r="G86" s="2"/>
      <c r="H86" s="6"/>
      <c r="I86" s="2"/>
      <c r="J86" s="7">
        <f t="shared" si="33"/>
        <v>0</v>
      </c>
      <c r="K86" s="2"/>
      <c r="L86" s="6">
        <f t="shared" si="34"/>
        <v>701.91</v>
      </c>
      <c r="M86" s="2"/>
      <c r="N86" s="7">
        <f t="shared" si="35"/>
        <v>0</v>
      </c>
      <c r="O86" s="11"/>
      <c r="P86" s="6">
        <v>848.62</v>
      </c>
      <c r="Q86" s="2"/>
      <c r="R86" s="7">
        <f t="shared" si="36"/>
        <v>4.2196260095276978E-3</v>
      </c>
      <c r="S86" s="2"/>
      <c r="T86" s="6"/>
      <c r="U86" s="2"/>
      <c r="V86" s="7">
        <f t="shared" si="37"/>
        <v>0</v>
      </c>
      <c r="W86" s="2"/>
      <c r="X86" s="6">
        <f t="shared" si="38"/>
        <v>848.62</v>
      </c>
      <c r="Y86" s="2"/>
      <c r="Z86" s="7">
        <f t="shared" si="39"/>
        <v>0</v>
      </c>
    </row>
    <row r="87" spans="1:26" s="27" customFormat="1" outlineLevel="1" collapsed="1" x14ac:dyDescent="0.25">
      <c r="A87" s="25"/>
      <c r="B87" s="13" t="str">
        <f>CONCATENATE("     ","Bad Debts/Over/Short                              ")</f>
        <v xml:space="preserve">     Bad Debts/Over/Short                              </v>
      </c>
      <c r="C87" s="13"/>
      <c r="D87" s="1">
        <f>SUM(OSRRefD22_3x_0)</f>
        <v>-8.2799999999999994</v>
      </c>
      <c r="E87" s="1"/>
      <c r="F87" s="5">
        <f t="shared" si="32"/>
        <v>-1.1380881685701013E-4</v>
      </c>
      <c r="G87" s="1"/>
      <c r="H87" s="1">
        <f>SUM(OSRRefH22_3x_0)</f>
        <v>-9.56</v>
      </c>
      <c r="I87" s="1"/>
      <c r="J87" s="5">
        <f t="shared" si="33"/>
        <v>-1.2095854841644261E-4</v>
      </c>
      <c r="K87" s="1"/>
      <c r="L87" s="1">
        <f t="shared" si="34"/>
        <v>1.2800000000000011</v>
      </c>
      <c r="M87" s="1"/>
      <c r="N87" s="5">
        <f t="shared" si="35"/>
        <v>-0.13389121338912144</v>
      </c>
      <c r="O87" s="13"/>
      <c r="P87" s="1">
        <f>SUM(OSRRefP22_3x_0)</f>
        <v>-47.56</v>
      </c>
      <c r="Q87" s="1"/>
      <c r="R87" s="5">
        <f t="shared" si="36"/>
        <v>-2.3648442531773624E-4</v>
      </c>
      <c r="S87" s="1"/>
      <c r="T87" s="1">
        <f>SUM(OSRRefT22_3x_0)</f>
        <v>-2.36</v>
      </c>
      <c r="U87" s="1"/>
      <c r="V87" s="5">
        <f t="shared" si="37"/>
        <v>-1.1674835258675273E-5</v>
      </c>
      <c r="W87" s="1"/>
      <c r="X87" s="1">
        <f t="shared" si="38"/>
        <v>-45.2</v>
      </c>
      <c r="Y87" s="1"/>
      <c r="Z87" s="5">
        <f t="shared" si="39"/>
        <v>19.152542372881356</v>
      </c>
    </row>
    <row r="88" spans="1:26" s="24" customFormat="1" hidden="1" outlineLevel="2" x14ac:dyDescent="0.25">
      <c r="A88" s="26"/>
      <c r="B88" s="11" t="str">
        <f>CONCATENATE("          ", "6272", " - ", "CASH (OVER/SHORT)")</f>
        <v xml:space="preserve">          6272 - CASH (OVER/SHORT)</v>
      </c>
      <c r="C88" s="11"/>
      <c r="D88" s="6">
        <v>-8.2799999999999994</v>
      </c>
      <c r="E88" s="2"/>
      <c r="F88" s="7">
        <f t="shared" si="32"/>
        <v>-1.1380881685701013E-4</v>
      </c>
      <c r="G88" s="2"/>
      <c r="H88" s="6">
        <v>-9.56</v>
      </c>
      <c r="I88" s="2"/>
      <c r="J88" s="7">
        <f t="shared" si="33"/>
        <v>-1.2095854841644261E-4</v>
      </c>
      <c r="K88" s="2"/>
      <c r="L88" s="6">
        <f t="shared" si="34"/>
        <v>1.2800000000000011</v>
      </c>
      <c r="M88" s="2"/>
      <c r="N88" s="7">
        <f t="shared" si="35"/>
        <v>-0.13389121338912144</v>
      </c>
      <c r="O88" s="11"/>
      <c r="P88" s="6">
        <v>-47.56</v>
      </c>
      <c r="Q88" s="2"/>
      <c r="R88" s="7">
        <f t="shared" si="36"/>
        <v>-2.3648442531773624E-4</v>
      </c>
      <c r="S88" s="2"/>
      <c r="T88" s="6">
        <v>-2.36</v>
      </c>
      <c r="U88" s="2"/>
      <c r="V88" s="7">
        <f t="shared" si="37"/>
        <v>-1.1674835258675273E-5</v>
      </c>
      <c r="W88" s="2"/>
      <c r="X88" s="6">
        <f t="shared" si="38"/>
        <v>-45.2</v>
      </c>
      <c r="Y88" s="2"/>
      <c r="Z88" s="7">
        <f t="shared" si="39"/>
        <v>19.152542372881356</v>
      </c>
    </row>
    <row r="89" spans="1:26" s="27" customFormat="1" outlineLevel="1" collapsed="1" x14ac:dyDescent="0.25">
      <c r="A89" s="25"/>
      <c r="B89" s="13" t="str">
        <f>CONCATENATE("     ","Discounts and Markdowns                           ")</f>
        <v xml:space="preserve">     Discounts and Markdowns                           </v>
      </c>
      <c r="C89" s="13"/>
      <c r="D89" s="1">
        <f>SUM(OSRRefD22_4x_0)</f>
        <v>1216.78</v>
      </c>
      <c r="E89" s="1"/>
      <c r="F89" s="5">
        <f t="shared" si="32"/>
        <v>1.6724672968028115E-2</v>
      </c>
      <c r="G89" s="1"/>
      <c r="H89" s="1">
        <f>SUM(OSRRefH22_4x_0)</f>
        <v>1978.23</v>
      </c>
      <c r="I89" s="1"/>
      <c r="J89" s="5">
        <f t="shared" si="33"/>
        <v>2.5029689250403685E-2</v>
      </c>
      <c r="K89" s="1"/>
      <c r="L89" s="1">
        <f t="shared" si="34"/>
        <v>-761.45</v>
      </c>
      <c r="M89" s="1"/>
      <c r="N89" s="5">
        <f t="shared" si="35"/>
        <v>-0.38491479757156655</v>
      </c>
      <c r="O89" s="13"/>
      <c r="P89" s="1">
        <f>SUM(OSRRefP22_4x_0)</f>
        <v>4736.6099999999997</v>
      </c>
      <c r="Q89" s="1"/>
      <c r="R89" s="5">
        <f t="shared" si="36"/>
        <v>2.3552028885707368E-2</v>
      </c>
      <c r="S89" s="1"/>
      <c r="T89" s="1">
        <f>SUM(OSRRefT22_4x_0)</f>
        <v>4708.63</v>
      </c>
      <c r="U89" s="1"/>
      <c r="V89" s="5">
        <f t="shared" si="37"/>
        <v>2.3293423535617017E-2</v>
      </c>
      <c r="W89" s="1"/>
      <c r="X89" s="1">
        <f t="shared" si="38"/>
        <v>27.979999999999563</v>
      </c>
      <c r="Y89" s="1"/>
      <c r="Z89" s="5">
        <f t="shared" si="39"/>
        <v>5.9422804510015784E-3</v>
      </c>
    </row>
    <row r="90" spans="1:26" s="24" customFormat="1" hidden="1" outlineLevel="2" x14ac:dyDescent="0.25">
      <c r="A90" s="26"/>
      <c r="B90" s="11" t="str">
        <f>CONCATENATE("          ", "6382", " - ", "DISCOUNTS/MARK DOWNS")</f>
        <v xml:space="preserve">          6382 - DISCOUNTS/MARK DOWNS</v>
      </c>
      <c r="C90" s="11"/>
      <c r="D90" s="6">
        <v>1216.78</v>
      </c>
      <c r="E90" s="2"/>
      <c r="F90" s="7">
        <f t="shared" si="32"/>
        <v>1.6724672968028115E-2</v>
      </c>
      <c r="G90" s="2"/>
      <c r="H90" s="6">
        <v>2045.03</v>
      </c>
      <c r="I90" s="2"/>
      <c r="J90" s="7">
        <f t="shared" si="33"/>
        <v>2.5874880781179666E-2</v>
      </c>
      <c r="K90" s="2"/>
      <c r="L90" s="6">
        <f t="shared" si="34"/>
        <v>-828.25</v>
      </c>
      <c r="M90" s="2"/>
      <c r="N90" s="7">
        <f t="shared" si="35"/>
        <v>-0.40500628352640305</v>
      </c>
      <c r="O90" s="11"/>
      <c r="P90" s="6">
        <v>4736.6099999999997</v>
      </c>
      <c r="Q90" s="2"/>
      <c r="R90" s="7">
        <f t="shared" si="36"/>
        <v>2.3552028885707368E-2</v>
      </c>
      <c r="S90" s="2"/>
      <c r="T90" s="6">
        <v>4777.59</v>
      </c>
      <c r="U90" s="2"/>
      <c r="V90" s="7">
        <f t="shared" si="37"/>
        <v>2.363456617944678E-2</v>
      </c>
      <c r="W90" s="2"/>
      <c r="X90" s="6">
        <f t="shared" si="38"/>
        <v>-40.980000000000473</v>
      </c>
      <c r="Y90" s="2"/>
      <c r="Z90" s="7">
        <f t="shared" si="39"/>
        <v>-8.5775464198477626E-3</v>
      </c>
    </row>
    <row r="91" spans="1:26" s="24" customFormat="1" hidden="1" outlineLevel="2" x14ac:dyDescent="0.25">
      <c r="A91" s="26"/>
      <c r="B91" s="11" t="str">
        <f>CONCATENATE("          ", "9175", " - ", "EARNED DISCOUNTS")</f>
        <v xml:space="preserve">          9175 - EARNED DISCOUNTS</v>
      </c>
      <c r="C91" s="11"/>
      <c r="D91" s="6"/>
      <c r="E91" s="2"/>
      <c r="F91" s="7">
        <f t="shared" si="32"/>
        <v>0</v>
      </c>
      <c r="G91" s="2"/>
      <c r="H91" s="6">
        <v>-66.8</v>
      </c>
      <c r="I91" s="2"/>
      <c r="J91" s="7">
        <f t="shared" si="33"/>
        <v>-8.4519153077597961E-4</v>
      </c>
      <c r="K91" s="2"/>
      <c r="L91" s="6">
        <f t="shared" si="34"/>
        <v>66.8</v>
      </c>
      <c r="M91" s="2"/>
      <c r="N91" s="7">
        <f t="shared" si="35"/>
        <v>-1</v>
      </c>
      <c r="O91" s="11"/>
      <c r="P91" s="6">
        <v>0</v>
      </c>
      <c r="Q91" s="2"/>
      <c r="R91" s="7">
        <f t="shared" si="36"/>
        <v>0</v>
      </c>
      <c r="S91" s="2"/>
      <c r="T91" s="6">
        <v>-68.959999999999994</v>
      </c>
      <c r="U91" s="2"/>
      <c r="V91" s="7">
        <f t="shared" si="37"/>
        <v>-3.411426438297656E-4</v>
      </c>
      <c r="W91" s="2"/>
      <c r="X91" s="6">
        <f t="shared" si="38"/>
        <v>68.959999999999994</v>
      </c>
      <c r="Y91" s="2"/>
      <c r="Z91" s="7">
        <f t="shared" si="39"/>
        <v>-1</v>
      </c>
    </row>
    <row r="92" spans="1:26" s="27" customFormat="1" outlineLevel="1" collapsed="1" x14ac:dyDescent="0.25">
      <c r="A92" s="25"/>
      <c r="B92" s="13" t="str">
        <f>CONCATENATE("     ","General                                           ")</f>
        <v xml:space="preserve">     General                                           </v>
      </c>
      <c r="C92" s="13"/>
      <c r="D92" s="1">
        <f>SUM(OSRRefD22_5x_0)</f>
        <v>99.5</v>
      </c>
      <c r="E92" s="1"/>
      <c r="F92" s="5">
        <f t="shared" ref="F92:F100" si="40">IF(D$12=0,0,D92/D$12)</f>
        <v>1.367630105950786E-3</v>
      </c>
      <c r="G92" s="1"/>
      <c r="H92" s="1">
        <f>SUM(OSRRefH22_5x_0)</f>
        <v>0</v>
      </c>
      <c r="I92" s="1"/>
      <c r="J92" s="5">
        <f t="shared" ref="J92:J100" si="41">IF(H$12=0,0,H92/H$12)</f>
        <v>0</v>
      </c>
      <c r="K92" s="1"/>
      <c r="L92" s="1">
        <f t="shared" ref="L92:L100" si="42">+D92-H92</f>
        <v>99.5</v>
      </c>
      <c r="M92" s="1"/>
      <c r="N92" s="5">
        <f t="shared" ref="N92:N100" si="43">IF(H92=0,0,L92/H92)</f>
        <v>0</v>
      </c>
      <c r="O92" s="13"/>
      <c r="P92" s="1">
        <f>SUM(OSRRefP22_5x_0)</f>
        <v>794.05</v>
      </c>
      <c r="Q92" s="1"/>
      <c r="R92" s="5">
        <f t="shared" ref="R92:R100" si="44">IF(P$12=0,0,P92/P$12)</f>
        <v>3.9482854904026162E-3</v>
      </c>
      <c r="S92" s="1"/>
      <c r="T92" s="1">
        <f>SUM(OSRRefT22_5x_0)</f>
        <v>669.2</v>
      </c>
      <c r="U92" s="1"/>
      <c r="V92" s="5">
        <f t="shared" ref="V92:V100" si="45">IF(T$12=0,0,T92/T$12)</f>
        <v>3.3105083708074128E-3</v>
      </c>
      <c r="W92" s="1"/>
      <c r="X92" s="1">
        <f t="shared" ref="X92:X100" si="46">+P92-T92</f>
        <v>124.84999999999991</v>
      </c>
      <c r="Y92" s="1"/>
      <c r="Z92" s="5">
        <f t="shared" ref="Z92:Z100" si="47">IF(T92=0,0,X92/T92)</f>
        <v>0.1865660490137476</v>
      </c>
    </row>
    <row r="93" spans="1:26" s="24" customFormat="1" hidden="1" outlineLevel="2" x14ac:dyDescent="0.25">
      <c r="A93" s="26"/>
      <c r="B93" s="11" t="str">
        <f>CONCATENATE("          ", "6279", " - ", "GENERAL EXPENSE")</f>
        <v xml:space="preserve">          6279 - GENERAL EXPENSE</v>
      </c>
      <c r="C93" s="11"/>
      <c r="D93" s="6">
        <v>99.5</v>
      </c>
      <c r="E93" s="2"/>
      <c r="F93" s="7">
        <f t="shared" si="40"/>
        <v>1.367630105950786E-3</v>
      </c>
      <c r="G93" s="2"/>
      <c r="H93" s="6"/>
      <c r="I93" s="2"/>
      <c r="J93" s="7">
        <f t="shared" si="41"/>
        <v>0</v>
      </c>
      <c r="K93" s="2"/>
      <c r="L93" s="6">
        <f t="shared" si="42"/>
        <v>99.5</v>
      </c>
      <c r="M93" s="2"/>
      <c r="N93" s="7">
        <f t="shared" si="43"/>
        <v>0</v>
      </c>
      <c r="O93" s="11"/>
      <c r="P93" s="6">
        <v>794.05</v>
      </c>
      <c r="Q93" s="2"/>
      <c r="R93" s="7">
        <f t="shared" si="44"/>
        <v>3.9482854904026162E-3</v>
      </c>
      <c r="S93" s="2"/>
      <c r="T93" s="6">
        <v>669.2</v>
      </c>
      <c r="U93" s="2"/>
      <c r="V93" s="7">
        <f t="shared" si="45"/>
        <v>3.3105083708074128E-3</v>
      </c>
      <c r="W93" s="2"/>
      <c r="X93" s="6">
        <f t="shared" si="46"/>
        <v>124.84999999999991</v>
      </c>
      <c r="Y93" s="2"/>
      <c r="Z93" s="7">
        <f t="shared" si="47"/>
        <v>0.1865660490137476</v>
      </c>
    </row>
    <row r="94" spans="1:26" s="27" customFormat="1" outlineLevel="1" collapsed="1" x14ac:dyDescent="0.25">
      <c r="A94" s="25"/>
      <c r="B94" s="13" t="str">
        <f>CONCATENATE("     ","Inventory Adjustment                              ")</f>
        <v xml:space="preserve">     Inventory Adjustment                              </v>
      </c>
      <c r="C94" s="13"/>
      <c r="D94" s="1">
        <f>SUM(OSRRefD22_6x_0)</f>
        <v>0</v>
      </c>
      <c r="E94" s="1"/>
      <c r="F94" s="5">
        <f t="shared" si="40"/>
        <v>0</v>
      </c>
      <c r="G94" s="1"/>
      <c r="H94" s="1">
        <f>SUM(OSRRefH22_6x_0)</f>
        <v>400</v>
      </c>
      <c r="I94" s="1"/>
      <c r="J94" s="5">
        <f t="shared" si="41"/>
        <v>5.061027130395088E-3</v>
      </c>
      <c r="K94" s="1"/>
      <c r="L94" s="1">
        <f t="shared" si="42"/>
        <v>-400</v>
      </c>
      <c r="M94" s="1"/>
      <c r="N94" s="5">
        <f t="shared" si="43"/>
        <v>-1</v>
      </c>
      <c r="O94" s="13"/>
      <c r="P94" s="1">
        <f>SUM(OSRRefP22_6x_0)</f>
        <v>0</v>
      </c>
      <c r="Q94" s="1"/>
      <c r="R94" s="5">
        <f t="shared" si="44"/>
        <v>0</v>
      </c>
      <c r="S94" s="1"/>
      <c r="T94" s="1">
        <f>SUM(OSRRefT22_6x_0)</f>
        <v>1600</v>
      </c>
      <c r="U94" s="1"/>
      <c r="V94" s="5">
        <f t="shared" si="45"/>
        <v>7.9151425482544228E-3</v>
      </c>
      <c r="W94" s="1"/>
      <c r="X94" s="1">
        <f t="shared" si="46"/>
        <v>-1600</v>
      </c>
      <c r="Y94" s="1"/>
      <c r="Z94" s="5">
        <f t="shared" si="47"/>
        <v>-1</v>
      </c>
    </row>
    <row r="95" spans="1:26" s="24" customFormat="1" hidden="1" outlineLevel="2" x14ac:dyDescent="0.25">
      <c r="A95" s="26"/>
      <c r="B95" s="11" t="str">
        <f>CONCATENATE("          ", "6408", " - ", "INVENTORY ADJUSTMENT")</f>
        <v xml:space="preserve">          6408 - INVENTORY ADJUSTMENT</v>
      </c>
      <c r="C95" s="11"/>
      <c r="D95" s="6"/>
      <c r="E95" s="2"/>
      <c r="F95" s="7">
        <f t="shared" si="40"/>
        <v>0</v>
      </c>
      <c r="G95" s="2"/>
      <c r="H95" s="6">
        <v>400</v>
      </c>
      <c r="I95" s="2"/>
      <c r="J95" s="7">
        <f t="shared" si="41"/>
        <v>5.061027130395088E-3</v>
      </c>
      <c r="K95" s="2"/>
      <c r="L95" s="6">
        <f t="shared" si="42"/>
        <v>-400</v>
      </c>
      <c r="M95" s="2"/>
      <c r="N95" s="7">
        <f t="shared" si="43"/>
        <v>-1</v>
      </c>
      <c r="O95" s="11"/>
      <c r="P95" s="6"/>
      <c r="Q95" s="2"/>
      <c r="R95" s="7">
        <f t="shared" si="44"/>
        <v>0</v>
      </c>
      <c r="S95" s="2"/>
      <c r="T95" s="6">
        <v>1600</v>
      </c>
      <c r="U95" s="2"/>
      <c r="V95" s="7">
        <f t="shared" si="45"/>
        <v>7.9151425482544228E-3</v>
      </c>
      <c r="W95" s="2"/>
      <c r="X95" s="6">
        <f t="shared" si="46"/>
        <v>-1600</v>
      </c>
      <c r="Y95" s="2"/>
      <c r="Z95" s="7">
        <f t="shared" si="47"/>
        <v>-1</v>
      </c>
    </row>
    <row r="96" spans="1:26" s="27" customFormat="1" outlineLevel="1" collapsed="1" x14ac:dyDescent="0.25">
      <c r="A96" s="25"/>
      <c r="B96" s="13" t="str">
        <f>CONCATENATE("     ","Professional Services                             ")</f>
        <v xml:space="preserve">     Professional Services                             </v>
      </c>
      <c r="C96" s="13"/>
      <c r="D96" s="1">
        <f>SUM(OSRRefD22_7x_0)</f>
        <v>0</v>
      </c>
      <c r="E96" s="1"/>
      <c r="F96" s="5">
        <f t="shared" si="40"/>
        <v>0</v>
      </c>
      <c r="G96" s="1"/>
      <c r="H96" s="1">
        <f>SUM(OSRRefH22_7x_0)</f>
        <v>0</v>
      </c>
      <c r="I96" s="1"/>
      <c r="J96" s="5">
        <f t="shared" si="41"/>
        <v>0</v>
      </c>
      <c r="K96" s="1"/>
      <c r="L96" s="1">
        <f t="shared" si="42"/>
        <v>0</v>
      </c>
      <c r="M96" s="1"/>
      <c r="N96" s="5">
        <f t="shared" si="43"/>
        <v>0</v>
      </c>
      <c r="O96" s="13"/>
      <c r="P96" s="1">
        <f>SUM(OSRRefP22_7x_0)</f>
        <v>750</v>
      </c>
      <c r="Q96" s="1"/>
      <c r="R96" s="5">
        <f t="shared" si="44"/>
        <v>3.7292539736817109E-3</v>
      </c>
      <c r="S96" s="1"/>
      <c r="T96" s="1">
        <f>SUM(OSRRefT22_7x_0)</f>
        <v>750</v>
      </c>
      <c r="U96" s="1"/>
      <c r="V96" s="5">
        <f t="shared" si="45"/>
        <v>3.7102230694942605E-3</v>
      </c>
      <c r="W96" s="1"/>
      <c r="X96" s="1">
        <f t="shared" si="46"/>
        <v>0</v>
      </c>
      <c r="Y96" s="1"/>
      <c r="Z96" s="5">
        <f t="shared" si="47"/>
        <v>0</v>
      </c>
    </row>
    <row r="97" spans="1:26" s="24" customFormat="1" hidden="1" outlineLevel="2" x14ac:dyDescent="0.25">
      <c r="A97" s="26"/>
      <c r="B97" s="11" t="str">
        <f>CONCATENATE("          ", "6336", " - ", "PROFESSIONAL SERVICES")</f>
        <v xml:space="preserve">          6336 - PROFESSIONAL SERVICES</v>
      </c>
      <c r="C97" s="11"/>
      <c r="D97" s="6"/>
      <c r="E97" s="2"/>
      <c r="F97" s="7">
        <f t="shared" si="40"/>
        <v>0</v>
      </c>
      <c r="G97" s="2"/>
      <c r="H97" s="6"/>
      <c r="I97" s="2"/>
      <c r="J97" s="7">
        <f t="shared" si="41"/>
        <v>0</v>
      </c>
      <c r="K97" s="2"/>
      <c r="L97" s="6">
        <f t="shared" si="42"/>
        <v>0</v>
      </c>
      <c r="M97" s="2"/>
      <c r="N97" s="7">
        <f t="shared" si="43"/>
        <v>0</v>
      </c>
      <c r="O97" s="11"/>
      <c r="P97" s="6">
        <v>750</v>
      </c>
      <c r="Q97" s="2"/>
      <c r="R97" s="7">
        <f t="shared" si="44"/>
        <v>3.7292539736817109E-3</v>
      </c>
      <c r="S97" s="2"/>
      <c r="T97" s="6">
        <v>750</v>
      </c>
      <c r="U97" s="2"/>
      <c r="V97" s="7">
        <f t="shared" si="45"/>
        <v>3.7102230694942605E-3</v>
      </c>
      <c r="W97" s="2"/>
      <c r="X97" s="6">
        <f t="shared" si="46"/>
        <v>0</v>
      </c>
      <c r="Y97" s="2"/>
      <c r="Z97" s="7">
        <f t="shared" si="47"/>
        <v>0</v>
      </c>
    </row>
    <row r="98" spans="1:26" s="27" customFormat="1" outlineLevel="1" collapsed="1" x14ac:dyDescent="0.25">
      <c r="A98" s="25"/>
      <c r="B98" s="13" t="str">
        <f>CONCATENATE("     ","Repair and Maintenance                            ")</f>
        <v xml:space="preserve">     Repair and Maintenance                            </v>
      </c>
      <c r="C98" s="13"/>
      <c r="D98" s="1">
        <f>SUM(OSRRefD22_8x_0)</f>
        <v>58.62</v>
      </c>
      <c r="E98" s="1"/>
      <c r="F98" s="5">
        <f t="shared" si="40"/>
        <v>8.0573343528477458E-4</v>
      </c>
      <c r="G98" s="1"/>
      <c r="H98" s="1">
        <f>SUM(OSRRefH22_8x_0)</f>
        <v>0</v>
      </c>
      <c r="I98" s="1"/>
      <c r="J98" s="5">
        <f t="shared" si="41"/>
        <v>0</v>
      </c>
      <c r="K98" s="1"/>
      <c r="L98" s="1">
        <f t="shared" si="42"/>
        <v>58.62</v>
      </c>
      <c r="M98" s="1"/>
      <c r="N98" s="5">
        <f t="shared" si="43"/>
        <v>0</v>
      </c>
      <c r="O98" s="13"/>
      <c r="P98" s="1">
        <f>SUM(OSRRefP22_8x_0)</f>
        <v>68.42</v>
      </c>
      <c r="Q98" s="1"/>
      <c r="R98" s="5">
        <f t="shared" si="44"/>
        <v>3.4020740917240356E-4</v>
      </c>
      <c r="S98" s="1"/>
      <c r="T98" s="1">
        <f>SUM(OSRRefT22_8x_0)</f>
        <v>49.62</v>
      </c>
      <c r="U98" s="1"/>
      <c r="V98" s="5">
        <f t="shared" si="45"/>
        <v>2.4546835827774025E-4</v>
      </c>
      <c r="W98" s="1"/>
      <c r="X98" s="1">
        <f t="shared" si="46"/>
        <v>18.800000000000004</v>
      </c>
      <c r="Y98" s="1"/>
      <c r="Z98" s="5">
        <f t="shared" si="47"/>
        <v>0.37887948407900052</v>
      </c>
    </row>
    <row r="99" spans="1:26" s="24" customFormat="1" hidden="1" outlineLevel="2" x14ac:dyDescent="0.25">
      <c r="A99" s="26"/>
      <c r="B99" s="11" t="str">
        <f>CONCATENATE("          ", "6373", " - ", "MAINTENANCE CONTRACTS")</f>
        <v xml:space="preserve">          6373 - MAINTENANCE CONTRACTS</v>
      </c>
      <c r="C99" s="11"/>
      <c r="D99" s="6">
        <v>58.62</v>
      </c>
      <c r="E99" s="2"/>
      <c r="F99" s="7">
        <f t="shared" si="40"/>
        <v>8.0573343528477458E-4</v>
      </c>
      <c r="G99" s="2"/>
      <c r="H99" s="6"/>
      <c r="I99" s="2"/>
      <c r="J99" s="7">
        <f t="shared" si="41"/>
        <v>0</v>
      </c>
      <c r="K99" s="2"/>
      <c r="L99" s="6">
        <f t="shared" si="42"/>
        <v>58.62</v>
      </c>
      <c r="M99" s="2"/>
      <c r="N99" s="7">
        <f t="shared" si="43"/>
        <v>0</v>
      </c>
      <c r="O99" s="11"/>
      <c r="P99" s="6">
        <v>58.62</v>
      </c>
      <c r="Q99" s="2"/>
      <c r="R99" s="7">
        <f t="shared" si="44"/>
        <v>2.9147849058296251E-4</v>
      </c>
      <c r="S99" s="2"/>
      <c r="T99" s="6">
        <v>49.62</v>
      </c>
      <c r="U99" s="2"/>
      <c r="V99" s="7">
        <f t="shared" si="45"/>
        <v>2.4546835827774025E-4</v>
      </c>
      <c r="W99" s="2"/>
      <c r="X99" s="6">
        <f t="shared" si="46"/>
        <v>9</v>
      </c>
      <c r="Y99" s="2"/>
      <c r="Z99" s="7">
        <f t="shared" si="47"/>
        <v>0.18137847642079807</v>
      </c>
    </row>
    <row r="100" spans="1:26" s="24" customFormat="1" hidden="1" outlineLevel="2" x14ac:dyDescent="0.25">
      <c r="A100" s="26"/>
      <c r="B100" s="11" t="str">
        <f>CONCATENATE("          ", "6375", " - ", "OUTSIDE REPAIRS &amp; MAINTENANCE")</f>
        <v xml:space="preserve">          6375 - OUTSIDE REPAIRS &amp; MAINTENANCE</v>
      </c>
      <c r="C100" s="11"/>
      <c r="D100" s="6"/>
      <c r="E100" s="2"/>
      <c r="F100" s="7">
        <f t="shared" si="40"/>
        <v>0</v>
      </c>
      <c r="G100" s="2"/>
      <c r="H100" s="6"/>
      <c r="I100" s="2"/>
      <c r="J100" s="7">
        <f t="shared" si="41"/>
        <v>0</v>
      </c>
      <c r="K100" s="2"/>
      <c r="L100" s="6">
        <f t="shared" si="42"/>
        <v>0</v>
      </c>
      <c r="M100" s="2"/>
      <c r="N100" s="7">
        <f t="shared" si="43"/>
        <v>0</v>
      </c>
      <c r="O100" s="11"/>
      <c r="P100" s="6">
        <v>9.8000000000000007</v>
      </c>
      <c r="Q100" s="2"/>
      <c r="R100" s="7">
        <f t="shared" si="44"/>
        <v>4.8728918589441022E-5</v>
      </c>
      <c r="S100" s="2"/>
      <c r="T100" s="6"/>
      <c r="U100" s="2"/>
      <c r="V100" s="7">
        <f t="shared" si="45"/>
        <v>0</v>
      </c>
      <c r="W100" s="2"/>
      <c r="X100" s="6">
        <f t="shared" si="46"/>
        <v>9.8000000000000007</v>
      </c>
      <c r="Y100" s="2"/>
      <c r="Z100" s="7">
        <f t="shared" si="47"/>
        <v>0</v>
      </c>
    </row>
    <row r="101" spans="1:26" s="27" customFormat="1" outlineLevel="1" collapsed="1" x14ac:dyDescent="0.25">
      <c r="A101" s="25"/>
      <c r="B101" s="13" t="str">
        <f>CONCATENATE("     ","Services                                          ")</f>
        <v xml:space="preserve">     Services                                          </v>
      </c>
      <c r="C101" s="13"/>
      <c r="D101" s="1">
        <f>SUM(OSRRefD22_9x_0)</f>
        <v>274.26</v>
      </c>
      <c r="E101" s="1"/>
      <c r="F101" s="5">
        <f t="shared" ref="F101:F103" si="48">IF(D$12=0,0,D101/D$12)</f>
        <v>3.7697108829956036E-3</v>
      </c>
      <c r="G101" s="1"/>
      <c r="H101" s="1">
        <f>SUM(OSRRefH22_9x_0)</f>
        <v>238.2</v>
      </c>
      <c r="I101" s="1"/>
      <c r="J101" s="5">
        <f t="shared" ref="J101:J103" si="49">IF(H$12=0,0,H101/H$12)</f>
        <v>3.0138416561502745E-3</v>
      </c>
      <c r="K101" s="1"/>
      <c r="L101" s="1">
        <f t="shared" ref="L101:L103" si="50">+D101-H101</f>
        <v>36.06</v>
      </c>
      <c r="M101" s="1"/>
      <c r="N101" s="5">
        <f t="shared" ref="N101:N103" si="51">IF(H101=0,0,L101/H101)</f>
        <v>0.15138539042821161</v>
      </c>
      <c r="O101" s="13"/>
      <c r="P101" s="1">
        <f>SUM(OSRRefP22_9x_0)</f>
        <v>970.22</v>
      </c>
      <c r="Q101" s="1"/>
      <c r="R101" s="5">
        <f t="shared" ref="R101:R103" si="52">IF(P$12=0,0,P101/P$12)</f>
        <v>4.8242623871272931E-3</v>
      </c>
      <c r="S101" s="1"/>
      <c r="T101" s="1">
        <f>SUM(OSRRefT22_9x_0)</f>
        <v>838.12</v>
      </c>
      <c r="U101" s="1"/>
      <c r="V101" s="5">
        <f t="shared" ref="V101:V103" si="53">IF(T$12=0,0,T101/T$12)</f>
        <v>4.1461495453393735E-3</v>
      </c>
      <c r="W101" s="1"/>
      <c r="X101" s="1">
        <f t="shared" ref="X101:X103" si="54">+P101-T101</f>
        <v>132.10000000000002</v>
      </c>
      <c r="Y101" s="1"/>
      <c r="Z101" s="5">
        <f t="shared" ref="Z101:Z103" si="55">IF(T101=0,0,X101/T101)</f>
        <v>0.15761466138500457</v>
      </c>
    </row>
    <row r="102" spans="1:26" s="24" customFormat="1" hidden="1" outlineLevel="2" x14ac:dyDescent="0.25">
      <c r="A102" s="26"/>
      <c r="B102" s="11" t="str">
        <f>CONCATENATE("          ", "6282", " - ", "JANITORIAL/EXTERMINATOR EXPENS")</f>
        <v xml:space="preserve">          6282 - JANITORIAL/EXTERMINATOR EXPENS</v>
      </c>
      <c r="C102" s="11"/>
      <c r="D102" s="6">
        <v>44</v>
      </c>
      <c r="E102" s="2"/>
      <c r="F102" s="7">
        <f t="shared" si="48"/>
        <v>6.0478115238024707E-4</v>
      </c>
      <c r="G102" s="2"/>
      <c r="H102" s="6">
        <v>41.5</v>
      </c>
      <c r="I102" s="2"/>
      <c r="J102" s="7">
        <f t="shared" si="49"/>
        <v>5.250815647784903E-4</v>
      </c>
      <c r="K102" s="2"/>
      <c r="L102" s="6">
        <f t="shared" si="50"/>
        <v>2.5</v>
      </c>
      <c r="M102" s="2"/>
      <c r="N102" s="7">
        <f t="shared" si="51"/>
        <v>6.0240963855421686E-2</v>
      </c>
      <c r="O102" s="11"/>
      <c r="P102" s="6">
        <v>176</v>
      </c>
      <c r="Q102" s="2"/>
      <c r="R102" s="7">
        <f t="shared" si="52"/>
        <v>8.751315991573081E-4</v>
      </c>
      <c r="S102" s="2"/>
      <c r="T102" s="6">
        <v>124.5</v>
      </c>
      <c r="U102" s="2"/>
      <c r="V102" s="7">
        <f t="shared" si="53"/>
        <v>6.1589702953604723E-4</v>
      </c>
      <c r="W102" s="2"/>
      <c r="X102" s="6">
        <f t="shared" si="54"/>
        <v>51.5</v>
      </c>
      <c r="Y102" s="2"/>
      <c r="Z102" s="7">
        <f t="shared" si="55"/>
        <v>0.41365461847389556</v>
      </c>
    </row>
    <row r="103" spans="1:26" s="24" customFormat="1" hidden="1" outlineLevel="2" x14ac:dyDescent="0.25">
      <c r="A103" s="26"/>
      <c r="B103" s="11" t="str">
        <f>CONCATENATE("          ", "6285", " - ", "JANITORIAL SERVICES")</f>
        <v xml:space="preserve">          6285 - JANITORIAL SERVICES</v>
      </c>
      <c r="C103" s="11"/>
      <c r="D103" s="6">
        <v>230.26</v>
      </c>
      <c r="E103" s="2"/>
      <c r="F103" s="7">
        <f t="shared" si="48"/>
        <v>3.1649297306153563E-3</v>
      </c>
      <c r="G103" s="2"/>
      <c r="H103" s="6">
        <v>196.7</v>
      </c>
      <c r="I103" s="2"/>
      <c r="J103" s="7">
        <f t="shared" si="49"/>
        <v>2.4887600913717843E-3</v>
      </c>
      <c r="K103" s="2"/>
      <c r="L103" s="6">
        <f t="shared" si="50"/>
        <v>33.56</v>
      </c>
      <c r="M103" s="2"/>
      <c r="N103" s="7">
        <f t="shared" si="51"/>
        <v>0.1706151499745806</v>
      </c>
      <c r="O103" s="11"/>
      <c r="P103" s="6">
        <v>794.22</v>
      </c>
      <c r="Q103" s="2"/>
      <c r="R103" s="7">
        <f t="shared" si="52"/>
        <v>3.9491307879699847E-3</v>
      </c>
      <c r="S103" s="2"/>
      <c r="T103" s="6">
        <v>713.62</v>
      </c>
      <c r="U103" s="2"/>
      <c r="V103" s="7">
        <f t="shared" si="53"/>
        <v>3.5302525158033256E-3</v>
      </c>
      <c r="W103" s="2"/>
      <c r="X103" s="6">
        <f t="shared" si="54"/>
        <v>80.600000000000023</v>
      </c>
      <c r="Y103" s="2"/>
      <c r="Z103" s="7">
        <f t="shared" si="55"/>
        <v>0.11294526498696789</v>
      </c>
    </row>
    <row r="104" spans="1:26" s="27" customFormat="1" outlineLevel="1" collapsed="1" x14ac:dyDescent="0.25">
      <c r="A104" s="25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SUM(OSRRefD22_10x_0)</f>
        <v>198.56</v>
      </c>
      <c r="E104" s="1"/>
      <c r="F104" s="5">
        <f t="shared" ref="F104:F106" si="56">IF(D$12=0,0,D104/D$12)</f>
        <v>2.7292124003777695E-3</v>
      </c>
      <c r="G104" s="1"/>
      <c r="H104" s="1">
        <f>SUM(OSRRefH22_10x_0)</f>
        <v>3.19</v>
      </c>
      <c r="I104" s="1"/>
      <c r="J104" s="5">
        <f t="shared" ref="J104:J106" si="57">IF(H$12=0,0,H104/H$12)</f>
        <v>4.0361691364900824E-5</v>
      </c>
      <c r="K104" s="1"/>
      <c r="L104" s="1">
        <f t="shared" ref="L104:L106" si="58">+D104-H104</f>
        <v>195.37</v>
      </c>
      <c r="M104" s="1"/>
      <c r="N104" s="5">
        <f t="shared" ref="N104:N106" si="59">IF(H104=0,0,L104/H104)</f>
        <v>61.244514106583075</v>
      </c>
      <c r="O104" s="13"/>
      <c r="P104" s="1">
        <f>SUM(OSRRefP22_10x_0)</f>
        <v>572.18999999999994</v>
      </c>
      <c r="Q104" s="1"/>
      <c r="R104" s="5">
        <f t="shared" ref="R104:R106" si="60">IF(P$12=0,0,P104/P$12)</f>
        <v>2.8451224416012506E-3</v>
      </c>
      <c r="S104" s="1"/>
      <c r="T104" s="1">
        <f>SUM(OSRRefT22_10x_0)</f>
        <v>509.62</v>
      </c>
      <c r="U104" s="1"/>
      <c r="V104" s="5">
        <f t="shared" ref="V104:V106" si="61">IF(T$12=0,0,T104/T$12)</f>
        <v>2.5210718409008868E-3</v>
      </c>
      <c r="W104" s="1"/>
      <c r="X104" s="1">
        <f t="shared" ref="X104:X106" si="62">+P104-T104</f>
        <v>62.569999999999936</v>
      </c>
      <c r="Y104" s="1"/>
      <c r="Z104" s="5">
        <f t="shared" ref="Z104:Z106" si="63">IF(T104=0,0,X104/T104)</f>
        <v>0.12277775597504011</v>
      </c>
    </row>
    <row r="105" spans="1:26" s="24" customFormat="1" hidden="1" outlineLevel="2" x14ac:dyDescent="0.25">
      <c r="A105" s="26"/>
      <c r="B105" s="11" t="str">
        <f>CONCATENATE("          ", "6241", " - ", "OFFICE EXPENSE")</f>
        <v xml:space="preserve">          6241 - OFFICE EXPENSE</v>
      </c>
      <c r="C105" s="11"/>
      <c r="D105" s="6">
        <v>198.66</v>
      </c>
      <c r="E105" s="2"/>
      <c r="F105" s="7">
        <f t="shared" si="56"/>
        <v>2.7305869029968155E-3</v>
      </c>
      <c r="G105" s="2"/>
      <c r="H105" s="6">
        <v>3.79</v>
      </c>
      <c r="I105" s="2"/>
      <c r="J105" s="7">
        <f t="shared" si="57"/>
        <v>4.7953232060493454E-5</v>
      </c>
      <c r="K105" s="2"/>
      <c r="L105" s="6">
        <f t="shared" si="58"/>
        <v>194.87</v>
      </c>
      <c r="M105" s="2"/>
      <c r="N105" s="7">
        <f t="shared" si="59"/>
        <v>51.416886543535618</v>
      </c>
      <c r="O105" s="11"/>
      <c r="P105" s="6">
        <v>572.29</v>
      </c>
      <c r="Q105" s="2"/>
      <c r="R105" s="7">
        <f t="shared" si="60"/>
        <v>2.8456196754644081E-3</v>
      </c>
      <c r="S105" s="2"/>
      <c r="T105" s="6">
        <v>510.22</v>
      </c>
      <c r="U105" s="2"/>
      <c r="V105" s="7">
        <f t="shared" si="61"/>
        <v>2.5240400193564825E-3</v>
      </c>
      <c r="W105" s="2"/>
      <c r="X105" s="6">
        <f t="shared" si="62"/>
        <v>62.069999999999936</v>
      </c>
      <c r="Y105" s="2"/>
      <c r="Z105" s="7">
        <f t="shared" si="63"/>
        <v>0.12165340441378215</v>
      </c>
    </row>
    <row r="106" spans="1:26" s="24" customFormat="1" hidden="1" outlineLevel="2" x14ac:dyDescent="0.25">
      <c r="A106" s="26"/>
      <c r="B106" s="11" t="str">
        <f>CONCATENATE("          ", "6247", " - ", "STORE SUPPLIES")</f>
        <v xml:space="preserve">          6247 - STORE SUPPLIES</v>
      </c>
      <c r="C106" s="11"/>
      <c r="D106" s="6">
        <v>-0.1</v>
      </c>
      <c r="E106" s="2"/>
      <c r="F106" s="7">
        <f t="shared" si="56"/>
        <v>-1.3745026190460161E-6</v>
      </c>
      <c r="G106" s="2"/>
      <c r="H106" s="6">
        <v>-0.6</v>
      </c>
      <c r="I106" s="2"/>
      <c r="J106" s="7">
        <f t="shared" si="57"/>
        <v>-7.5915406955926317E-6</v>
      </c>
      <c r="K106" s="2"/>
      <c r="L106" s="6">
        <f t="shared" si="58"/>
        <v>0.5</v>
      </c>
      <c r="M106" s="2"/>
      <c r="N106" s="7">
        <f t="shared" si="59"/>
        <v>-0.83333333333333337</v>
      </c>
      <c r="O106" s="11"/>
      <c r="P106" s="6">
        <v>-0.1</v>
      </c>
      <c r="Q106" s="2"/>
      <c r="R106" s="7">
        <f t="shared" si="60"/>
        <v>-4.9723386315756147E-7</v>
      </c>
      <c r="S106" s="2"/>
      <c r="T106" s="6">
        <v>-0.6</v>
      </c>
      <c r="U106" s="2"/>
      <c r="V106" s="7">
        <f t="shared" si="61"/>
        <v>-2.9681784555954084E-6</v>
      </c>
      <c r="W106" s="2"/>
      <c r="X106" s="6">
        <f t="shared" si="62"/>
        <v>0.5</v>
      </c>
      <c r="Y106" s="2"/>
      <c r="Z106" s="7">
        <f t="shared" si="63"/>
        <v>-0.83333333333333337</v>
      </c>
    </row>
    <row r="107" spans="1:26" s="27" customFormat="1" outlineLevel="1" collapsed="1" x14ac:dyDescent="0.25">
      <c r="A107" s="25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SUM(OSRRefD22_11x_0)</f>
        <v>87.49</v>
      </c>
      <c r="E107" s="1"/>
      <c r="F107" s="5">
        <f t="shared" ref="F107:F110" si="64">IF(D$12=0,0,D107/D$12)</f>
        <v>1.2025523414033593E-3</v>
      </c>
      <c r="G107" s="1"/>
      <c r="H107" s="1">
        <f>SUM(OSRRefH22_11x_0)</f>
        <v>103.4</v>
      </c>
      <c r="I107" s="1"/>
      <c r="J107" s="5">
        <f t="shared" ref="J107:J110" si="65">IF(H$12=0,0,H107/H$12)</f>
        <v>1.3082755132071302E-3</v>
      </c>
      <c r="K107" s="1"/>
      <c r="L107" s="1">
        <f t="shared" ref="L107:L110" si="66">+D107-H107</f>
        <v>-15.910000000000011</v>
      </c>
      <c r="M107" s="1"/>
      <c r="N107" s="5">
        <f t="shared" ref="N107:N110" si="67">IF(H107=0,0,L107/H107)</f>
        <v>-0.15386847195357845</v>
      </c>
      <c r="O107" s="13"/>
      <c r="P107" s="1">
        <f>SUM(OSRRefP22_11x_0)</f>
        <v>389.99</v>
      </c>
      <c r="Q107" s="1"/>
      <c r="R107" s="5">
        <f t="shared" ref="R107:R110" si="68">IF(P$12=0,0,P107/P$12)</f>
        <v>1.9391623429281738E-3</v>
      </c>
      <c r="S107" s="1"/>
      <c r="T107" s="1">
        <f>SUM(OSRRefT22_11x_0)</f>
        <v>343.75</v>
      </c>
      <c r="U107" s="1"/>
      <c r="V107" s="5">
        <f t="shared" ref="V107:V110" si="69">IF(T$12=0,0,T107/T$12)</f>
        <v>1.7005189068515362E-3</v>
      </c>
      <c r="W107" s="1"/>
      <c r="X107" s="1">
        <f t="shared" ref="X107:X110" si="70">+P107-T107</f>
        <v>46.240000000000009</v>
      </c>
      <c r="Y107" s="1"/>
      <c r="Z107" s="5">
        <f t="shared" ref="Z107:Z110" si="71">IF(T107=0,0,X107/T107)</f>
        <v>0.13451636363636366</v>
      </c>
    </row>
    <row r="108" spans="1:26" s="24" customFormat="1" hidden="1" outlineLevel="2" x14ac:dyDescent="0.25">
      <c r="A108" s="26"/>
      <c r="B108" s="11" t="str">
        <f>CONCATENATE("          ", "6309", " - ", "TELEPHONE")</f>
        <v xml:space="preserve">          6309 - TELEPHONE</v>
      </c>
      <c r="C108" s="11"/>
      <c r="D108" s="6">
        <v>87.49</v>
      </c>
      <c r="E108" s="2"/>
      <c r="F108" s="7">
        <f t="shared" si="64"/>
        <v>1.2025523414033593E-3</v>
      </c>
      <c r="G108" s="2"/>
      <c r="H108" s="6">
        <v>103.4</v>
      </c>
      <c r="I108" s="2"/>
      <c r="J108" s="7">
        <f t="shared" si="65"/>
        <v>1.3082755132071302E-3</v>
      </c>
      <c r="K108" s="2"/>
      <c r="L108" s="6">
        <f t="shared" si="66"/>
        <v>-15.910000000000011</v>
      </c>
      <c r="M108" s="2"/>
      <c r="N108" s="7">
        <f t="shared" si="67"/>
        <v>-0.15386847195357845</v>
      </c>
      <c r="O108" s="11"/>
      <c r="P108" s="6">
        <v>389.99</v>
      </c>
      <c r="Q108" s="2"/>
      <c r="R108" s="7">
        <f t="shared" si="68"/>
        <v>1.9391623429281738E-3</v>
      </c>
      <c r="S108" s="2"/>
      <c r="T108" s="6">
        <v>343.75</v>
      </c>
      <c r="U108" s="2"/>
      <c r="V108" s="7">
        <f t="shared" si="69"/>
        <v>1.7005189068515362E-3</v>
      </c>
      <c r="W108" s="2"/>
      <c r="X108" s="6">
        <f t="shared" si="70"/>
        <v>46.240000000000009</v>
      </c>
      <c r="Y108" s="2"/>
      <c r="Z108" s="7">
        <f t="shared" si="71"/>
        <v>0.13451636363636366</v>
      </c>
    </row>
    <row r="109" spans="1:26" s="27" customFormat="1" outlineLevel="1" collapsed="1" x14ac:dyDescent="0.25">
      <c r="A109" s="25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SUM(OSRRefD22_12x_0)</f>
        <v>80</v>
      </c>
      <c r="E109" s="1"/>
      <c r="F109" s="5">
        <f t="shared" si="64"/>
        <v>1.0996020952368129E-3</v>
      </c>
      <c r="G109" s="1"/>
      <c r="H109" s="1">
        <f>SUM(OSRRefH22_12x_0)</f>
        <v>0</v>
      </c>
      <c r="I109" s="1"/>
      <c r="J109" s="5">
        <f t="shared" si="65"/>
        <v>0</v>
      </c>
      <c r="K109" s="1"/>
      <c r="L109" s="1">
        <f t="shared" si="66"/>
        <v>80</v>
      </c>
      <c r="M109" s="1"/>
      <c r="N109" s="5">
        <f t="shared" si="67"/>
        <v>0</v>
      </c>
      <c r="O109" s="13"/>
      <c r="P109" s="1">
        <f>SUM(OSRRefP22_12x_0)</f>
        <v>80</v>
      </c>
      <c r="Q109" s="1"/>
      <c r="R109" s="5">
        <f t="shared" si="68"/>
        <v>3.9778709052604915E-4</v>
      </c>
      <c r="S109" s="1"/>
      <c r="T109" s="1">
        <f>SUM(OSRRefT22_12x_0)</f>
        <v>0</v>
      </c>
      <c r="U109" s="1"/>
      <c r="V109" s="5">
        <f t="shared" si="69"/>
        <v>0</v>
      </c>
      <c r="W109" s="1"/>
      <c r="X109" s="1">
        <f t="shared" si="70"/>
        <v>80</v>
      </c>
      <c r="Y109" s="1"/>
      <c r="Z109" s="5">
        <f t="shared" si="71"/>
        <v>0</v>
      </c>
    </row>
    <row r="110" spans="1:26" s="24" customFormat="1" hidden="1" outlineLevel="2" x14ac:dyDescent="0.25">
      <c r="A110" s="26"/>
      <c r="B110" s="11" t="str">
        <f>CONCATENATE("          ", "6376", " - ", "TRAINING")</f>
        <v xml:space="preserve">          6376 - TRAINING</v>
      </c>
      <c r="C110" s="11"/>
      <c r="D110" s="6">
        <v>80</v>
      </c>
      <c r="E110" s="2"/>
      <c r="F110" s="7">
        <f t="shared" si="64"/>
        <v>1.0996020952368129E-3</v>
      </c>
      <c r="G110" s="2"/>
      <c r="H110" s="6"/>
      <c r="I110" s="2"/>
      <c r="J110" s="7">
        <f t="shared" si="65"/>
        <v>0</v>
      </c>
      <c r="K110" s="2"/>
      <c r="L110" s="6">
        <f t="shared" si="66"/>
        <v>80</v>
      </c>
      <c r="M110" s="2"/>
      <c r="N110" s="7">
        <f t="shared" si="67"/>
        <v>0</v>
      </c>
      <c r="O110" s="11"/>
      <c r="P110" s="6">
        <v>80</v>
      </c>
      <c r="Q110" s="2"/>
      <c r="R110" s="7">
        <f t="shared" si="68"/>
        <v>3.9778709052604915E-4</v>
      </c>
      <c r="S110" s="2"/>
      <c r="T110" s="6"/>
      <c r="U110" s="2"/>
      <c r="V110" s="7">
        <f t="shared" si="69"/>
        <v>0</v>
      </c>
      <c r="W110" s="2"/>
      <c r="X110" s="6">
        <f t="shared" si="70"/>
        <v>80</v>
      </c>
      <c r="Y110" s="2"/>
      <c r="Z110" s="7">
        <f t="shared" si="71"/>
        <v>0</v>
      </c>
    </row>
    <row r="111" spans="1:26" s="55" customFormat="1" x14ac:dyDescent="0.25">
      <c r="A111" s="37"/>
      <c r="B111" s="37"/>
      <c r="C111" s="37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7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x14ac:dyDescent="0.25">
      <c r="A112" s="10"/>
      <c r="B112" s="29" t="s">
        <v>0</v>
      </c>
      <c r="C112" s="10"/>
      <c r="D112" s="4">
        <f>SUM(0)</f>
        <v>0</v>
      </c>
      <c r="E112" s="4"/>
      <c r="F112" s="12">
        <f>IF(D$12=0,0,D112/D$12)</f>
        <v>0</v>
      </c>
      <c r="G112" s="4"/>
      <c r="H112" s="4">
        <f>SUM(0)</f>
        <v>0</v>
      </c>
      <c r="I112" s="4"/>
      <c r="J112" s="12">
        <f>IF(H$12=0,0,H112/H$12)</f>
        <v>0</v>
      </c>
      <c r="K112" s="4"/>
      <c r="L112" s="4">
        <f>+D112-H112</f>
        <v>0</v>
      </c>
      <c r="M112" s="4"/>
      <c r="N112" s="12">
        <f>IF(H112=0,0,L112/H112)</f>
        <v>0</v>
      </c>
      <c r="O112" s="10"/>
      <c r="P112" s="4">
        <f>SUM(0)</f>
        <v>0</v>
      </c>
      <c r="Q112" s="4"/>
      <c r="R112" s="12">
        <f>IF(P$12=0,0,P112/P$12)</f>
        <v>0</v>
      </c>
      <c r="S112" s="4"/>
      <c r="T112" s="4">
        <f>SUM(0)</f>
        <v>0</v>
      </c>
      <c r="U112" s="4"/>
      <c r="V112" s="12">
        <f>IF(T$12=0,0,T112/T$12)</f>
        <v>0</v>
      </c>
      <c r="W112" s="4"/>
      <c r="X112" s="4">
        <f>+P112-T112</f>
        <v>0</v>
      </c>
      <c r="Y112" s="4"/>
      <c r="Z112" s="12">
        <f>IF(T112=0,0,X112/T112)</f>
        <v>0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8" t="s">
        <v>3</v>
      </c>
      <c r="C114" s="28"/>
      <c r="D114" s="21">
        <f>+D68-D70+D112</f>
        <v>18648.119999999981</v>
      </c>
      <c r="E114" s="14"/>
      <c r="F114" s="22">
        <f>IF(D$12=0,0,D114/D$12)</f>
        <v>0.25631889780284367</v>
      </c>
      <c r="G114" s="14"/>
      <c r="H114" s="21">
        <f>+H68-H70+H112</f>
        <v>19888.89999999998</v>
      </c>
      <c r="I114" s="14"/>
      <c r="J114" s="22">
        <f>IF(H$12=0,0,H114/H$12)</f>
        <v>0.25164565623428692</v>
      </c>
      <c r="K114" s="16"/>
      <c r="L114" s="21">
        <f>+D114-H114</f>
        <v>-1240.7799999999988</v>
      </c>
      <c r="M114" s="16"/>
      <c r="N114" s="22">
        <f>IF(H114=0,0,L114/H114)</f>
        <v>-6.2385551739915238E-2</v>
      </c>
      <c r="O114" s="29"/>
      <c r="P114" s="21">
        <f>+P68-P70+P112</f>
        <v>48961.419999999933</v>
      </c>
      <c r="Q114" s="14"/>
      <c r="R114" s="22">
        <f>IF(P$12=0,0,P114/P$12)</f>
        <v>0.24345276012279859</v>
      </c>
      <c r="S114" s="14"/>
      <c r="T114" s="21">
        <f>+T68-T70+T112</f>
        <v>43218.779999999912</v>
      </c>
      <c r="U114" s="14"/>
      <c r="V114" s="22">
        <f>IF(T$12=0,0,T114/T$12)</f>
        <v>0.21380175278852911</v>
      </c>
      <c r="W114" s="16"/>
      <c r="X114" s="21">
        <f>+P114-T114</f>
        <v>5742.6400000000212</v>
      </c>
      <c r="Y114" s="16"/>
      <c r="Z114" s="22">
        <f>IF(T114=0,0,X114/T114)</f>
        <v>0.13287371832337777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1"/>
      <c r="B116" s="10" t="s">
        <v>13</v>
      </c>
      <c r="C116" s="10"/>
      <c r="D116" s="4">
        <v>6457.05</v>
      </c>
      <c r="E116" s="4"/>
      <c r="F116" s="12">
        <f>IF(D$12=0,0,D116/D$12)</f>
        <v>8.8752321363110787E-2</v>
      </c>
      <c r="G116" s="4"/>
      <c r="H116" s="4">
        <v>7627.02</v>
      </c>
      <c r="I116" s="4"/>
      <c r="J116" s="12">
        <f>IF(H$12=0,0,H116/H$12)</f>
        <v>9.6501387860164864E-2</v>
      </c>
      <c r="K116" s="4"/>
      <c r="L116" s="4">
        <f>+D116-H116</f>
        <v>-1169.9700000000003</v>
      </c>
      <c r="M116" s="4"/>
      <c r="N116" s="12">
        <f>IF(H116=0,0,L116/H116)</f>
        <v>-0.15339805061478798</v>
      </c>
      <c r="O116" s="10"/>
      <c r="P116" s="4">
        <v>20244.510000000002</v>
      </c>
      <c r="Q116" s="4"/>
      <c r="R116" s="12">
        <f>IF(P$12=0,0,P116/P$12)</f>
        <v>0.10066255915031885</v>
      </c>
      <c r="S116" s="4"/>
      <c r="T116" s="4">
        <v>18564.88</v>
      </c>
      <c r="U116" s="4"/>
      <c r="V116" s="12">
        <f>IF(T$12=0,0,T116/T$12)</f>
        <v>9.1839794744523487E-2</v>
      </c>
      <c r="W116" s="4"/>
      <c r="X116" s="4">
        <f>+P116-T116</f>
        <v>1679.630000000001</v>
      </c>
      <c r="Y116" s="4"/>
      <c r="Z116" s="12">
        <f>IF(T116=0,0,X116/T116)</f>
        <v>9.0473517738870426E-2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8" t="s">
        <v>4</v>
      </c>
      <c r="C118" s="28"/>
      <c r="D118" s="31">
        <f>+D114-D116</f>
        <v>12191.069999999982</v>
      </c>
      <c r="E118" s="14"/>
      <c r="F118" s="34">
        <f>IF(D$12=0,0,D118/D$12)</f>
        <v>0.16756657643973291</v>
      </c>
      <c r="G118" s="14"/>
      <c r="H118" s="31">
        <f>+H114-H116</f>
        <v>12261.879999999979</v>
      </c>
      <c r="I118" s="14"/>
      <c r="J118" s="34">
        <f>IF(H$12=0,0,H118/H$12)</f>
        <v>0.15514426837412204</v>
      </c>
      <c r="K118" s="16"/>
      <c r="L118" s="31">
        <f>D118-H118</f>
        <v>-70.809999999997672</v>
      </c>
      <c r="M118" s="16"/>
      <c r="N118" s="34">
        <f>IF(H118=0,0,L118/H118)</f>
        <v>-5.7748077782524207E-3</v>
      </c>
      <c r="O118" s="29"/>
      <c r="P118" s="31">
        <f>+P114-P116</f>
        <v>28716.909999999931</v>
      </c>
      <c r="Q118" s="14"/>
      <c r="R118" s="34">
        <f>IF(P$12=0,0,P118/P$12)</f>
        <v>0.14279020097247974</v>
      </c>
      <c r="S118" s="14"/>
      <c r="T118" s="31">
        <f>+T114-T116</f>
        <v>24653.899999999911</v>
      </c>
      <c r="U118" s="14"/>
      <c r="V118" s="34">
        <f>IF(T$12=0,0,T118/T$12)</f>
        <v>0.12196195804400563</v>
      </c>
      <c r="W118" s="16"/>
      <c r="X118" s="31">
        <f>P118-T118</f>
        <v>4063.0100000000202</v>
      </c>
      <c r="Y118" s="16"/>
      <c r="Z118" s="34">
        <f>IF(T118=0,0,X118/T118)</f>
        <v>0.16480191774932304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8" t="s">
        <v>5</v>
      </c>
      <c r="C121" s="28"/>
      <c r="D121" s="36">
        <f>SUM(D118:D120)</f>
        <v>12191.069999999982</v>
      </c>
      <c r="E121" s="14"/>
      <c r="F121" s="33">
        <f>IF(D$12=0,0,D121/D$12)</f>
        <v>0.16756657643973291</v>
      </c>
      <c r="G121" s="14"/>
      <c r="H121" s="36">
        <f>SUM(H118:H120)</f>
        <v>12261.879999999979</v>
      </c>
      <c r="I121" s="14"/>
      <c r="J121" s="33">
        <f>IF(H$12=0,0,H121/H$12)</f>
        <v>0.15514426837412204</v>
      </c>
      <c r="K121" s="16"/>
      <c r="L121" s="36">
        <f>+D121-H121</f>
        <v>-70.809999999997672</v>
      </c>
      <c r="M121" s="16"/>
      <c r="N121" s="33">
        <f>IF(H121=0,0,L121/H121)</f>
        <v>-5.7748077782524207E-3</v>
      </c>
      <c r="O121" s="29"/>
      <c r="P121" s="36">
        <f>SUM(P118:P120)</f>
        <v>28716.909999999931</v>
      </c>
      <c r="Q121" s="14"/>
      <c r="R121" s="33">
        <f>IF(P$12=0,0,P121/P$12)</f>
        <v>0.14279020097247974</v>
      </c>
      <c r="S121" s="14"/>
      <c r="T121" s="36">
        <f>SUM(T118:T120)</f>
        <v>24653.899999999911</v>
      </c>
      <c r="U121" s="14"/>
      <c r="V121" s="33">
        <f>IF(T$12=0,0,T121/T$12)</f>
        <v>0.12196195804400563</v>
      </c>
      <c r="W121" s="16"/>
      <c r="X121" s="36">
        <f>+P121-T121</f>
        <v>4063.0100000000202</v>
      </c>
      <c r="Y121" s="16"/>
      <c r="Z121" s="33">
        <f>IF(T121=0,0,X121/T121)</f>
        <v>0.16480191774932304</v>
      </c>
    </row>
    <row r="122" spans="1:26" ht="15.75" thickTop="1" x14ac:dyDescent="0.25">
      <c r="A122" s="9"/>
      <c r="C122" s="9"/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  <row r="123" spans="1:26" x14ac:dyDescent="0.25">
      <c r="A123" s="9"/>
      <c r="B123" s="61">
        <v>43791.355239467593</v>
      </c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6" t="s">
        <v>313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7"/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42668.74</v>
      </c>
      <c r="E12" s="4"/>
      <c r="F12" s="12"/>
      <c r="G12" s="4"/>
      <c r="H12" s="4">
        <f>SUM(OSRRefH13x_0)</f>
        <v>58248.070000000014</v>
      </c>
      <c r="I12" s="4"/>
      <c r="J12" s="12"/>
      <c r="K12" s="4"/>
      <c r="L12" s="4">
        <f t="shared" ref="L12:L39" si="0">+D12-H12</f>
        <v>-15579.330000000016</v>
      </c>
      <c r="M12" s="4"/>
      <c r="N12" s="12">
        <f t="shared" ref="N12:N39" si="1">IF(H12=0,0,L12/H12)</f>
        <v>-0.2674651709490119</v>
      </c>
      <c r="O12" s="10"/>
      <c r="P12" s="4">
        <f>SUM(OSRRefP13x_0)</f>
        <v>2862395.4400000004</v>
      </c>
      <c r="Q12" s="4"/>
      <c r="R12" s="12"/>
      <c r="S12" s="4"/>
      <c r="T12" s="4">
        <f>SUM(OSRRefT13x_0)</f>
        <v>3384613.3000000003</v>
      </c>
      <c r="U12" s="4"/>
      <c r="V12" s="12"/>
      <c r="W12" s="4"/>
      <c r="X12" s="4">
        <f t="shared" ref="X12:X39" si="2">+P12-T12</f>
        <v>-522217.85999999987</v>
      </c>
      <c r="Y12" s="4"/>
      <c r="Z12" s="12">
        <f t="shared" ref="Z12:Z39" si="3">IF(T12=0,0,X12/T12)</f>
        <v>-0.15429173548422795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--31204.32</f>
        <v>31204.32</v>
      </c>
      <c r="E13" s="2"/>
      <c r="F13" s="19"/>
      <c r="G13" s="2"/>
      <c r="H13" s="2">
        <f>--48405.77</f>
        <v>48405.77</v>
      </c>
      <c r="I13" s="2"/>
      <c r="J13" s="19"/>
      <c r="K13" s="2"/>
      <c r="L13" s="2">
        <f t="shared" si="0"/>
        <v>-17201.449999999997</v>
      </c>
      <c r="M13" s="2"/>
      <c r="N13" s="19">
        <f t="shared" si="1"/>
        <v>-0.35535949536594497</v>
      </c>
      <c r="O13" s="11"/>
      <c r="P13" s="2">
        <f>--1495159.74</f>
        <v>1495159.74</v>
      </c>
      <c r="Q13" s="2"/>
      <c r="R13" s="19"/>
      <c r="S13" s="2"/>
      <c r="T13" s="2">
        <f>--1838816.03</f>
        <v>1838816.03</v>
      </c>
      <c r="U13" s="2"/>
      <c r="V13" s="19"/>
      <c r="W13" s="2"/>
      <c r="X13" s="2">
        <f t="shared" si="2"/>
        <v>-343656.29000000004</v>
      </c>
      <c r="Y13" s="2"/>
      <c r="Z13" s="19">
        <f t="shared" si="3"/>
        <v>-0.18688997941789753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--8985.78</f>
        <v>8985.7800000000007</v>
      </c>
      <c r="E14" s="2"/>
      <c r="F14" s="19"/>
      <c r="G14" s="2"/>
      <c r="H14" s="2">
        <f>--11150.82</f>
        <v>11150.82</v>
      </c>
      <c r="I14" s="2"/>
      <c r="J14" s="19"/>
      <c r="K14" s="2"/>
      <c r="L14" s="2">
        <f t="shared" si="0"/>
        <v>-2165.0399999999991</v>
      </c>
      <c r="M14" s="2"/>
      <c r="N14" s="19">
        <f t="shared" si="1"/>
        <v>-0.19415971202117863</v>
      </c>
      <c r="O14" s="11"/>
      <c r="P14" s="2">
        <f>--666296.36</f>
        <v>666296.36</v>
      </c>
      <c r="Q14" s="2"/>
      <c r="R14" s="19"/>
      <c r="S14" s="2"/>
      <c r="T14" s="2">
        <f>--740611.19</f>
        <v>740611.19</v>
      </c>
      <c r="U14" s="2"/>
      <c r="V14" s="19"/>
      <c r="W14" s="2"/>
      <c r="X14" s="2">
        <f t="shared" si="2"/>
        <v>-74314.829999999958</v>
      </c>
      <c r="Y14" s="2"/>
      <c r="Z14" s="19">
        <f t="shared" si="3"/>
        <v>-0.10034256976322484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--307.97</f>
        <v>307.97000000000003</v>
      </c>
      <c r="E15" s="2"/>
      <c r="F15" s="19"/>
      <c r="G15" s="2"/>
      <c r="H15" s="2">
        <f>--85</f>
        <v>85</v>
      </c>
      <c r="I15" s="2"/>
      <c r="J15" s="19"/>
      <c r="K15" s="2"/>
      <c r="L15" s="2">
        <f t="shared" si="0"/>
        <v>222.97000000000003</v>
      </c>
      <c r="M15" s="2"/>
      <c r="N15" s="19">
        <f t="shared" si="1"/>
        <v>2.6231764705882354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--460.04</f>
        <v>460.04</v>
      </c>
      <c r="E16" s="2"/>
      <c r="F16" s="19"/>
      <c r="G16" s="2"/>
      <c r="H16" s="2">
        <f>--180.48</f>
        <v>180.48</v>
      </c>
      <c r="I16" s="2"/>
      <c r="J16" s="19"/>
      <c r="K16" s="2"/>
      <c r="L16" s="2">
        <f t="shared" si="0"/>
        <v>279.56000000000006</v>
      </c>
      <c r="M16" s="2"/>
      <c r="N16" s="19">
        <f t="shared" si="1"/>
        <v>1.5489804964539011</v>
      </c>
      <c r="O16" s="11"/>
      <c r="P16" s="2">
        <f>--30160.48</f>
        <v>30160.48</v>
      </c>
      <c r="Q16" s="2"/>
      <c r="R16" s="19"/>
      <c r="S16" s="2"/>
      <c r="T16" s="2">
        <f>--42280.28</f>
        <v>42280.28</v>
      </c>
      <c r="U16" s="2"/>
      <c r="V16" s="19"/>
      <c r="W16" s="2"/>
      <c r="X16" s="2">
        <f t="shared" si="2"/>
        <v>-12119.8</v>
      </c>
      <c r="Y16" s="2"/>
      <c r="Z16" s="19">
        <f t="shared" si="3"/>
        <v>-0.2866537307699949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--5.23</f>
        <v>5.23</v>
      </c>
      <c r="I17" s="2"/>
      <c r="J17" s="19"/>
      <c r="K17" s="2"/>
      <c r="L17" s="2">
        <f t="shared" si="0"/>
        <v>-5.23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--5.23</f>
        <v>5.23</v>
      </c>
      <c r="U17" s="2"/>
      <c r="V17" s="19"/>
      <c r="W17" s="2"/>
      <c r="X17" s="2">
        <f t="shared" si="2"/>
        <v>4.3699999999999992</v>
      </c>
      <c r="Y17" s="2"/>
      <c r="Z17" s="19">
        <f t="shared" si="3"/>
        <v>0.83556405353728469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--686.63</f>
        <v>686.63</v>
      </c>
      <c r="E18" s="2"/>
      <c r="F18" s="19"/>
      <c r="G18" s="2"/>
      <c r="H18" s="2">
        <f>--735.51</f>
        <v>735.51</v>
      </c>
      <c r="I18" s="2"/>
      <c r="J18" s="19"/>
      <c r="K18" s="2"/>
      <c r="L18" s="2">
        <f t="shared" si="0"/>
        <v>-48.879999999999995</v>
      </c>
      <c r="M18" s="2"/>
      <c r="N18" s="19">
        <f t="shared" si="1"/>
        <v>-6.6457288140202034E-2</v>
      </c>
      <c r="O18" s="11"/>
      <c r="P18" s="2">
        <f>--827.39</f>
        <v>827.39</v>
      </c>
      <c r="Q18" s="2"/>
      <c r="R18" s="19"/>
      <c r="S18" s="2"/>
      <c r="T18" s="2">
        <f>--2008.49</f>
        <v>2008.49</v>
      </c>
      <c r="U18" s="2"/>
      <c r="V18" s="19"/>
      <c r="W18" s="2"/>
      <c r="X18" s="2">
        <f t="shared" si="2"/>
        <v>-1181.0999999999999</v>
      </c>
      <c r="Y18" s="2"/>
      <c r="Z18" s="19">
        <f t="shared" si="3"/>
        <v>-0.58805371199259138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--171.13</f>
        <v>171.13</v>
      </c>
      <c r="E19" s="2"/>
      <c r="F19" s="19"/>
      <c r="G19" s="2"/>
      <c r="H19" s="2">
        <f>--228.75</f>
        <v>228.75</v>
      </c>
      <c r="I19" s="2"/>
      <c r="J19" s="19"/>
      <c r="K19" s="2"/>
      <c r="L19" s="2">
        <f t="shared" si="0"/>
        <v>-57.620000000000005</v>
      </c>
      <c r="M19" s="2"/>
      <c r="N19" s="19">
        <f t="shared" si="1"/>
        <v>-0.25189071038251371</v>
      </c>
      <c r="O19" s="11"/>
      <c r="P19" s="2">
        <f>--694.22</f>
        <v>694.22</v>
      </c>
      <c r="Q19" s="2"/>
      <c r="R19" s="19"/>
      <c r="S19" s="2"/>
      <c r="T19" s="2">
        <f>--816.62</f>
        <v>816.62</v>
      </c>
      <c r="U19" s="2"/>
      <c r="V19" s="19"/>
      <c r="W19" s="2"/>
      <c r="X19" s="2">
        <f t="shared" si="2"/>
        <v>-122.39999999999998</v>
      </c>
      <c r="Y19" s="2"/>
      <c r="Z19" s="19">
        <f t="shared" si="3"/>
        <v>-0.14988611594131906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--394.68</f>
        <v>394.68</v>
      </c>
      <c r="E20" s="2"/>
      <c r="F20" s="19"/>
      <c r="G20" s="2"/>
      <c r="H20" s="2">
        <f>--603.17</f>
        <v>603.16999999999996</v>
      </c>
      <c r="I20" s="2"/>
      <c r="J20" s="19"/>
      <c r="K20" s="2"/>
      <c r="L20" s="2">
        <f t="shared" si="0"/>
        <v>-208.48999999999995</v>
      </c>
      <c r="M20" s="2"/>
      <c r="N20" s="19">
        <f t="shared" si="1"/>
        <v>-0.34565711159374629</v>
      </c>
      <c r="O20" s="11"/>
      <c r="P20" s="2">
        <f>--2454.83</f>
        <v>2454.83</v>
      </c>
      <c r="Q20" s="2"/>
      <c r="R20" s="19"/>
      <c r="S20" s="2"/>
      <c r="T20" s="2">
        <f>--3429.78</f>
        <v>3429.78</v>
      </c>
      <c r="U20" s="2"/>
      <c r="V20" s="19"/>
      <c r="W20" s="2"/>
      <c r="X20" s="2">
        <f t="shared" si="2"/>
        <v>-974.95000000000027</v>
      </c>
      <c r="Y20" s="2"/>
      <c r="Z20" s="19">
        <f t="shared" si="3"/>
        <v>-0.28426021494090004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--3713.9</f>
        <v>3713.9</v>
      </c>
      <c r="E21" s="2"/>
      <c r="F21" s="19"/>
      <c r="G21" s="2"/>
      <c r="H21" s="2">
        <f>--4821.88</f>
        <v>4821.88</v>
      </c>
      <c r="I21" s="2"/>
      <c r="J21" s="19"/>
      <c r="K21" s="2"/>
      <c r="L21" s="2">
        <f t="shared" si="0"/>
        <v>-1107.98</v>
      </c>
      <c r="M21" s="2"/>
      <c r="N21" s="19">
        <f t="shared" si="1"/>
        <v>-0.22978174487959052</v>
      </c>
      <c r="O21" s="11"/>
      <c r="P21" s="2">
        <f>--335381.67</f>
        <v>335381.67</v>
      </c>
      <c r="Q21" s="2"/>
      <c r="R21" s="19"/>
      <c r="S21" s="2"/>
      <c r="T21" s="2">
        <f>--390310.29</f>
        <v>390310.29</v>
      </c>
      <c r="U21" s="2"/>
      <c r="V21" s="19"/>
      <c r="W21" s="2"/>
      <c r="X21" s="2">
        <f t="shared" si="2"/>
        <v>-54928.619999999995</v>
      </c>
      <c r="Y21" s="2"/>
      <c r="Z21" s="19">
        <f t="shared" si="3"/>
        <v>-0.14073064791604648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--8438.54</f>
        <v>8438.5400000000009</v>
      </c>
      <c r="E22" s="2"/>
      <c r="F22" s="19"/>
      <c r="G22" s="2"/>
      <c r="H22" s="2">
        <f>--6989.58</f>
        <v>6989.58</v>
      </c>
      <c r="I22" s="2"/>
      <c r="J22" s="19"/>
      <c r="K22" s="2"/>
      <c r="L22" s="2">
        <f t="shared" si="0"/>
        <v>1448.9600000000009</v>
      </c>
      <c r="M22" s="2"/>
      <c r="N22" s="19">
        <f t="shared" si="1"/>
        <v>0.20730287084488638</v>
      </c>
      <c r="O22" s="11"/>
      <c r="P22" s="2">
        <f>--92331.09</f>
        <v>92331.09</v>
      </c>
      <c r="Q22" s="2"/>
      <c r="R22" s="19"/>
      <c r="S22" s="2"/>
      <c r="T22" s="2">
        <f>--148009.28</f>
        <v>148009.28</v>
      </c>
      <c r="U22" s="2"/>
      <c r="V22" s="19"/>
      <c r="W22" s="2"/>
      <c r="X22" s="2">
        <f t="shared" si="2"/>
        <v>-55678.19</v>
      </c>
      <c r="Y22" s="2"/>
      <c r="Z22" s="19">
        <f t="shared" si="3"/>
        <v>-0.37618039895876804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--578.81</f>
        <v>578.80999999999995</v>
      </c>
      <c r="E23" s="2"/>
      <c r="F23" s="19"/>
      <c r="G23" s="2"/>
      <c r="H23" s="2">
        <f>--1243.24</f>
        <v>1243.24</v>
      </c>
      <c r="I23" s="2"/>
      <c r="J23" s="19"/>
      <c r="K23" s="2"/>
      <c r="L23" s="2">
        <f t="shared" si="0"/>
        <v>-664.43000000000006</v>
      </c>
      <c r="M23" s="2"/>
      <c r="N23" s="19">
        <f t="shared" si="1"/>
        <v>-0.53443422026318332</v>
      </c>
      <c r="O23" s="11"/>
      <c r="P23" s="2">
        <f>--37022.32</f>
        <v>37022.32</v>
      </c>
      <c r="Q23" s="2"/>
      <c r="R23" s="19"/>
      <c r="S23" s="2"/>
      <c r="T23" s="2">
        <f>--50495.17</f>
        <v>50495.17</v>
      </c>
      <c r="U23" s="2"/>
      <c r="V23" s="19"/>
      <c r="W23" s="2"/>
      <c r="X23" s="2">
        <f t="shared" si="2"/>
        <v>-13472.849999999999</v>
      </c>
      <c r="Y23" s="2"/>
      <c r="Z23" s="19">
        <f t="shared" si="3"/>
        <v>-0.26681462801293665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--329.98</f>
        <v>329.98</v>
      </c>
      <c r="Q24" s="2"/>
      <c r="R24" s="19"/>
      <c r="S24" s="2"/>
      <c r="T24" s="2">
        <f>--509.85</f>
        <v>509.85</v>
      </c>
      <c r="U24" s="2"/>
      <c r="V24" s="19"/>
      <c r="W24" s="2"/>
      <c r="X24" s="2">
        <f t="shared" si="2"/>
        <v>-179.87</v>
      </c>
      <c r="Y24" s="2"/>
      <c r="Z24" s="19">
        <f t="shared" si="3"/>
        <v>-0.35279003628518191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--1559.03</f>
        <v>1559.03</v>
      </c>
      <c r="E25" s="2"/>
      <c r="F25" s="19"/>
      <c r="G25" s="2"/>
      <c r="H25" s="2">
        <f>--2584.6</f>
        <v>2584.6</v>
      </c>
      <c r="I25" s="2"/>
      <c r="J25" s="19"/>
      <c r="K25" s="2"/>
      <c r="L25" s="2">
        <f t="shared" si="0"/>
        <v>-1025.57</v>
      </c>
      <c r="M25" s="2"/>
      <c r="N25" s="19">
        <f t="shared" si="1"/>
        <v>-0.39680027857308675</v>
      </c>
      <c r="O25" s="11"/>
      <c r="P25" s="2">
        <f>--320492.85</f>
        <v>320492.84999999998</v>
      </c>
      <c r="Q25" s="2"/>
      <c r="R25" s="19"/>
      <c r="S25" s="2"/>
      <c r="T25" s="2">
        <f>--337326.13</f>
        <v>337326.13</v>
      </c>
      <c r="U25" s="2"/>
      <c r="V25" s="19"/>
      <c r="W25" s="2"/>
      <c r="X25" s="2">
        <f t="shared" si="2"/>
        <v>-16833.280000000028</v>
      </c>
      <c r="Y25" s="2"/>
      <c r="Z25" s="19">
        <f t="shared" si="3"/>
        <v>-4.9902093265054882E-2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--757.3</f>
        <v>757.3</v>
      </c>
      <c r="E26" s="2"/>
      <c r="F26" s="19"/>
      <c r="G26" s="2"/>
      <c r="H26" s="2">
        <f>--1124.17</f>
        <v>1124.17</v>
      </c>
      <c r="I26" s="2"/>
      <c r="J26" s="19"/>
      <c r="K26" s="2"/>
      <c r="L26" s="2">
        <f t="shared" si="0"/>
        <v>-366.87000000000012</v>
      </c>
      <c r="M26" s="2"/>
      <c r="N26" s="19">
        <f t="shared" si="1"/>
        <v>-0.32634743855466708</v>
      </c>
      <c r="O26" s="11"/>
      <c r="P26" s="2">
        <f>--7099.47</f>
        <v>7099.47</v>
      </c>
      <c r="Q26" s="2"/>
      <c r="R26" s="19"/>
      <c r="S26" s="2"/>
      <c r="T26" s="2">
        <f>--9713.91</f>
        <v>9713.91</v>
      </c>
      <c r="U26" s="2"/>
      <c r="V26" s="19"/>
      <c r="W26" s="2"/>
      <c r="X26" s="2">
        <f t="shared" si="2"/>
        <v>-2614.4399999999996</v>
      </c>
      <c r="Y26" s="2"/>
      <c r="Z26" s="19">
        <f t="shared" si="3"/>
        <v>-0.26914393894940347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 t="shared" ref="D27:D28" si="4">0</f>
        <v>0</v>
      </c>
      <c r="E27" s="2"/>
      <c r="F27" s="19"/>
      <c r="G27" s="2"/>
      <c r="H27" s="2">
        <f t="shared" ref="H27:H28" si="5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>
        <f>--38.23</f>
        <v>38.229999999999997</v>
      </c>
      <c r="U27" s="2"/>
      <c r="V27" s="19"/>
      <c r="W27" s="2"/>
      <c r="X27" s="2">
        <f t="shared" si="2"/>
        <v>1108.49</v>
      </c>
      <c r="Y27" s="2"/>
      <c r="Z27" s="19">
        <f t="shared" si="3"/>
        <v>28.995291655767723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 t="shared" si="4"/>
        <v>0</v>
      </c>
      <c r="E28" s="2"/>
      <c r="F28" s="19"/>
      <c r="G28" s="2"/>
      <c r="H28" s="2">
        <f t="shared" si="5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--20.92</f>
        <v>20.92</v>
      </c>
      <c r="Q28" s="2"/>
      <c r="R28" s="19"/>
      <c r="S28" s="2"/>
      <c r="T28" s="2">
        <f>--111.41</f>
        <v>111.41</v>
      </c>
      <c r="U28" s="2"/>
      <c r="V28" s="19"/>
      <c r="W28" s="2"/>
      <c r="X28" s="2">
        <f t="shared" si="2"/>
        <v>-90.49</v>
      </c>
      <c r="Y28" s="2"/>
      <c r="Z28" s="19">
        <f t="shared" si="3"/>
        <v>-0.81222511444215062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-4543.92</f>
        <v>-4543.92</v>
      </c>
      <c r="E29" s="2"/>
      <c r="F29" s="19"/>
      <c r="G29" s="2"/>
      <c r="H29" s="2">
        <f>-12940.45</f>
        <v>-12940.45</v>
      </c>
      <c r="I29" s="2"/>
      <c r="J29" s="19"/>
      <c r="K29" s="2"/>
      <c r="L29" s="2">
        <f t="shared" si="0"/>
        <v>8396.5300000000007</v>
      </c>
      <c r="M29" s="2"/>
      <c r="N29" s="19">
        <f t="shared" si="1"/>
        <v>-0.64885919732312247</v>
      </c>
      <c r="O29" s="11"/>
      <c r="P29" s="2">
        <f>-77783.67</f>
        <v>-77783.67</v>
      </c>
      <c r="Q29" s="2"/>
      <c r="R29" s="19"/>
      <c r="S29" s="2"/>
      <c r="T29" s="2">
        <f>-111732.67</f>
        <v>-111732.67</v>
      </c>
      <c r="U29" s="2"/>
      <c r="V29" s="19"/>
      <c r="W29" s="2"/>
      <c r="X29" s="2">
        <f t="shared" si="2"/>
        <v>33949</v>
      </c>
      <c r="Y29" s="2"/>
      <c r="Z29" s="19">
        <f t="shared" si="3"/>
        <v>-0.30384130263780507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-3577.9</f>
        <v>-3577.9</v>
      </c>
      <c r="E30" s="2"/>
      <c r="F30" s="19"/>
      <c r="G30" s="2"/>
      <c r="H30" s="2">
        <f>-2444</f>
        <v>-2444</v>
      </c>
      <c r="I30" s="2"/>
      <c r="J30" s="19"/>
      <c r="K30" s="2"/>
      <c r="L30" s="2">
        <f t="shared" si="0"/>
        <v>-1133.9000000000001</v>
      </c>
      <c r="M30" s="2"/>
      <c r="N30" s="19">
        <f t="shared" si="1"/>
        <v>0.4639525368248773</v>
      </c>
      <c r="O30" s="11"/>
      <c r="P30" s="2">
        <f>-26929</f>
        <v>-26929</v>
      </c>
      <c r="Q30" s="2"/>
      <c r="R30" s="19"/>
      <c r="S30" s="2"/>
      <c r="T30" s="2">
        <f>-29099.65</f>
        <v>-29099.65</v>
      </c>
      <c r="U30" s="2"/>
      <c r="V30" s="19"/>
      <c r="W30" s="2"/>
      <c r="X30" s="2">
        <f t="shared" si="2"/>
        <v>2170.6500000000015</v>
      </c>
      <c r="Y30" s="2"/>
      <c r="Z30" s="19">
        <f t="shared" si="3"/>
        <v>-7.4593680680008226E-2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>
        <f>-1529.55</f>
        <v>-1529.55</v>
      </c>
      <c r="U31" s="2"/>
      <c r="V31" s="19"/>
      <c r="W31" s="2"/>
      <c r="X31" s="2">
        <f t="shared" si="2"/>
        <v>1384.56</v>
      </c>
      <c r="Y31" s="2"/>
      <c r="Z31" s="19">
        <f t="shared" si="3"/>
        <v>-0.90520741394527804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-193.34</f>
        <v>-193.34</v>
      </c>
      <c r="E32" s="2"/>
      <c r="F32" s="19"/>
      <c r="G32" s="2"/>
      <c r="H32" s="2">
        <f>-358.14</f>
        <v>-358.14</v>
      </c>
      <c r="I32" s="2"/>
      <c r="J32" s="19"/>
      <c r="K32" s="2"/>
      <c r="L32" s="2">
        <f t="shared" si="0"/>
        <v>164.79999999999998</v>
      </c>
      <c r="M32" s="2"/>
      <c r="N32" s="19">
        <f t="shared" si="1"/>
        <v>-0.46015524655162782</v>
      </c>
      <c r="O32" s="11"/>
      <c r="P32" s="2">
        <f>-11250.06</f>
        <v>-11250.06</v>
      </c>
      <c r="Q32" s="2"/>
      <c r="R32" s="19"/>
      <c r="S32" s="2"/>
      <c r="T32" s="2">
        <f>-15499.78</f>
        <v>-15499.78</v>
      </c>
      <c r="U32" s="2"/>
      <c r="V32" s="19"/>
      <c r="W32" s="2"/>
      <c r="X32" s="2">
        <f t="shared" si="2"/>
        <v>4249.7200000000012</v>
      </c>
      <c r="Y32" s="2"/>
      <c r="Z32" s="19">
        <f t="shared" si="3"/>
        <v>-0.27417937544920001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-35.37</f>
        <v>-35.369999999999997</v>
      </c>
      <c r="E33" s="2"/>
      <c r="F33" s="19"/>
      <c r="G33" s="2"/>
      <c r="H33" s="2">
        <f t="shared" ref="H33:H34" si="6">0</f>
        <v>0</v>
      </c>
      <c r="I33" s="2"/>
      <c r="J33" s="19"/>
      <c r="K33" s="2"/>
      <c r="L33" s="2">
        <f t="shared" si="0"/>
        <v>-35.369999999999997</v>
      </c>
      <c r="M33" s="2"/>
      <c r="N33" s="19">
        <f t="shared" si="1"/>
        <v>0</v>
      </c>
      <c r="O33" s="11"/>
      <c r="P33" s="2">
        <f>-35.37</f>
        <v>-35.369999999999997</v>
      </c>
      <c r="Q33" s="2"/>
      <c r="R33" s="19"/>
      <c r="S33" s="2"/>
      <c r="T33" s="2">
        <f>-15</f>
        <v>-15</v>
      </c>
      <c r="U33" s="2"/>
      <c r="V33" s="19"/>
      <c r="W33" s="2"/>
      <c r="X33" s="2">
        <f t="shared" si="2"/>
        <v>-20.369999999999997</v>
      </c>
      <c r="Y33" s="2"/>
      <c r="Z33" s="19">
        <f t="shared" si="3"/>
        <v>1.3579999999999999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>0</f>
        <v>0</v>
      </c>
      <c r="E34" s="2"/>
      <c r="F34" s="19"/>
      <c r="G34" s="2"/>
      <c r="H34" s="2">
        <f t="shared" si="6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-32.75</f>
        <v>-32.75</v>
      </c>
      <c r="Q34" s="2"/>
      <c r="R34" s="19"/>
      <c r="S34" s="2"/>
      <c r="T34" s="2">
        <f>-22.9</f>
        <v>-22.9</v>
      </c>
      <c r="U34" s="2"/>
      <c r="V34" s="19"/>
      <c r="W34" s="2"/>
      <c r="X34" s="2">
        <f t="shared" si="2"/>
        <v>-9.8500000000000014</v>
      </c>
      <c r="Y34" s="2"/>
      <c r="Z34" s="19">
        <f t="shared" si="3"/>
        <v>0.43013100436681234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>-5585.76</f>
        <v>-5585.76</v>
      </c>
      <c r="E35" s="2"/>
      <c r="F35" s="19"/>
      <c r="G35" s="2"/>
      <c r="H35" s="2">
        <f>-3879.18</f>
        <v>-3879.18</v>
      </c>
      <c r="I35" s="2"/>
      <c r="J35" s="19"/>
      <c r="K35" s="2"/>
      <c r="L35" s="2">
        <f t="shared" si="0"/>
        <v>-1706.5800000000004</v>
      </c>
      <c r="M35" s="2"/>
      <c r="N35" s="19">
        <f t="shared" si="1"/>
        <v>0.43993318175490709</v>
      </c>
      <c r="O35" s="11"/>
      <c r="P35" s="2">
        <f>-12310.98</f>
        <v>-12310.98</v>
      </c>
      <c r="Q35" s="2"/>
      <c r="R35" s="19"/>
      <c r="S35" s="2"/>
      <c r="T35" s="2">
        <f>-24921.37</f>
        <v>-24921.37</v>
      </c>
      <c r="U35" s="2"/>
      <c r="V35" s="19"/>
      <c r="W35" s="2"/>
      <c r="X35" s="2">
        <f t="shared" si="2"/>
        <v>12610.39</v>
      </c>
      <c r="Y35" s="2"/>
      <c r="Z35" s="19">
        <f t="shared" si="3"/>
        <v>-0.50600709351050921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>-35.1</f>
        <v>-35.1</v>
      </c>
      <c r="E36" s="2"/>
      <c r="F36" s="19"/>
      <c r="G36" s="2"/>
      <c r="H36" s="2">
        <f>-60</f>
        <v>-60</v>
      </c>
      <c r="I36" s="2"/>
      <c r="J36" s="19"/>
      <c r="K36" s="2"/>
      <c r="L36" s="2">
        <f t="shared" si="0"/>
        <v>24.9</v>
      </c>
      <c r="M36" s="2"/>
      <c r="N36" s="19">
        <f t="shared" si="1"/>
        <v>-0.41499999999999998</v>
      </c>
      <c r="O36" s="11"/>
      <c r="P36" s="2">
        <f>-683.8</f>
        <v>-683.8</v>
      </c>
      <c r="Q36" s="2"/>
      <c r="R36" s="19"/>
      <c r="S36" s="2"/>
      <c r="T36" s="2">
        <f>-2152.04</f>
        <v>-2152.04</v>
      </c>
      <c r="U36" s="2"/>
      <c r="V36" s="19"/>
      <c r="W36" s="2"/>
      <c r="X36" s="2">
        <f t="shared" si="2"/>
        <v>1468.24</v>
      </c>
      <c r="Y36" s="2"/>
      <c r="Z36" s="19">
        <f t="shared" si="3"/>
        <v>-0.68225497667329604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>0</f>
        <v>0</v>
      </c>
      <c r="E37" s="2"/>
      <c r="F37" s="19"/>
      <c r="G37" s="2"/>
      <c r="H37" s="2">
        <f t="shared" ref="H37:H38" si="7"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-184.99</f>
        <v>-184.99</v>
      </c>
      <c r="Q37" s="2"/>
      <c r="R37" s="19"/>
      <c r="S37" s="2"/>
      <c r="T37" s="2">
        <f>-509.85</f>
        <v>-509.85</v>
      </c>
      <c r="U37" s="2"/>
      <c r="V37" s="19"/>
      <c r="W37" s="2"/>
      <c r="X37" s="2">
        <f t="shared" si="2"/>
        <v>324.86</v>
      </c>
      <c r="Y37" s="2"/>
      <c r="Z37" s="19">
        <f t="shared" si="3"/>
        <v>-0.63716779444934779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-617.98</f>
        <v>-617.98</v>
      </c>
      <c r="E38" s="2"/>
      <c r="F38" s="19"/>
      <c r="G38" s="2"/>
      <c r="H38" s="2">
        <f t="shared" si="7"/>
        <v>0</v>
      </c>
      <c r="I38" s="2"/>
      <c r="J38" s="19"/>
      <c r="K38" s="2"/>
      <c r="L38" s="2">
        <f t="shared" si="0"/>
        <v>-617.98</v>
      </c>
      <c r="M38" s="2"/>
      <c r="N38" s="19">
        <f t="shared" si="1"/>
        <v>0</v>
      </c>
      <c r="O38" s="11"/>
      <c r="P38" s="2">
        <f>-13133.29</f>
        <v>-13133.29</v>
      </c>
      <c r="Q38" s="2"/>
      <c r="R38" s="19"/>
      <c r="S38" s="2"/>
      <c r="T38" s="2">
        <f>-3743.75</f>
        <v>-3743.75</v>
      </c>
      <c r="U38" s="2"/>
      <c r="V38" s="19"/>
      <c r="W38" s="2"/>
      <c r="X38" s="2">
        <f t="shared" si="2"/>
        <v>-9389.5400000000009</v>
      </c>
      <c r="Y38" s="2"/>
      <c r="Z38" s="19">
        <f t="shared" si="3"/>
        <v>2.5080574290484141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-0.02</f>
        <v>-0.02</v>
      </c>
      <c r="E39" s="2"/>
      <c r="F39" s="19"/>
      <c r="G39" s="2"/>
      <c r="H39" s="2">
        <f>-228.36</f>
        <v>-228.36</v>
      </c>
      <c r="I39" s="2"/>
      <c r="J39" s="19"/>
      <c r="K39" s="2"/>
      <c r="L39" s="2">
        <f t="shared" si="0"/>
        <v>228.34</v>
      </c>
      <c r="M39" s="2"/>
      <c r="N39" s="19">
        <f t="shared" si="1"/>
        <v>-0.99991241898756344</v>
      </c>
      <c r="O39" s="11"/>
      <c r="P39" s="2">
        <f>-387.96</f>
        <v>-387.96</v>
      </c>
      <c r="Q39" s="2"/>
      <c r="R39" s="19"/>
      <c r="S39" s="2"/>
      <c r="T39" s="2">
        <f>-586.28</f>
        <v>-586.28</v>
      </c>
      <c r="U39" s="2"/>
      <c r="V39" s="19"/>
      <c r="W39" s="2"/>
      <c r="X39" s="2">
        <f t="shared" si="2"/>
        <v>198.32</v>
      </c>
      <c r="Y39" s="2"/>
      <c r="Z39" s="19">
        <f t="shared" si="3"/>
        <v>-0.33826840417547932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9" t="s">
        <v>8</v>
      </c>
      <c r="C41" s="10"/>
      <c r="D41" s="4">
        <f>SUM(OSRRefD16x_0)</f>
        <v>32914.55999999999</v>
      </c>
      <c r="E41" s="4"/>
      <c r="F41" s="12">
        <f t="shared" ref="F41:F56" si="8">IF(D$12=0,0,D41/D$12)</f>
        <v>0.77139751490201003</v>
      </c>
      <c r="G41" s="4"/>
      <c r="H41" s="4">
        <f>SUM(OSRRefH16x_0)</f>
        <v>43242.80000000001</v>
      </c>
      <c r="I41" s="4"/>
      <c r="J41" s="12">
        <f t="shared" ref="J41:J56" si="9">IF(H$12=0,0,H41/H$12)</f>
        <v>0.74239026288768017</v>
      </c>
      <c r="K41" s="4"/>
      <c r="L41" s="4">
        <f t="shared" ref="L41:L56" si="10">+D41-H41</f>
        <v>-10328.24000000002</v>
      </c>
      <c r="M41" s="4"/>
      <c r="N41" s="12">
        <f t="shared" ref="N41:N56" si="11">IF(H41=0,0,L41/H41)</f>
        <v>-0.23884299814073134</v>
      </c>
      <c r="O41" s="10"/>
      <c r="P41" s="4">
        <f>SUM(OSRRefP16x_0)</f>
        <v>2101156.09</v>
      </c>
      <c r="Q41" s="4"/>
      <c r="R41" s="12">
        <f t="shared" ref="R41:R56" si="12">IF(P$12=0,0,P41/P$12)</f>
        <v>0.73405514159147756</v>
      </c>
      <c r="S41" s="4"/>
      <c r="T41" s="4">
        <f>SUM(OSRRefT16x_0)</f>
        <v>2488028.0699999998</v>
      </c>
      <c r="U41" s="4"/>
      <c r="V41" s="12">
        <f t="shared" ref="V41:V56" si="13">IF(T$12=0,0,T41/T$12)</f>
        <v>0.73509965525456034</v>
      </c>
      <c r="W41" s="4"/>
      <c r="X41" s="4">
        <f t="shared" ref="X41:X56" si="14">+P41-T41</f>
        <v>-386871.98</v>
      </c>
      <c r="Y41" s="4"/>
      <c r="Z41" s="12">
        <f t="shared" ref="Z41:Z56" si="15">IF(T41=0,0,X41/T41)</f>
        <v>-0.15549341450958792</v>
      </c>
    </row>
    <row r="42" spans="1:26" s="24" customFormat="1" hidden="1" outlineLevel="1" x14ac:dyDescent="0.25">
      <c r="A42" s="44"/>
      <c r="B42" s="11" t="str">
        <f>CONCATENATE("          ", "5001", " - ", "PURCHASES @ COST-NEW TEXT")</f>
        <v xml:space="preserve">          5001 - PURCHASES @ COST-NEW TEXT</v>
      </c>
      <c r="C42" s="11"/>
      <c r="D42" s="2">
        <v>-175502.53</v>
      </c>
      <c r="E42" s="2"/>
      <c r="F42" s="19">
        <f t="shared" si="8"/>
        <v>-4.1131406739453755</v>
      </c>
      <c r="G42" s="2"/>
      <c r="H42" s="2">
        <v>-327927.62</v>
      </c>
      <c r="I42" s="2"/>
      <c r="J42" s="19">
        <f t="shared" si="9"/>
        <v>-5.6298452463746855</v>
      </c>
      <c r="K42" s="2"/>
      <c r="L42" s="2">
        <f t="shared" si="10"/>
        <v>152425.09</v>
      </c>
      <c r="M42" s="2"/>
      <c r="N42" s="19">
        <f t="shared" si="11"/>
        <v>-0.46481321091526234</v>
      </c>
      <c r="O42" s="11"/>
      <c r="P42" s="2">
        <v>1757148.42</v>
      </c>
      <c r="Q42" s="2"/>
      <c r="R42" s="19">
        <f t="shared" si="12"/>
        <v>0.61387339968652255</v>
      </c>
      <c r="S42" s="2"/>
      <c r="T42" s="2">
        <v>1724550.02</v>
      </c>
      <c r="U42" s="2"/>
      <c r="V42" s="19">
        <f t="shared" si="13"/>
        <v>0.50952645609470359</v>
      </c>
      <c r="W42" s="2"/>
      <c r="X42" s="2">
        <f t="shared" si="14"/>
        <v>32598.399999999907</v>
      </c>
      <c r="Y42" s="2"/>
      <c r="Z42" s="19">
        <f t="shared" si="15"/>
        <v>1.8902554070307515E-2</v>
      </c>
    </row>
    <row r="43" spans="1:26" s="24" customFormat="1" hidden="1" outlineLevel="1" x14ac:dyDescent="0.25">
      <c r="A43" s="44"/>
      <c r="B43" s="11" t="str">
        <f>CONCATENATE("          ", "5002", " - ", "PURCHASES @ COST-USED TEXT")</f>
        <v xml:space="preserve">          5002 - PURCHASES @ COST-USED TEXT</v>
      </c>
      <c r="C43" s="11"/>
      <c r="D43" s="2">
        <v>14221.93</v>
      </c>
      <c r="E43" s="2"/>
      <c r="F43" s="19">
        <f t="shared" si="8"/>
        <v>0.33331028757821302</v>
      </c>
      <c r="G43" s="2"/>
      <c r="H43" s="2">
        <v>1917.24</v>
      </c>
      <c r="I43" s="2"/>
      <c r="J43" s="19">
        <f t="shared" si="9"/>
        <v>3.2915081993274621E-2</v>
      </c>
      <c r="K43" s="2"/>
      <c r="L43" s="2">
        <f t="shared" si="10"/>
        <v>12304.69</v>
      </c>
      <c r="M43" s="2"/>
      <c r="N43" s="19">
        <f t="shared" si="11"/>
        <v>6.417918466128393</v>
      </c>
      <c r="O43" s="11"/>
      <c r="P43" s="2">
        <v>368033.17</v>
      </c>
      <c r="Q43" s="2"/>
      <c r="R43" s="19">
        <f t="shared" si="12"/>
        <v>0.12857523627133779</v>
      </c>
      <c r="S43" s="2"/>
      <c r="T43" s="2">
        <v>316967.42000000004</v>
      </c>
      <c r="U43" s="2"/>
      <c r="V43" s="19">
        <f t="shared" si="13"/>
        <v>9.3649522679592381E-2</v>
      </c>
      <c r="W43" s="2"/>
      <c r="X43" s="2">
        <f t="shared" si="14"/>
        <v>51065.749999999942</v>
      </c>
      <c r="Y43" s="2"/>
      <c r="Z43" s="19">
        <f t="shared" si="15"/>
        <v>0.16110725196930314</v>
      </c>
    </row>
    <row r="44" spans="1:26" s="24" customFormat="1" hidden="1" outlineLevel="1" x14ac:dyDescent="0.25">
      <c r="A44" s="44"/>
      <c r="B44" s="11" t="str">
        <f>CONCATENATE("          ", "5003", " - ", "PURCHASES @ COST-RENTAL TEXT")</f>
        <v xml:space="preserve">          5003 - PURCHASES @ COST-RENTAL TEXT</v>
      </c>
      <c r="C44" s="11"/>
      <c r="D44" s="2"/>
      <c r="E44" s="2"/>
      <c r="F44" s="19">
        <f t="shared" si="8"/>
        <v>0</v>
      </c>
      <c r="G44" s="2"/>
      <c r="H44" s="2">
        <v>707.2</v>
      </c>
      <c r="I44" s="2"/>
      <c r="J44" s="19">
        <f t="shared" si="9"/>
        <v>1.2141174806306885E-2</v>
      </c>
      <c r="K44" s="2"/>
      <c r="L44" s="2">
        <f t="shared" si="10"/>
        <v>-707.2</v>
      </c>
      <c r="M44" s="2"/>
      <c r="N44" s="19">
        <f t="shared" si="11"/>
        <v>-1</v>
      </c>
      <c r="O44" s="11"/>
      <c r="P44" s="2">
        <v>-78.400000000000006</v>
      </c>
      <c r="Q44" s="2"/>
      <c r="R44" s="19">
        <f t="shared" si="12"/>
        <v>-2.7389646763830783E-5</v>
      </c>
      <c r="S44" s="2"/>
      <c r="T44" s="2">
        <v>185.1</v>
      </c>
      <c r="U44" s="2"/>
      <c r="V44" s="19">
        <f t="shared" si="13"/>
        <v>5.468867004688541E-5</v>
      </c>
      <c r="W44" s="2"/>
      <c r="X44" s="2">
        <f t="shared" si="14"/>
        <v>-263.5</v>
      </c>
      <c r="Y44" s="2"/>
      <c r="Z44" s="19">
        <f t="shared" si="15"/>
        <v>-1.4235548352242031</v>
      </c>
    </row>
    <row r="45" spans="1:26" s="24" customFormat="1" hidden="1" outlineLevel="1" x14ac:dyDescent="0.25">
      <c r="A45" s="44"/>
      <c r="B45" s="11" t="str">
        <f>CONCATENATE("          ", "5004", " - ", "PURCHASES @ COST-DIGITAL TEXT")</f>
        <v xml:space="preserve">          5004 - PURCHASES @ COST-DIGITAL TEXT</v>
      </c>
      <c r="C45" s="11"/>
      <c r="D45" s="2">
        <v>-30949.360000000001</v>
      </c>
      <c r="E45" s="2"/>
      <c r="F45" s="19">
        <f t="shared" si="8"/>
        <v>-0.72534037799100703</v>
      </c>
      <c r="G45" s="2"/>
      <c r="H45" s="2">
        <v>51916.84</v>
      </c>
      <c r="I45" s="2"/>
      <c r="J45" s="19">
        <f t="shared" si="9"/>
        <v>0.89130575485161967</v>
      </c>
      <c r="K45" s="2"/>
      <c r="L45" s="2">
        <f t="shared" si="10"/>
        <v>-82866.2</v>
      </c>
      <c r="M45" s="2"/>
      <c r="N45" s="19">
        <f t="shared" si="11"/>
        <v>-1.5961333548035668</v>
      </c>
      <c r="O45" s="11"/>
      <c r="P45" s="2">
        <v>322779.02999999997</v>
      </c>
      <c r="Q45" s="2"/>
      <c r="R45" s="19">
        <f t="shared" si="12"/>
        <v>0.11276535222540737</v>
      </c>
      <c r="S45" s="2"/>
      <c r="T45" s="2">
        <v>291596.33</v>
      </c>
      <c r="U45" s="2"/>
      <c r="V45" s="19">
        <f t="shared" si="13"/>
        <v>8.615351419909624E-2</v>
      </c>
      <c r="W45" s="2"/>
      <c r="X45" s="2">
        <f t="shared" si="14"/>
        <v>31182.699999999953</v>
      </c>
      <c r="Y45" s="2"/>
      <c r="Z45" s="19">
        <f t="shared" si="15"/>
        <v>0.10693790281928429</v>
      </c>
    </row>
    <row r="46" spans="1:26" s="24" customFormat="1" hidden="1" outlineLevel="1" x14ac:dyDescent="0.25">
      <c r="A46" s="44"/>
      <c r="B46" s="11" t="str">
        <f>CONCATENATE("          ", "5011", " - ", "PURCHASES @ COST-NO VALUE TEXT")</f>
        <v xml:space="preserve">          5011 - PURCHASES @ COST-NO VALUE TEXT</v>
      </c>
      <c r="C46" s="11"/>
      <c r="D46" s="2">
        <v>90</v>
      </c>
      <c r="E46" s="2"/>
      <c r="F46" s="19">
        <f t="shared" si="8"/>
        <v>2.1092725025393297E-3</v>
      </c>
      <c r="G46" s="2"/>
      <c r="H46" s="2">
        <v>1692</v>
      </c>
      <c r="I46" s="2"/>
      <c r="J46" s="19">
        <f t="shared" si="9"/>
        <v>2.9048172754908438E-2</v>
      </c>
      <c r="K46" s="2"/>
      <c r="L46" s="2">
        <f t="shared" si="10"/>
        <v>-1602</v>
      </c>
      <c r="M46" s="2"/>
      <c r="N46" s="19">
        <f t="shared" si="11"/>
        <v>-0.94680851063829785</v>
      </c>
      <c r="O46" s="11"/>
      <c r="P46" s="2">
        <v>3675</v>
      </c>
      <c r="Q46" s="2"/>
      <c r="R46" s="19">
        <f t="shared" si="12"/>
        <v>1.283889692054568E-3</v>
      </c>
      <c r="S46" s="2"/>
      <c r="T46" s="2">
        <v>2775</v>
      </c>
      <c r="U46" s="2"/>
      <c r="V46" s="19">
        <f t="shared" si="13"/>
        <v>8.1988686861213949E-4</v>
      </c>
      <c r="W46" s="2"/>
      <c r="X46" s="2">
        <f t="shared" si="14"/>
        <v>900</v>
      </c>
      <c r="Y46" s="2"/>
      <c r="Z46" s="19">
        <f t="shared" si="15"/>
        <v>0.32432432432432434</v>
      </c>
    </row>
    <row r="47" spans="1:26" s="24" customFormat="1" hidden="1" outlineLevel="1" x14ac:dyDescent="0.25">
      <c r="A47" s="44"/>
      <c r="B47" s="11" t="str">
        <f>CONCATENATE("          ", "5013", " - ", "PURCHASES @ COST-TRADE BOOKS")</f>
        <v xml:space="preserve">          5013 - PURCHASES @ COST-TRADE BOOKS</v>
      </c>
      <c r="C47" s="11"/>
      <c r="D47" s="2">
        <v>212.56</v>
      </c>
      <c r="E47" s="2"/>
      <c r="F47" s="19">
        <f t="shared" si="8"/>
        <v>4.9816329237751108E-3</v>
      </c>
      <c r="G47" s="2"/>
      <c r="H47" s="2">
        <v>557.55999999999995</v>
      </c>
      <c r="I47" s="2"/>
      <c r="J47" s="19">
        <f t="shared" si="9"/>
        <v>9.5721626484791648E-3</v>
      </c>
      <c r="K47" s="2"/>
      <c r="L47" s="2">
        <f t="shared" si="10"/>
        <v>-344.99999999999994</v>
      </c>
      <c r="M47" s="2"/>
      <c r="N47" s="19">
        <f t="shared" si="11"/>
        <v>-0.6187674869072386</v>
      </c>
      <c r="O47" s="11"/>
      <c r="P47" s="2">
        <v>687.35</v>
      </c>
      <c r="Q47" s="2"/>
      <c r="R47" s="19">
        <f t="shared" si="12"/>
        <v>2.4013104213162104E-4</v>
      </c>
      <c r="S47" s="2"/>
      <c r="T47" s="2">
        <v>1136.94</v>
      </c>
      <c r="U47" s="2"/>
      <c r="V47" s="19">
        <f t="shared" si="13"/>
        <v>3.3591429780176066E-4</v>
      </c>
      <c r="W47" s="2"/>
      <c r="X47" s="2">
        <f t="shared" si="14"/>
        <v>-449.59000000000003</v>
      </c>
      <c r="Y47" s="2"/>
      <c r="Z47" s="19">
        <f t="shared" si="15"/>
        <v>-0.39543863352507608</v>
      </c>
    </row>
    <row r="48" spans="1:26" s="24" customFormat="1" hidden="1" outlineLevel="1" x14ac:dyDescent="0.25">
      <c r="A48" s="44"/>
      <c r="B48" s="11" t="str">
        <f>CONCATENATE("          ", "5014", " - ", "PURCHASES @ COST-REMAINDERS")</f>
        <v xml:space="preserve">          5014 - PURCHASES @ COST-REMAINDERS</v>
      </c>
      <c r="C48" s="11"/>
      <c r="D48" s="2">
        <v>37.54</v>
      </c>
      <c r="E48" s="2"/>
      <c r="F48" s="19">
        <f t="shared" si="8"/>
        <v>8.7980099717029374E-4</v>
      </c>
      <c r="G48" s="2"/>
      <c r="H48" s="2">
        <v>87.6</v>
      </c>
      <c r="I48" s="2"/>
      <c r="J48" s="19">
        <f t="shared" si="9"/>
        <v>1.5039124901477417E-3</v>
      </c>
      <c r="K48" s="2"/>
      <c r="L48" s="2">
        <f t="shared" si="10"/>
        <v>-50.059999999999995</v>
      </c>
      <c r="M48" s="2"/>
      <c r="N48" s="19">
        <f t="shared" si="11"/>
        <v>-0.57146118721461181</v>
      </c>
      <c r="O48" s="11"/>
      <c r="P48" s="2">
        <v>327.51</v>
      </c>
      <c r="Q48" s="2"/>
      <c r="R48" s="19">
        <f t="shared" si="12"/>
        <v>1.1441815320946709E-4</v>
      </c>
      <c r="S48" s="2"/>
      <c r="T48" s="2">
        <v>488.86</v>
      </c>
      <c r="U48" s="2"/>
      <c r="V48" s="19">
        <f t="shared" si="13"/>
        <v>1.4443599805035335E-4</v>
      </c>
      <c r="W48" s="2"/>
      <c r="X48" s="2">
        <f t="shared" si="14"/>
        <v>-161.35000000000002</v>
      </c>
      <c r="Y48" s="2"/>
      <c r="Z48" s="19">
        <f t="shared" si="15"/>
        <v>-0.33005359407601365</v>
      </c>
    </row>
    <row r="49" spans="1:26" s="24" customFormat="1" hidden="1" outlineLevel="1" x14ac:dyDescent="0.25">
      <c r="A49" s="44"/>
      <c r="B49" s="11" t="str">
        <f>CONCATENATE("          ", "5018", " - ", "PURCHASES @ COST-STUDY GUIDES")</f>
        <v xml:space="preserve">          5018 - PURCHASES @ COST-STUDY GUIDES</v>
      </c>
      <c r="C49" s="11"/>
      <c r="D49" s="2">
        <v>298.16000000000003</v>
      </c>
      <c r="E49" s="2"/>
      <c r="F49" s="19">
        <f t="shared" si="8"/>
        <v>6.9877854373014067E-3</v>
      </c>
      <c r="G49" s="2"/>
      <c r="H49" s="2">
        <v>-0.12</v>
      </c>
      <c r="I49" s="2"/>
      <c r="J49" s="19">
        <f t="shared" si="9"/>
        <v>-2.0601540960927968E-6</v>
      </c>
      <c r="K49" s="2"/>
      <c r="L49" s="2">
        <f t="shared" si="10"/>
        <v>298.28000000000003</v>
      </c>
      <c r="M49" s="2"/>
      <c r="N49" s="19">
        <f t="shared" si="11"/>
        <v>-2485.666666666667</v>
      </c>
      <c r="O49" s="11"/>
      <c r="P49" s="2">
        <v>802.09</v>
      </c>
      <c r="Q49" s="2"/>
      <c r="R49" s="19">
        <f t="shared" si="12"/>
        <v>2.8021634914287034E-4</v>
      </c>
      <c r="S49" s="2"/>
      <c r="T49" s="2">
        <v>1034.55</v>
      </c>
      <c r="U49" s="2"/>
      <c r="V49" s="19">
        <f t="shared" si="13"/>
        <v>3.0566268826042842E-4</v>
      </c>
      <c r="W49" s="2"/>
      <c r="X49" s="2">
        <f t="shared" si="14"/>
        <v>-232.45999999999992</v>
      </c>
      <c r="Y49" s="2"/>
      <c r="Z49" s="19">
        <f t="shared" si="15"/>
        <v>-0.22469672804601029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191884</v>
      </c>
      <c r="E50" s="2"/>
      <c r="F50" s="19">
        <f t="shared" si="8"/>
        <v>4.4970627208584082</v>
      </c>
      <c r="G50" s="2"/>
      <c r="H50" s="2">
        <v>270805</v>
      </c>
      <c r="I50" s="2"/>
      <c r="J50" s="19">
        <f t="shared" si="9"/>
        <v>4.6491669166034155</v>
      </c>
      <c r="K50" s="2"/>
      <c r="L50" s="2">
        <f t="shared" si="10"/>
        <v>-78921</v>
      </c>
      <c r="M50" s="2"/>
      <c r="N50" s="19">
        <f t="shared" si="11"/>
        <v>-0.29143110356160334</v>
      </c>
      <c r="O50" s="11"/>
      <c r="P50" s="2">
        <v>-1811575</v>
      </c>
      <c r="Q50" s="2"/>
      <c r="R50" s="19">
        <f t="shared" si="12"/>
        <v>-0.63288774663503511</v>
      </c>
      <c r="S50" s="2"/>
      <c r="T50" s="2">
        <v>-1585172</v>
      </c>
      <c r="U50" s="2"/>
      <c r="V50" s="19">
        <f t="shared" si="13"/>
        <v>-0.4683465611861774</v>
      </c>
      <c r="W50" s="2"/>
      <c r="X50" s="2">
        <f t="shared" si="14"/>
        <v>-226403</v>
      </c>
      <c r="Y50" s="2"/>
      <c r="Z50" s="19">
        <f t="shared" si="15"/>
        <v>0.14282551041779692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24503</v>
      </c>
      <c r="E51" s="2"/>
      <c r="F51" s="19">
        <f t="shared" si="8"/>
        <v>0.57426115699690217</v>
      </c>
      <c r="G51" s="2"/>
      <c r="H51" s="2">
        <v>32374</v>
      </c>
      <c r="I51" s="2"/>
      <c r="J51" s="19">
        <f t="shared" si="9"/>
        <v>0.55579523922423513</v>
      </c>
      <c r="K51" s="2"/>
      <c r="L51" s="2">
        <f t="shared" si="10"/>
        <v>-7871</v>
      </c>
      <c r="M51" s="2"/>
      <c r="N51" s="19">
        <f t="shared" si="11"/>
        <v>-0.24312720084018039</v>
      </c>
      <c r="O51" s="11"/>
      <c r="P51" s="2">
        <v>1418386</v>
      </c>
      <c r="Q51" s="2"/>
      <c r="R51" s="19">
        <f t="shared" si="12"/>
        <v>0.49552412646381233</v>
      </c>
      <c r="S51" s="2"/>
      <c r="T51" s="2">
        <v>1690344</v>
      </c>
      <c r="U51" s="2"/>
      <c r="V51" s="19">
        <f t="shared" si="13"/>
        <v>0.4994201257792138</v>
      </c>
      <c r="W51" s="2"/>
      <c r="X51" s="2">
        <f t="shared" si="14"/>
        <v>-271958</v>
      </c>
      <c r="Y51" s="2"/>
      <c r="Z51" s="19">
        <f t="shared" si="15"/>
        <v>-0.16088914445816946</v>
      </c>
    </row>
    <row r="52" spans="1:26" s="24" customFormat="1" hidden="1" outlineLevel="1" x14ac:dyDescent="0.25">
      <c r="A52" s="44"/>
      <c r="B52" s="11" t="str">
        <f>CONCATENATE("          ", "5500", " - ", "FREIGHT-IN")</f>
        <v xml:space="preserve">          5500 - FREIGHT-IN</v>
      </c>
      <c r="C52" s="11"/>
      <c r="D52" s="2"/>
      <c r="E52" s="2"/>
      <c r="F52" s="19">
        <f t="shared" si="8"/>
        <v>0</v>
      </c>
      <c r="G52" s="2"/>
      <c r="H52" s="2">
        <v>-317.36</v>
      </c>
      <c r="I52" s="2"/>
      <c r="J52" s="19">
        <f t="shared" si="9"/>
        <v>-5.4484208661334174E-3</v>
      </c>
      <c r="K52" s="2"/>
      <c r="L52" s="2">
        <f t="shared" si="10"/>
        <v>317.36</v>
      </c>
      <c r="M52" s="2"/>
      <c r="N52" s="19">
        <f t="shared" si="11"/>
        <v>-1</v>
      </c>
      <c r="O52" s="11"/>
      <c r="P52" s="2"/>
      <c r="Q52" s="2"/>
      <c r="R52" s="19">
        <f t="shared" si="12"/>
        <v>0</v>
      </c>
      <c r="S52" s="2"/>
      <c r="T52" s="2">
        <v>0</v>
      </c>
      <c r="U52" s="2"/>
      <c r="V52" s="19">
        <f t="shared" si="13"/>
        <v>0</v>
      </c>
      <c r="W52" s="2"/>
      <c r="X52" s="2">
        <f t="shared" si="14"/>
        <v>0</v>
      </c>
      <c r="Y52" s="2"/>
      <c r="Z52" s="19">
        <f t="shared" si="15"/>
        <v>0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7434.02</v>
      </c>
      <c r="E53" s="2"/>
      <c r="F53" s="19">
        <f t="shared" si="8"/>
        <v>0.17422637743697145</v>
      </c>
      <c r="G53" s="2"/>
      <c r="H53" s="2">
        <v>9955.06</v>
      </c>
      <c r="I53" s="2"/>
      <c r="J53" s="19">
        <f t="shared" si="9"/>
        <v>0.17090798029874632</v>
      </c>
      <c r="K53" s="2"/>
      <c r="L53" s="2">
        <f t="shared" si="10"/>
        <v>-2521.0399999999991</v>
      </c>
      <c r="M53" s="2"/>
      <c r="N53" s="19">
        <f t="shared" si="11"/>
        <v>-0.25324206986195957</v>
      </c>
      <c r="O53" s="11"/>
      <c r="P53" s="2">
        <v>34017.480000000003</v>
      </c>
      <c r="Q53" s="2"/>
      <c r="R53" s="19">
        <f t="shared" si="12"/>
        <v>1.1884269910659164E-2</v>
      </c>
      <c r="S53" s="2"/>
      <c r="T53" s="2">
        <v>36210.86</v>
      </c>
      <c r="U53" s="2"/>
      <c r="V53" s="19">
        <f t="shared" si="13"/>
        <v>1.0698669771226153E-2</v>
      </c>
      <c r="W53" s="2"/>
      <c r="X53" s="2">
        <f t="shared" si="14"/>
        <v>-2193.3799999999974</v>
      </c>
      <c r="Y53" s="2"/>
      <c r="Z53" s="19">
        <f t="shared" si="15"/>
        <v>-6.0572436004005352E-2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591.29999999999995</v>
      </c>
      <c r="E54" s="2"/>
      <c r="F54" s="19">
        <f t="shared" si="8"/>
        <v>1.3857920341683396E-2</v>
      </c>
      <c r="G54" s="2"/>
      <c r="H54" s="2">
        <v>1475.4</v>
      </c>
      <c r="I54" s="2"/>
      <c r="J54" s="19">
        <f t="shared" si="9"/>
        <v>2.5329594611460941E-2</v>
      </c>
      <c r="K54" s="2"/>
      <c r="L54" s="2">
        <f t="shared" si="10"/>
        <v>-884.10000000000014</v>
      </c>
      <c r="M54" s="2"/>
      <c r="N54" s="19">
        <f t="shared" si="11"/>
        <v>-0.59922732818218793</v>
      </c>
      <c r="O54" s="11"/>
      <c r="P54" s="2">
        <v>6852.47</v>
      </c>
      <c r="Q54" s="2"/>
      <c r="R54" s="19">
        <f t="shared" si="12"/>
        <v>2.3939634280580042E-3</v>
      </c>
      <c r="S54" s="2"/>
      <c r="T54" s="2">
        <v>7732.55</v>
      </c>
      <c r="U54" s="2"/>
      <c r="V54" s="19">
        <f t="shared" si="13"/>
        <v>2.2846184525718194E-3</v>
      </c>
      <c r="W54" s="2"/>
      <c r="X54" s="2">
        <f t="shared" si="14"/>
        <v>-880.07999999999993</v>
      </c>
      <c r="Y54" s="2"/>
      <c r="Z54" s="19">
        <f t="shared" si="15"/>
        <v>-0.11381497694809602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>
        <v>93.94</v>
      </c>
      <c r="E55" s="2"/>
      <c r="F55" s="19">
        <f t="shared" si="8"/>
        <v>2.2016117654282737E-3</v>
      </c>
      <c r="G55" s="2"/>
      <c r="H55" s="2"/>
      <c r="I55" s="2"/>
      <c r="J55" s="19">
        <f t="shared" si="9"/>
        <v>0</v>
      </c>
      <c r="K55" s="2"/>
      <c r="L55" s="2">
        <f t="shared" si="10"/>
        <v>93.94</v>
      </c>
      <c r="M55" s="2"/>
      <c r="N55" s="19">
        <f t="shared" si="11"/>
        <v>0</v>
      </c>
      <c r="O55" s="11"/>
      <c r="P55" s="2">
        <v>100.97</v>
      </c>
      <c r="Q55" s="2"/>
      <c r="R55" s="19">
        <f t="shared" si="12"/>
        <v>3.5274650940612171E-5</v>
      </c>
      <c r="S55" s="2"/>
      <c r="T55" s="2">
        <v>166.22</v>
      </c>
      <c r="U55" s="2"/>
      <c r="V55" s="19">
        <f t="shared" si="13"/>
        <v>4.9110484793048583E-5</v>
      </c>
      <c r="W55" s="2"/>
      <c r="X55" s="2">
        <f t="shared" si="14"/>
        <v>-65.25</v>
      </c>
      <c r="Y55" s="2"/>
      <c r="Z55" s="19">
        <f t="shared" si="15"/>
        <v>-0.39255203946576828</v>
      </c>
    </row>
    <row r="56" spans="1:26" s="24" customFormat="1" hidden="1" outlineLevel="1" x14ac:dyDescent="0.25">
      <c r="A56" s="44"/>
      <c r="B56" s="11" t="str">
        <f>CONCATENATE("          ", "5513", " - ", "FREIGHT-IN-TRADE BOOKS")</f>
        <v xml:space="preserve">          5513 - FREIGHT-IN-TRADE BOOKS</v>
      </c>
      <c r="C56" s="11"/>
      <c r="D56" s="2"/>
      <c r="E56" s="2"/>
      <c r="F56" s="19">
        <f t="shared" si="8"/>
        <v>0</v>
      </c>
      <c r="G56" s="2"/>
      <c r="H56" s="2"/>
      <c r="I56" s="2"/>
      <c r="J56" s="19">
        <f t="shared" si="9"/>
        <v>0</v>
      </c>
      <c r="K56" s="2"/>
      <c r="L56" s="2">
        <f t="shared" si="10"/>
        <v>0</v>
      </c>
      <c r="M56" s="2"/>
      <c r="N56" s="19">
        <f t="shared" si="11"/>
        <v>0</v>
      </c>
      <c r="O56" s="11"/>
      <c r="P56" s="2"/>
      <c r="Q56" s="2"/>
      <c r="R56" s="19">
        <f t="shared" si="12"/>
        <v>0</v>
      </c>
      <c r="S56" s="2"/>
      <c r="T56" s="2">
        <v>12.22</v>
      </c>
      <c r="U56" s="2"/>
      <c r="V56" s="19">
        <f t="shared" si="13"/>
        <v>3.610456769167692E-6</v>
      </c>
      <c r="W56" s="2"/>
      <c r="X56" s="2">
        <f t="shared" si="14"/>
        <v>-12.22</v>
      </c>
      <c r="Y56" s="2"/>
      <c r="Z56" s="19">
        <f t="shared" si="15"/>
        <v>-1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6</v>
      </c>
      <c r="C58" s="28"/>
      <c r="D58" s="21">
        <f>D12-D41</f>
        <v>9754.1800000000076</v>
      </c>
      <c r="E58" s="14"/>
      <c r="F58" s="22">
        <f>IF(D$12=0,0,D58/D$12)</f>
        <v>0.22860248509798997</v>
      </c>
      <c r="G58" s="14"/>
      <c r="H58" s="21">
        <f>H12-H41</f>
        <v>15005.270000000004</v>
      </c>
      <c r="I58" s="14"/>
      <c r="J58" s="22">
        <f>IF(H$12=0,0,H58/H$12)</f>
        <v>0.25760973711231977</v>
      </c>
      <c r="K58" s="16"/>
      <c r="L58" s="21">
        <f>+D58-H58</f>
        <v>-5251.0899999999965</v>
      </c>
      <c r="M58" s="16"/>
      <c r="N58" s="22">
        <f>IF(H58=0,0,L58/H58)</f>
        <v>-0.34994971766585975</v>
      </c>
      <c r="O58" s="29"/>
      <c r="P58" s="21">
        <f>P12-P41</f>
        <v>761239.35000000056</v>
      </c>
      <c r="Q58" s="14"/>
      <c r="R58" s="22">
        <f>IF(P$12=0,0,P58/P$12)</f>
        <v>0.2659448584085225</v>
      </c>
      <c r="S58" s="14"/>
      <c r="T58" s="21">
        <f>T12-T41</f>
        <v>896585.23000000045</v>
      </c>
      <c r="U58" s="14"/>
      <c r="V58" s="22">
        <f>IF(T$12=0,0,T58/T$12)</f>
        <v>0.26490034474543972</v>
      </c>
      <c r="W58" s="16"/>
      <c r="X58" s="21">
        <f>+P58-T58</f>
        <v>-135345.87999999989</v>
      </c>
      <c r="Y58" s="16"/>
      <c r="Z58" s="22">
        <f>IF(T58=0,0,X58/T58)</f>
        <v>-0.15095707075165607</v>
      </c>
    </row>
    <row r="59" spans="1:26" x14ac:dyDescent="0.25">
      <c r="A59" s="9"/>
      <c r="B59" s="10"/>
      <c r="C59" s="9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9" t="s">
        <v>9</v>
      </c>
      <c r="C60" s="10"/>
      <c r="D60" s="20">
        <f>SUM(OSRRefD22x_0)</f>
        <v>43533.96</v>
      </c>
      <c r="E60" s="20"/>
      <c r="F60" s="35">
        <f t="shared" ref="F60:F70" si="16">IF(D$12=0,0,D60/D$12)</f>
        <v>1.0202776083849676</v>
      </c>
      <c r="G60" s="20"/>
      <c r="H60" s="20">
        <f>SUM(OSRRefH22x_0)</f>
        <v>59041.80000000001</v>
      </c>
      <c r="I60" s="20"/>
      <c r="J60" s="35">
        <f t="shared" ref="J60:J70" si="17">IF(H$12=0,0,H60/H$12)</f>
        <v>1.0136267175890978</v>
      </c>
      <c r="K60" s="4"/>
      <c r="L60" s="20">
        <f t="shared" ref="L60:L70" si="18">+D60-H60</f>
        <v>-15507.840000000011</v>
      </c>
      <c r="M60" s="4"/>
      <c r="N60" s="35">
        <f t="shared" ref="N60:N70" si="19">IF(H60=0,0,L60/H60)</f>
        <v>-0.26265865878072836</v>
      </c>
      <c r="O60" s="10"/>
      <c r="P60" s="20">
        <f>SUM(OSRRefP22x_0)</f>
        <v>160525.72999999995</v>
      </c>
      <c r="Q60" s="20"/>
      <c r="R60" s="35">
        <f t="shared" ref="R60:R70" si="20">IF(P$12=0,0,P60/P$12)</f>
        <v>5.6080906137832558E-2</v>
      </c>
      <c r="S60" s="20"/>
      <c r="T60" s="20">
        <f>SUM(OSRRefT22x_0)</f>
        <v>235306.21999999994</v>
      </c>
      <c r="U60" s="20"/>
      <c r="V60" s="35">
        <f t="shared" ref="V60:V70" si="21">IF(T$12=0,0,T60/T$12)</f>
        <v>6.952233509216546E-2</v>
      </c>
      <c r="W60" s="4"/>
      <c r="X60" s="20">
        <f t="shared" ref="X60:X70" si="22">+P60-T60</f>
        <v>-74780.489999999991</v>
      </c>
      <c r="Y60" s="4"/>
      <c r="Z60" s="35">
        <f t="shared" ref="Z60:Z70" si="23">IF(T60=0,0,X60/T60)</f>
        <v>-0.31780073641912232</v>
      </c>
    </row>
    <row r="61" spans="1:26" s="27" customFormat="1" outlineLevel="1" collapsed="1" x14ac:dyDescent="0.25">
      <c r="A61" s="25"/>
      <c r="B61" s="13" t="str">
        <f>CONCATENATE("     ","*Benefits                                         ")</f>
        <v xml:space="preserve">     *Benefits                                         </v>
      </c>
      <c r="C61" s="13"/>
      <c r="D61" s="1">
        <f>SUM(OSRRefD22_0x_0)</f>
        <v>12250.08</v>
      </c>
      <c r="E61" s="1"/>
      <c r="F61" s="5">
        <f t="shared" si="16"/>
        <v>0.28709729886563323</v>
      </c>
      <c r="G61" s="1"/>
      <c r="H61" s="1">
        <f>SUM(OSRRefH22_0x_0)</f>
        <v>17577.34</v>
      </c>
      <c r="I61" s="1"/>
      <c r="J61" s="5">
        <f t="shared" si="17"/>
        <v>0.3017669083284647</v>
      </c>
      <c r="K61" s="1"/>
      <c r="L61" s="1">
        <f t="shared" si="18"/>
        <v>-5327.26</v>
      </c>
      <c r="M61" s="1"/>
      <c r="N61" s="5">
        <f t="shared" si="19"/>
        <v>-0.30307543689773314</v>
      </c>
      <c r="O61" s="13"/>
      <c r="P61" s="1">
        <f>SUM(OSRRefP22_0x_0)</f>
        <v>42583.29</v>
      </c>
      <c r="Q61" s="1"/>
      <c r="R61" s="5">
        <f t="shared" si="20"/>
        <v>1.487680192782867E-2</v>
      </c>
      <c r="S61" s="1"/>
      <c r="T61" s="1">
        <f>SUM(OSRRefT22_0x_0)</f>
        <v>52643.08</v>
      </c>
      <c r="U61" s="1"/>
      <c r="V61" s="5">
        <f t="shared" si="21"/>
        <v>1.5553646852359765E-2</v>
      </c>
      <c r="W61" s="1"/>
      <c r="X61" s="1">
        <f t="shared" si="22"/>
        <v>-10059.790000000001</v>
      </c>
      <c r="Y61" s="1"/>
      <c r="Z61" s="5">
        <f t="shared" si="23"/>
        <v>-0.1910942520840346</v>
      </c>
    </row>
    <row r="62" spans="1:26" s="24" customFormat="1" hidden="1" outlineLevel="2" x14ac:dyDescent="0.25">
      <c r="A62" s="26"/>
      <c r="B62" s="11" t="str">
        <f>CONCATENATE("          ", "6111", " - ", "F.I.C.A.")</f>
        <v xml:space="preserve">          6111 - F.I.C.A.</v>
      </c>
      <c r="C62" s="11"/>
      <c r="D62" s="6">
        <v>2806.9</v>
      </c>
      <c r="E62" s="2"/>
      <c r="F62" s="7">
        <f t="shared" si="16"/>
        <v>6.5783522081973828E-2</v>
      </c>
      <c r="G62" s="2"/>
      <c r="H62" s="6">
        <v>3358.04</v>
      </c>
      <c r="I62" s="2"/>
      <c r="J62" s="7">
        <f t="shared" si="17"/>
        <v>5.7650665507028805E-2</v>
      </c>
      <c r="K62" s="2"/>
      <c r="L62" s="6">
        <f t="shared" si="18"/>
        <v>-551.13999999999987</v>
      </c>
      <c r="M62" s="2"/>
      <c r="N62" s="7">
        <f t="shared" si="19"/>
        <v>-0.16412550178080068</v>
      </c>
      <c r="O62" s="11"/>
      <c r="P62" s="6">
        <v>7603.05</v>
      </c>
      <c r="Q62" s="2"/>
      <c r="R62" s="7">
        <f t="shared" si="20"/>
        <v>2.6561843600477505E-3</v>
      </c>
      <c r="S62" s="2"/>
      <c r="T62" s="6">
        <v>8994.3700000000008</v>
      </c>
      <c r="U62" s="2"/>
      <c r="V62" s="7">
        <f t="shared" si="21"/>
        <v>2.6574291367347639E-3</v>
      </c>
      <c r="W62" s="2"/>
      <c r="X62" s="6">
        <f t="shared" si="22"/>
        <v>-1391.3200000000006</v>
      </c>
      <c r="Y62" s="2"/>
      <c r="Z62" s="7">
        <f t="shared" si="23"/>
        <v>-0.15468787697192804</v>
      </c>
    </row>
    <row r="63" spans="1:26" s="24" customFormat="1" hidden="1" outlineLevel="2" x14ac:dyDescent="0.25">
      <c r="A63" s="26"/>
      <c r="B63" s="11" t="str">
        <f>CONCATENATE("          ", "6112", " - ", "COMPENSATION INSURANCE")</f>
        <v xml:space="preserve">          6112 - COMPENSATION INSURANCE</v>
      </c>
      <c r="C63" s="11"/>
      <c r="D63" s="6">
        <v>-62.53</v>
      </c>
      <c r="E63" s="2"/>
      <c r="F63" s="7">
        <f t="shared" si="16"/>
        <v>-1.4654756620420476E-3</v>
      </c>
      <c r="G63" s="2"/>
      <c r="H63" s="6">
        <v>249.43</v>
      </c>
      <c r="I63" s="2"/>
      <c r="J63" s="7">
        <f t="shared" si="17"/>
        <v>4.2822019682368867E-3</v>
      </c>
      <c r="K63" s="2"/>
      <c r="L63" s="6">
        <f t="shared" si="18"/>
        <v>-311.96000000000004</v>
      </c>
      <c r="M63" s="2"/>
      <c r="N63" s="7">
        <f t="shared" si="19"/>
        <v>-1.250691576795093</v>
      </c>
      <c r="O63" s="11"/>
      <c r="P63" s="6">
        <v>193.58</v>
      </c>
      <c r="Q63" s="2"/>
      <c r="R63" s="7">
        <f t="shared" si="20"/>
        <v>6.762867118038728E-5</v>
      </c>
      <c r="S63" s="2"/>
      <c r="T63" s="6">
        <v>459.18</v>
      </c>
      <c r="U63" s="2"/>
      <c r="V63" s="7">
        <f t="shared" si="21"/>
        <v>1.3566690174029628E-4</v>
      </c>
      <c r="W63" s="2"/>
      <c r="X63" s="6">
        <f t="shared" si="22"/>
        <v>-265.60000000000002</v>
      </c>
      <c r="Y63" s="2"/>
      <c r="Z63" s="7">
        <f t="shared" si="23"/>
        <v>-0.57842240515701904</v>
      </c>
    </row>
    <row r="64" spans="1:26" s="24" customFormat="1" hidden="1" outlineLevel="2" x14ac:dyDescent="0.25">
      <c r="A64" s="26"/>
      <c r="B64" s="11" t="str">
        <f>CONCATENATE("          ", "6113", " - ", "GROUP INSURANCE")</f>
        <v xml:space="preserve">          6113 - GROUP INSURANCE</v>
      </c>
      <c r="C64" s="11"/>
      <c r="D64" s="6">
        <v>4168.57</v>
      </c>
      <c r="E64" s="2"/>
      <c r="F64" s="7">
        <f t="shared" si="16"/>
        <v>9.7696111954559711E-2</v>
      </c>
      <c r="G64" s="2"/>
      <c r="H64" s="6">
        <v>5625.32</v>
      </c>
      <c r="I64" s="2"/>
      <c r="J64" s="7">
        <f t="shared" si="17"/>
        <v>9.6575216998606106E-2</v>
      </c>
      <c r="K64" s="2"/>
      <c r="L64" s="6">
        <f t="shared" si="18"/>
        <v>-1456.75</v>
      </c>
      <c r="M64" s="2"/>
      <c r="N64" s="7">
        <f t="shared" si="19"/>
        <v>-0.25896304565784706</v>
      </c>
      <c r="O64" s="11"/>
      <c r="P64" s="6">
        <v>16674.28</v>
      </c>
      <c r="Q64" s="2"/>
      <c r="R64" s="7">
        <f t="shared" si="20"/>
        <v>5.8252887658317388E-3</v>
      </c>
      <c r="S64" s="2"/>
      <c r="T64" s="6">
        <v>18984.969999999998</v>
      </c>
      <c r="U64" s="2"/>
      <c r="V64" s="7">
        <f t="shared" si="21"/>
        <v>5.609199136574922E-3</v>
      </c>
      <c r="W64" s="2"/>
      <c r="X64" s="6">
        <f t="shared" si="22"/>
        <v>-2310.6899999999987</v>
      </c>
      <c r="Y64" s="2"/>
      <c r="Z64" s="7">
        <f t="shared" si="23"/>
        <v>-0.1217115433945905</v>
      </c>
    </row>
    <row r="65" spans="1:26" s="24" customFormat="1" hidden="1" outlineLevel="2" x14ac:dyDescent="0.25">
      <c r="A65" s="26"/>
      <c r="B65" s="11" t="str">
        <f>CONCATENATE("          ", "6114", " - ", "STATE UNEMPLOYMENT INSURANCE")</f>
        <v xml:space="preserve">          6114 - STATE UNEMPLOYMENT INSURANCE</v>
      </c>
      <c r="C65" s="11"/>
      <c r="D65" s="6">
        <v>75.959999999999994</v>
      </c>
      <c r="E65" s="2"/>
      <c r="F65" s="7">
        <f t="shared" si="16"/>
        <v>1.7802259921431943E-3</v>
      </c>
      <c r="G65" s="2"/>
      <c r="H65" s="6">
        <v>92.08</v>
      </c>
      <c r="I65" s="2"/>
      <c r="J65" s="7">
        <f t="shared" si="17"/>
        <v>1.5808249097352062E-3</v>
      </c>
      <c r="K65" s="2"/>
      <c r="L65" s="6">
        <f t="shared" si="18"/>
        <v>-16.120000000000005</v>
      </c>
      <c r="M65" s="2"/>
      <c r="N65" s="7">
        <f t="shared" si="19"/>
        <v>-0.17506516072980022</v>
      </c>
      <c r="O65" s="11"/>
      <c r="P65" s="6">
        <v>246.49</v>
      </c>
      <c r="Q65" s="2"/>
      <c r="R65" s="7">
        <f t="shared" si="20"/>
        <v>8.611318916857972E-5</v>
      </c>
      <c r="S65" s="2"/>
      <c r="T65" s="6">
        <v>379.54</v>
      </c>
      <c r="U65" s="2"/>
      <c r="V65" s="7">
        <f t="shared" si="21"/>
        <v>1.1213688724794646E-4</v>
      </c>
      <c r="W65" s="2"/>
      <c r="X65" s="6">
        <f t="shared" si="22"/>
        <v>-133.05000000000001</v>
      </c>
      <c r="Y65" s="2"/>
      <c r="Z65" s="7">
        <f t="shared" si="23"/>
        <v>-0.3505559361332139</v>
      </c>
    </row>
    <row r="66" spans="1:26" s="24" customFormat="1" hidden="1" outlineLevel="2" x14ac:dyDescent="0.25">
      <c r="A66" s="26"/>
      <c r="B66" s="11" t="str">
        <f>CONCATENATE("          ", "6115", " - ", "P.E.R.S.")</f>
        <v xml:space="preserve">          6115 - P.E.R.S.</v>
      </c>
      <c r="C66" s="11"/>
      <c r="D66" s="6">
        <v>1803.1</v>
      </c>
      <c r="E66" s="2"/>
      <c r="F66" s="7">
        <f t="shared" si="16"/>
        <v>4.2258102770318502E-2</v>
      </c>
      <c r="G66" s="2"/>
      <c r="H66" s="6">
        <v>1850.63</v>
      </c>
      <c r="I66" s="2"/>
      <c r="J66" s="7">
        <f t="shared" si="17"/>
        <v>3.1771524790435109E-2</v>
      </c>
      <c r="K66" s="2"/>
      <c r="L66" s="6">
        <f t="shared" si="18"/>
        <v>-47.5300000000002</v>
      </c>
      <c r="M66" s="2"/>
      <c r="N66" s="7">
        <f t="shared" si="19"/>
        <v>-2.5683145739559068E-2</v>
      </c>
      <c r="O66" s="11"/>
      <c r="P66" s="6">
        <v>5780.68</v>
      </c>
      <c r="Q66" s="2"/>
      <c r="R66" s="7">
        <f t="shared" si="20"/>
        <v>2.0195252966165988E-3</v>
      </c>
      <c r="S66" s="2"/>
      <c r="T66" s="6">
        <v>5975.48</v>
      </c>
      <c r="U66" s="2"/>
      <c r="V66" s="7">
        <f t="shared" si="21"/>
        <v>1.7654838146502583E-3</v>
      </c>
      <c r="W66" s="2"/>
      <c r="X66" s="6">
        <f t="shared" si="22"/>
        <v>-194.79999999999927</v>
      </c>
      <c r="Y66" s="2"/>
      <c r="Z66" s="7">
        <f t="shared" si="23"/>
        <v>-3.259989155682879E-2</v>
      </c>
    </row>
    <row r="67" spans="1:26" s="24" customFormat="1" hidden="1" outlineLevel="2" x14ac:dyDescent="0.25">
      <c r="A67" s="26"/>
      <c r="B67" s="11" t="str">
        <f>CONCATENATE("          ", "6117", " - ", "RETIREMENT STAFF HOURLY")</f>
        <v xml:space="preserve">          6117 - RETIREMENT STAFF HOURLY</v>
      </c>
      <c r="C67" s="11"/>
      <c r="D67" s="6">
        <v>91.29</v>
      </c>
      <c r="E67" s="2"/>
      <c r="F67" s="7">
        <f t="shared" si="16"/>
        <v>2.1395054084090604E-3</v>
      </c>
      <c r="G67" s="2"/>
      <c r="H67" s="6">
        <v>246.12</v>
      </c>
      <c r="I67" s="2"/>
      <c r="J67" s="7">
        <f t="shared" si="17"/>
        <v>4.2253760510863273E-3</v>
      </c>
      <c r="K67" s="2"/>
      <c r="L67" s="6">
        <f t="shared" si="18"/>
        <v>-154.82999999999998</v>
      </c>
      <c r="M67" s="2"/>
      <c r="N67" s="7">
        <f t="shared" si="19"/>
        <v>-0.62908337396392</v>
      </c>
      <c r="O67" s="11"/>
      <c r="P67" s="6">
        <v>552.63</v>
      </c>
      <c r="Q67" s="2"/>
      <c r="R67" s="7">
        <f t="shared" si="20"/>
        <v>1.9306556748846691E-4</v>
      </c>
      <c r="S67" s="2"/>
      <c r="T67" s="6">
        <v>1098.71</v>
      </c>
      <c r="U67" s="2"/>
      <c r="V67" s="7">
        <f t="shared" si="21"/>
        <v>3.2461906357219596E-4</v>
      </c>
      <c r="W67" s="2"/>
      <c r="X67" s="6">
        <f t="shared" si="22"/>
        <v>-546.08000000000004</v>
      </c>
      <c r="Y67" s="2"/>
      <c r="Z67" s="7">
        <f t="shared" si="23"/>
        <v>-0.497019231644383</v>
      </c>
    </row>
    <row r="68" spans="1:26" s="24" customFormat="1" hidden="1" outlineLevel="2" x14ac:dyDescent="0.25">
      <c r="A68" s="26"/>
      <c r="B68" s="11" t="str">
        <f>CONCATENATE("          ", "6118", " - ", "VACATION")</f>
        <v xml:space="preserve">          6118 - VACATION</v>
      </c>
      <c r="C68" s="11"/>
      <c r="D68" s="6">
        <v>1542.87</v>
      </c>
      <c r="E68" s="2"/>
      <c r="F68" s="7">
        <f t="shared" si="16"/>
        <v>3.615925851103173E-2</v>
      </c>
      <c r="G68" s="2"/>
      <c r="H68" s="6">
        <v>2764.64</v>
      </c>
      <c r="I68" s="2"/>
      <c r="J68" s="7">
        <f t="shared" si="17"/>
        <v>4.7463203501849918E-2</v>
      </c>
      <c r="K68" s="2"/>
      <c r="L68" s="6">
        <f t="shared" si="18"/>
        <v>-1221.77</v>
      </c>
      <c r="M68" s="2"/>
      <c r="N68" s="7">
        <f t="shared" si="19"/>
        <v>-0.4419273395451126</v>
      </c>
      <c r="O68" s="11"/>
      <c r="P68" s="6">
        <v>4637.22</v>
      </c>
      <c r="Q68" s="2"/>
      <c r="R68" s="7">
        <f t="shared" si="20"/>
        <v>1.620048695997084E-3</v>
      </c>
      <c r="S68" s="2"/>
      <c r="T68" s="6">
        <v>7331.51</v>
      </c>
      <c r="U68" s="2"/>
      <c r="V68" s="7">
        <f t="shared" si="21"/>
        <v>2.1661292886841752E-3</v>
      </c>
      <c r="W68" s="2"/>
      <c r="X68" s="6">
        <f t="shared" si="22"/>
        <v>-2694.29</v>
      </c>
      <c r="Y68" s="2"/>
      <c r="Z68" s="7">
        <f t="shared" si="23"/>
        <v>-0.36749455432782602</v>
      </c>
    </row>
    <row r="69" spans="1:26" s="24" customFormat="1" hidden="1" outlineLevel="2" x14ac:dyDescent="0.25">
      <c r="A69" s="26"/>
      <c r="B69" s="11" t="str">
        <f>CONCATENATE("          ", "6119", " - ", "SICK LEAVE")</f>
        <v xml:space="preserve">          6119 - SICK LEAVE</v>
      </c>
      <c r="C69" s="11"/>
      <c r="D69" s="6">
        <v>1202.6099999999999</v>
      </c>
      <c r="E69" s="2"/>
      <c r="F69" s="7">
        <f t="shared" si="16"/>
        <v>2.8184802269764702E-2</v>
      </c>
      <c r="G69" s="2"/>
      <c r="H69" s="6">
        <v>2677.6</v>
      </c>
      <c r="I69" s="2"/>
      <c r="J69" s="7">
        <f t="shared" si="17"/>
        <v>4.5968905064150613E-2</v>
      </c>
      <c r="K69" s="2"/>
      <c r="L69" s="6">
        <f t="shared" si="18"/>
        <v>-1474.99</v>
      </c>
      <c r="M69" s="2"/>
      <c r="N69" s="7">
        <f t="shared" si="19"/>
        <v>-0.55086271287720345</v>
      </c>
      <c r="O69" s="11"/>
      <c r="P69" s="6">
        <v>4516.63</v>
      </c>
      <c r="Q69" s="2"/>
      <c r="R69" s="7">
        <f t="shared" si="20"/>
        <v>1.5779196462107274E-3</v>
      </c>
      <c r="S69" s="2"/>
      <c r="T69" s="6">
        <v>6598.02</v>
      </c>
      <c r="U69" s="2"/>
      <c r="V69" s="7">
        <f t="shared" si="21"/>
        <v>1.94941620066316E-3</v>
      </c>
      <c r="W69" s="2"/>
      <c r="X69" s="6">
        <f t="shared" si="22"/>
        <v>-2081.3900000000003</v>
      </c>
      <c r="Y69" s="2"/>
      <c r="Z69" s="7">
        <f t="shared" si="23"/>
        <v>-0.31545675823959313</v>
      </c>
    </row>
    <row r="70" spans="1:26" s="24" customFormat="1" hidden="1" outlineLevel="2" x14ac:dyDescent="0.25">
      <c r="A70" s="26"/>
      <c r="B70" s="11" t="str">
        <f>CONCATENATE("          ", "6156", " - ", "EMPLOYEE MEALS")</f>
        <v xml:space="preserve">          6156 - EMPLOYEE MEALS</v>
      </c>
      <c r="C70" s="11"/>
      <c r="D70" s="6">
        <v>621.30999999999995</v>
      </c>
      <c r="E70" s="2"/>
      <c r="F70" s="7">
        <f t="shared" si="16"/>
        <v>1.4561245539474566E-2</v>
      </c>
      <c r="G70" s="2"/>
      <c r="H70" s="6">
        <v>713.48</v>
      </c>
      <c r="I70" s="2"/>
      <c r="J70" s="7">
        <f t="shared" si="17"/>
        <v>1.224898953733574E-2</v>
      </c>
      <c r="K70" s="2"/>
      <c r="L70" s="6">
        <f t="shared" si="18"/>
        <v>-92.170000000000073</v>
      </c>
      <c r="M70" s="2"/>
      <c r="N70" s="7">
        <f t="shared" si="19"/>
        <v>-0.12918371923529751</v>
      </c>
      <c r="O70" s="11"/>
      <c r="P70" s="6">
        <v>2378.73</v>
      </c>
      <c r="Q70" s="2"/>
      <c r="R70" s="7">
        <f t="shared" si="20"/>
        <v>8.3102773528733668E-4</v>
      </c>
      <c r="S70" s="2"/>
      <c r="T70" s="6">
        <v>2821.3</v>
      </c>
      <c r="U70" s="2"/>
      <c r="V70" s="7">
        <f t="shared" si="21"/>
        <v>8.3356642249204655E-4</v>
      </c>
      <c r="W70" s="2"/>
      <c r="X70" s="6">
        <f t="shared" si="22"/>
        <v>-442.57000000000016</v>
      </c>
      <c r="Y70" s="2"/>
      <c r="Z70" s="7">
        <f t="shared" si="23"/>
        <v>-0.15686740155247586</v>
      </c>
    </row>
    <row r="71" spans="1:26" s="27" customFormat="1" outlineLevel="1" collapsed="1" x14ac:dyDescent="0.25">
      <c r="A71" s="25"/>
      <c r="B71" s="13" t="str">
        <f>CONCATENATE("     ","*Payroll                                          ")</f>
        <v xml:space="preserve">     *Payroll                                          </v>
      </c>
      <c r="C71" s="13"/>
      <c r="D71" s="1">
        <f>SUM(OSRRefD22_1x_0)</f>
        <v>26399.489999999998</v>
      </c>
      <c r="E71" s="1"/>
      <c r="F71" s="5">
        <f t="shared" ref="F71:F76" si="24">IF(D$12=0,0,D71/D$12)</f>
        <v>0.61870798153402229</v>
      </c>
      <c r="G71" s="1"/>
      <c r="H71" s="1">
        <f>SUM(OSRRefH22_1x_0)</f>
        <v>28133.73</v>
      </c>
      <c r="I71" s="1"/>
      <c r="J71" s="5">
        <f t="shared" ref="J71:J76" si="25">IF(H$12=0,0,H71/H$12)</f>
        <v>0.48299849248224008</v>
      </c>
      <c r="K71" s="1"/>
      <c r="L71" s="1">
        <f t="shared" ref="L71:L76" si="26">+D71-H71</f>
        <v>-1734.2400000000016</v>
      </c>
      <c r="M71" s="1"/>
      <c r="N71" s="5">
        <f t="shared" ref="N71:N76" si="27">IF(H71=0,0,L71/H71)</f>
        <v>-6.1642732762417267E-2</v>
      </c>
      <c r="O71" s="13"/>
      <c r="P71" s="1">
        <f>SUM(OSRRefP22_1x_0)</f>
        <v>96461.27</v>
      </c>
      <c r="Q71" s="1"/>
      <c r="R71" s="5">
        <f t="shared" ref="R71:R76" si="28">IF(P$12=0,0,P71/P$12)</f>
        <v>3.3699491220542187E-2</v>
      </c>
      <c r="S71" s="1"/>
      <c r="T71" s="1">
        <f>SUM(OSRRefT22_1x_0)</f>
        <v>116293.12</v>
      </c>
      <c r="U71" s="1"/>
      <c r="V71" s="5">
        <f t="shared" ref="V71:V76" si="29">IF(T$12=0,0,T71/T$12)</f>
        <v>3.4359352071328203E-2</v>
      </c>
      <c r="W71" s="1"/>
      <c r="X71" s="1">
        <f t="shared" ref="X71:X76" si="30">+P71-T71</f>
        <v>-19831.849999999991</v>
      </c>
      <c r="Y71" s="1"/>
      <c r="Z71" s="5">
        <f t="shared" ref="Z71:Z76" si="31">IF(T71=0,0,X71/T71)</f>
        <v>-0.17053330411979653</v>
      </c>
    </row>
    <row r="72" spans="1:26" s="24" customFormat="1" hidden="1" outlineLevel="2" x14ac:dyDescent="0.25">
      <c r="A72" s="26"/>
      <c r="B72" s="11" t="str">
        <f>CONCATENATE("          ", "6002", " - ", "STAFF SALARIES")</f>
        <v xml:space="preserve">          6002 - STAFF SALARIES</v>
      </c>
      <c r="C72" s="11"/>
      <c r="D72" s="6">
        <v>16310.289999999999</v>
      </c>
      <c r="E72" s="2"/>
      <c r="F72" s="7">
        <f t="shared" si="24"/>
        <v>0.38225384672713558</v>
      </c>
      <c r="G72" s="2"/>
      <c r="H72" s="6">
        <v>14457.75</v>
      </c>
      <c r="I72" s="2"/>
      <c r="J72" s="7">
        <f t="shared" si="25"/>
        <v>0.24820994068988031</v>
      </c>
      <c r="K72" s="2"/>
      <c r="L72" s="6">
        <f t="shared" si="26"/>
        <v>1852.5399999999991</v>
      </c>
      <c r="M72" s="2"/>
      <c r="N72" s="7">
        <f t="shared" si="27"/>
        <v>0.1281347374245646</v>
      </c>
      <c r="O72" s="11"/>
      <c r="P72" s="6">
        <v>60889.53</v>
      </c>
      <c r="Q72" s="2"/>
      <c r="R72" s="7">
        <f t="shared" si="28"/>
        <v>2.1272228549944865E-2</v>
      </c>
      <c r="S72" s="2"/>
      <c r="T72" s="6">
        <v>54549.53</v>
      </c>
      <c r="U72" s="2"/>
      <c r="V72" s="7">
        <f t="shared" si="29"/>
        <v>1.611691651746449E-2</v>
      </c>
      <c r="W72" s="2"/>
      <c r="X72" s="6">
        <f t="shared" si="30"/>
        <v>6340</v>
      </c>
      <c r="Y72" s="2"/>
      <c r="Z72" s="7">
        <f t="shared" si="31"/>
        <v>0.11622464941494455</v>
      </c>
    </row>
    <row r="73" spans="1:26" s="24" customFormat="1" hidden="1" outlineLevel="2" x14ac:dyDescent="0.25">
      <c r="A73" s="26"/>
      <c r="B73" s="11" t="str">
        <f>CONCATENATE("          ", "6004", " - ", "STAFF HOURLY")</f>
        <v xml:space="preserve">          6004 - STAFF HOURLY</v>
      </c>
      <c r="C73" s="11"/>
      <c r="D73" s="6">
        <v>4439.95</v>
      </c>
      <c r="E73" s="2"/>
      <c r="F73" s="7">
        <f t="shared" si="24"/>
        <v>0.10405627164054997</v>
      </c>
      <c r="G73" s="2"/>
      <c r="H73" s="6">
        <v>7272.79</v>
      </c>
      <c r="I73" s="2"/>
      <c r="J73" s="7">
        <f t="shared" si="25"/>
        <v>0.12485890090435611</v>
      </c>
      <c r="K73" s="2"/>
      <c r="L73" s="6">
        <f t="shared" si="26"/>
        <v>-2832.84</v>
      </c>
      <c r="M73" s="2"/>
      <c r="N73" s="7">
        <f t="shared" si="27"/>
        <v>-0.38951214045778859</v>
      </c>
      <c r="O73" s="11"/>
      <c r="P73" s="6">
        <v>12189.17</v>
      </c>
      <c r="Q73" s="2"/>
      <c r="R73" s="7">
        <f t="shared" si="28"/>
        <v>4.2583808755648376E-3</v>
      </c>
      <c r="S73" s="2"/>
      <c r="T73" s="6">
        <v>24870.5</v>
      </c>
      <c r="U73" s="2"/>
      <c r="V73" s="7">
        <f t="shared" si="29"/>
        <v>7.3481067984930504E-3</v>
      </c>
      <c r="W73" s="2"/>
      <c r="X73" s="6">
        <f t="shared" si="30"/>
        <v>-12681.33</v>
      </c>
      <c r="Y73" s="2"/>
      <c r="Z73" s="7">
        <f t="shared" si="31"/>
        <v>-0.50989445326792782</v>
      </c>
    </row>
    <row r="74" spans="1:26" s="24" customFormat="1" hidden="1" outlineLevel="2" x14ac:dyDescent="0.25">
      <c r="A74" s="26"/>
      <c r="B74" s="11" t="str">
        <f>CONCATENATE("          ", "6005", " - ", "TEMPORARY WAGES-HOURLY")</f>
        <v xml:space="preserve">          6005 - TEMPORARY WAGES-HOURLY</v>
      </c>
      <c r="C74" s="11"/>
      <c r="D74" s="6">
        <v>3432.62</v>
      </c>
      <c r="E74" s="2"/>
      <c r="F74" s="7">
        <f t="shared" si="24"/>
        <v>8.044812197407282E-2</v>
      </c>
      <c r="G74" s="2"/>
      <c r="H74" s="6">
        <v>4490.4399999999996</v>
      </c>
      <c r="I74" s="2"/>
      <c r="J74" s="7">
        <f t="shared" si="25"/>
        <v>7.7091652993824492E-2</v>
      </c>
      <c r="K74" s="2"/>
      <c r="L74" s="6">
        <f t="shared" si="26"/>
        <v>-1057.8199999999997</v>
      </c>
      <c r="M74" s="2"/>
      <c r="N74" s="7">
        <f t="shared" si="27"/>
        <v>-0.23557156982389249</v>
      </c>
      <c r="O74" s="11"/>
      <c r="P74" s="6">
        <v>7694.1</v>
      </c>
      <c r="Q74" s="2"/>
      <c r="R74" s="7">
        <f t="shared" si="28"/>
        <v>2.6879933822141636E-3</v>
      </c>
      <c r="S74" s="2"/>
      <c r="T74" s="6">
        <v>13727.31</v>
      </c>
      <c r="U74" s="2"/>
      <c r="V74" s="7">
        <f t="shared" si="29"/>
        <v>4.0557986343668856E-3</v>
      </c>
      <c r="W74" s="2"/>
      <c r="X74" s="6">
        <f t="shared" si="30"/>
        <v>-6033.2099999999991</v>
      </c>
      <c r="Y74" s="2"/>
      <c r="Z74" s="7">
        <f t="shared" si="31"/>
        <v>-0.43950417088271476</v>
      </c>
    </row>
    <row r="75" spans="1:26" s="24" customFormat="1" hidden="1" outlineLevel="2" x14ac:dyDescent="0.25">
      <c r="A75" s="26"/>
      <c r="B75" s="11" t="str">
        <f>CONCATENATE("          ", "6006", " - ", "TEMPORARY PART TIME")</f>
        <v xml:space="preserve">          6006 - TEMPORARY PART TIME</v>
      </c>
      <c r="C75" s="11"/>
      <c r="D75" s="6"/>
      <c r="E75" s="2"/>
      <c r="F75" s="7">
        <f t="shared" si="24"/>
        <v>0</v>
      </c>
      <c r="G75" s="2"/>
      <c r="H75" s="6">
        <v>335.5</v>
      </c>
      <c r="I75" s="2"/>
      <c r="J75" s="7">
        <f t="shared" si="25"/>
        <v>5.7598474936594452E-3</v>
      </c>
      <c r="K75" s="2"/>
      <c r="L75" s="6">
        <f t="shared" si="26"/>
        <v>-335.5</v>
      </c>
      <c r="M75" s="2"/>
      <c r="N75" s="7">
        <f t="shared" si="27"/>
        <v>-1</v>
      </c>
      <c r="O75" s="11"/>
      <c r="P75" s="6"/>
      <c r="Q75" s="2"/>
      <c r="R75" s="7">
        <f t="shared" si="28"/>
        <v>0</v>
      </c>
      <c r="S75" s="2"/>
      <c r="T75" s="6">
        <v>3364.06</v>
      </c>
      <c r="U75" s="2"/>
      <c r="V75" s="7">
        <f t="shared" si="29"/>
        <v>9.939274303507582E-4</v>
      </c>
      <c r="W75" s="2"/>
      <c r="X75" s="6">
        <f t="shared" si="30"/>
        <v>-3364.06</v>
      </c>
      <c r="Y75" s="2"/>
      <c r="Z75" s="7">
        <f t="shared" si="31"/>
        <v>-1</v>
      </c>
    </row>
    <row r="76" spans="1:26" s="24" customFormat="1" hidden="1" outlineLevel="2" x14ac:dyDescent="0.25">
      <c r="A76" s="26"/>
      <c r="B76" s="11" t="str">
        <f>CONCATENATE("          ", "6007", " - ", "STUDENT HOURLY")</f>
        <v xml:space="preserve">          6007 - STUDENT HOURLY</v>
      </c>
      <c r="C76" s="11"/>
      <c r="D76" s="6">
        <v>2216.63</v>
      </c>
      <c r="E76" s="2"/>
      <c r="F76" s="7">
        <f t="shared" si="24"/>
        <v>5.1949741192263942E-2</v>
      </c>
      <c r="G76" s="2"/>
      <c r="H76" s="6">
        <v>1577.25</v>
      </c>
      <c r="I76" s="2"/>
      <c r="J76" s="7">
        <f t="shared" si="25"/>
        <v>2.7078150400519703E-2</v>
      </c>
      <c r="K76" s="2"/>
      <c r="L76" s="6">
        <f t="shared" si="26"/>
        <v>639.38000000000011</v>
      </c>
      <c r="M76" s="2"/>
      <c r="N76" s="7">
        <f t="shared" si="27"/>
        <v>0.40537644634648923</v>
      </c>
      <c r="O76" s="11"/>
      <c r="P76" s="6">
        <v>15688.470000000001</v>
      </c>
      <c r="Q76" s="2"/>
      <c r="R76" s="7">
        <f t="shared" si="28"/>
        <v>5.4808884128183209E-3</v>
      </c>
      <c r="S76" s="2"/>
      <c r="T76" s="6">
        <v>19781.72</v>
      </c>
      <c r="U76" s="2"/>
      <c r="V76" s="7">
        <f t="shared" si="29"/>
        <v>5.8446026906530208E-3</v>
      </c>
      <c r="W76" s="2"/>
      <c r="X76" s="6">
        <f t="shared" si="30"/>
        <v>-4093.25</v>
      </c>
      <c r="Y76" s="2"/>
      <c r="Z76" s="7">
        <f t="shared" si="31"/>
        <v>-0.20692083398208042</v>
      </c>
    </row>
    <row r="77" spans="1:26" s="27" customFormat="1" outlineLevel="1" collapsed="1" x14ac:dyDescent="0.25">
      <c r="A77" s="25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81</v>
      </c>
      <c r="E77" s="1"/>
      <c r="F77" s="5">
        <f t="shared" ref="F77:F81" si="32">IF(D$12=0,0,D77/D$12)</f>
        <v>1.8983452522853969E-3</v>
      </c>
      <c r="G77" s="1"/>
      <c r="H77" s="1">
        <f>SUM(OSRRefH22_2x_0)</f>
        <v>116.74</v>
      </c>
      <c r="I77" s="1"/>
      <c r="J77" s="5">
        <f t="shared" ref="J77:J81" si="33">IF(H$12=0,0,H77/H$12)</f>
        <v>2.0041865764822758E-3</v>
      </c>
      <c r="K77" s="1"/>
      <c r="L77" s="1">
        <f t="shared" ref="L77:L81" si="34">+D77-H77</f>
        <v>-35.739999999999995</v>
      </c>
      <c r="M77" s="1"/>
      <c r="N77" s="5">
        <f t="shared" ref="N77:N81" si="35">IF(H77=0,0,L77/H77)</f>
        <v>-0.3061504197361658</v>
      </c>
      <c r="O77" s="13"/>
      <c r="P77" s="1">
        <f>SUM(OSRRefP22_2x_0)</f>
        <v>3136.02</v>
      </c>
      <c r="Q77" s="1"/>
      <c r="R77" s="5">
        <f t="shared" ref="R77:R81" si="36">IF(P$12=0,0,P77/P$12)</f>
        <v>1.0955928577080179E-3</v>
      </c>
      <c r="S77" s="1"/>
      <c r="T77" s="1">
        <f>SUM(OSRRefT22_2x_0)</f>
        <v>1981.34</v>
      </c>
      <c r="U77" s="1"/>
      <c r="V77" s="5">
        <f t="shared" ref="V77:V81" si="37">IF(T$12=0,0,T77/T$12)</f>
        <v>5.8539626964179323E-4</v>
      </c>
      <c r="W77" s="1"/>
      <c r="X77" s="1">
        <f t="shared" ref="X77:X81" si="38">+P77-T77</f>
        <v>1154.68</v>
      </c>
      <c r="Y77" s="1"/>
      <c r="Z77" s="5">
        <f t="shared" ref="Z77:Z81" si="39">IF(T77=0,0,X77/T77)</f>
        <v>0.58277731232398278</v>
      </c>
    </row>
    <row r="78" spans="1:26" s="24" customFormat="1" hidden="1" outlineLevel="2" x14ac:dyDescent="0.25">
      <c r="A78" s="26"/>
      <c r="B78" s="11" t="str">
        <f>CONCATENATE("          ", "6362", " - ", "ADVERTISING EXPENSE")</f>
        <v xml:space="preserve">          6362 - ADVERTISING EXPENSE</v>
      </c>
      <c r="C78" s="11"/>
      <c r="D78" s="6">
        <v>81</v>
      </c>
      <c r="E78" s="2"/>
      <c r="F78" s="7">
        <f t="shared" si="32"/>
        <v>1.8983452522853969E-3</v>
      </c>
      <c r="G78" s="2"/>
      <c r="H78" s="6">
        <v>116.74</v>
      </c>
      <c r="I78" s="2"/>
      <c r="J78" s="7">
        <f t="shared" si="33"/>
        <v>2.0041865764822758E-3</v>
      </c>
      <c r="K78" s="2"/>
      <c r="L78" s="6">
        <f t="shared" si="34"/>
        <v>-35.739999999999995</v>
      </c>
      <c r="M78" s="2"/>
      <c r="N78" s="7">
        <f t="shared" si="35"/>
        <v>-0.3061504197361658</v>
      </c>
      <c r="O78" s="11"/>
      <c r="P78" s="6">
        <v>3136.02</v>
      </c>
      <c r="Q78" s="2"/>
      <c r="R78" s="7">
        <f t="shared" si="36"/>
        <v>1.0955928577080179E-3</v>
      </c>
      <c r="S78" s="2"/>
      <c r="T78" s="6">
        <v>1981.34</v>
      </c>
      <c r="U78" s="2"/>
      <c r="V78" s="7">
        <f t="shared" si="37"/>
        <v>5.8539626964179323E-4</v>
      </c>
      <c r="W78" s="2"/>
      <c r="X78" s="6">
        <f t="shared" si="38"/>
        <v>1154.68</v>
      </c>
      <c r="Y78" s="2"/>
      <c r="Z78" s="7">
        <f t="shared" si="39"/>
        <v>0.58277731232398278</v>
      </c>
    </row>
    <row r="79" spans="1:26" s="27" customFormat="1" outlineLevel="1" collapsed="1" x14ac:dyDescent="0.25">
      <c r="A79" s="25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SUM(OSRRefD22_3x_0)</f>
        <v>441.38</v>
      </c>
      <c r="E79" s="1"/>
      <c r="F79" s="5">
        <f t="shared" si="32"/>
        <v>1.034434107967566E-2</v>
      </c>
      <c r="G79" s="1"/>
      <c r="H79" s="1">
        <f>SUM(OSRRefH22_3x_0)</f>
        <v>-53.86</v>
      </c>
      <c r="I79" s="1"/>
      <c r="J79" s="5">
        <f t="shared" si="33"/>
        <v>-9.2466583012965043E-4</v>
      </c>
      <c r="K79" s="1"/>
      <c r="L79" s="1">
        <f t="shared" si="34"/>
        <v>495.24</v>
      </c>
      <c r="M79" s="1"/>
      <c r="N79" s="5">
        <f t="shared" si="35"/>
        <v>-9.1949498700334207</v>
      </c>
      <c r="O79" s="13"/>
      <c r="P79" s="1">
        <f>SUM(OSRRefP22_3x_0)</f>
        <v>-2756.05</v>
      </c>
      <c r="Q79" s="1"/>
      <c r="R79" s="5">
        <f t="shared" si="36"/>
        <v>-9.6284739749305905E-4</v>
      </c>
      <c r="S79" s="1"/>
      <c r="T79" s="1">
        <f>SUM(OSRRefT22_3x_0)</f>
        <v>17043.060000000001</v>
      </c>
      <c r="U79" s="1"/>
      <c r="V79" s="5">
        <f t="shared" si="37"/>
        <v>5.0354526468356078E-3</v>
      </c>
      <c r="W79" s="1"/>
      <c r="X79" s="1">
        <f t="shared" si="38"/>
        <v>-19799.11</v>
      </c>
      <c r="Y79" s="1"/>
      <c r="Z79" s="5">
        <f t="shared" si="39"/>
        <v>-1.1617109838256745</v>
      </c>
    </row>
    <row r="80" spans="1:26" s="24" customFormat="1" hidden="1" outlineLevel="2" x14ac:dyDescent="0.25">
      <c r="A80" s="26"/>
      <c r="B80" s="11" t="str">
        <f>CONCATENATE("          ", "6382", " - ", "DISCOUNTS/MARK DOWNS")</f>
        <v xml:space="preserve">          6382 - DISCOUNTS/MARK DOWNS</v>
      </c>
      <c r="C80" s="11"/>
      <c r="D80" s="6">
        <v>434.52</v>
      </c>
      <c r="E80" s="2"/>
      <c r="F80" s="7">
        <f t="shared" si="32"/>
        <v>1.0183567642259883E-2</v>
      </c>
      <c r="G80" s="2"/>
      <c r="H80" s="6">
        <v>-83.09</v>
      </c>
      <c r="I80" s="2"/>
      <c r="J80" s="7">
        <f t="shared" si="33"/>
        <v>-1.4264850320362542E-3</v>
      </c>
      <c r="K80" s="2"/>
      <c r="L80" s="6">
        <f t="shared" si="34"/>
        <v>517.61</v>
      </c>
      <c r="M80" s="2"/>
      <c r="N80" s="7">
        <f t="shared" si="35"/>
        <v>-6.2295101696955104</v>
      </c>
      <c r="O80" s="11"/>
      <c r="P80" s="6">
        <v>-2322.42</v>
      </c>
      <c r="Q80" s="2"/>
      <c r="R80" s="7">
        <f t="shared" si="36"/>
        <v>-8.113554009854067E-4</v>
      </c>
      <c r="S80" s="2"/>
      <c r="T80" s="6">
        <v>17120.63</v>
      </c>
      <c r="U80" s="2"/>
      <c r="V80" s="7">
        <f t="shared" si="37"/>
        <v>5.058371070042182E-3</v>
      </c>
      <c r="W80" s="2"/>
      <c r="X80" s="6">
        <f t="shared" si="38"/>
        <v>-19443.050000000003</v>
      </c>
      <c r="Y80" s="2"/>
      <c r="Z80" s="7">
        <f t="shared" si="39"/>
        <v>-1.1356503820244934</v>
      </c>
    </row>
    <row r="81" spans="1:26" s="24" customFormat="1" hidden="1" outlineLevel="2" x14ac:dyDescent="0.25">
      <c r="A81" s="26"/>
      <c r="B81" s="11" t="str">
        <f>CONCATENATE("          ", "9175", " - ", "EARNED DISCOUNTS")</f>
        <v xml:space="preserve">          9175 - EARNED DISCOUNTS</v>
      </c>
      <c r="C81" s="11"/>
      <c r="D81" s="6">
        <v>6.86</v>
      </c>
      <c r="E81" s="2"/>
      <c r="F81" s="7">
        <f t="shared" si="32"/>
        <v>1.607734374157756E-4</v>
      </c>
      <c r="G81" s="2"/>
      <c r="H81" s="6">
        <v>29.23</v>
      </c>
      <c r="I81" s="2"/>
      <c r="J81" s="7">
        <f t="shared" si="33"/>
        <v>5.0181920190660388E-4</v>
      </c>
      <c r="K81" s="2"/>
      <c r="L81" s="6">
        <f t="shared" si="34"/>
        <v>-22.37</v>
      </c>
      <c r="M81" s="2"/>
      <c r="N81" s="7">
        <f t="shared" si="35"/>
        <v>-0.76530961341087922</v>
      </c>
      <c r="O81" s="11"/>
      <c r="P81" s="6">
        <v>-433.63</v>
      </c>
      <c r="Q81" s="2"/>
      <c r="R81" s="7">
        <f t="shared" si="36"/>
        <v>-1.5149199650765232E-4</v>
      </c>
      <c r="S81" s="2"/>
      <c r="T81" s="6">
        <v>-77.569999999999993</v>
      </c>
      <c r="U81" s="2"/>
      <c r="V81" s="7">
        <f t="shared" si="37"/>
        <v>-2.291842320657429E-5</v>
      </c>
      <c r="W81" s="2"/>
      <c r="X81" s="6">
        <f t="shared" si="38"/>
        <v>-356.06</v>
      </c>
      <c r="Y81" s="2"/>
      <c r="Z81" s="7">
        <f t="shared" si="39"/>
        <v>4.5901766146706207</v>
      </c>
    </row>
    <row r="82" spans="1:26" s="27" customFormat="1" outlineLevel="1" collapsed="1" x14ac:dyDescent="0.25">
      <c r="A82" s="25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SUM(OSRRefD22_4x_0)</f>
        <v>0</v>
      </c>
      <c r="E82" s="1"/>
      <c r="F82" s="5">
        <f t="shared" ref="F82:F88" si="40">IF(D$12=0,0,D82/D$12)</f>
        <v>0</v>
      </c>
      <c r="G82" s="1"/>
      <c r="H82" s="1">
        <f>SUM(OSRRefH22_4x_0)</f>
        <v>278.49</v>
      </c>
      <c r="I82" s="1"/>
      <c r="J82" s="5">
        <f t="shared" ref="J82:J88" si="41">IF(H$12=0,0,H82/H$12)</f>
        <v>4.7811026185073588E-3</v>
      </c>
      <c r="K82" s="1"/>
      <c r="L82" s="1">
        <f t="shared" ref="L82:L88" si="42">+D82-H82</f>
        <v>-278.49</v>
      </c>
      <c r="M82" s="1"/>
      <c r="N82" s="5">
        <f t="shared" ref="N82:N88" si="43">IF(H82=0,0,L82/H82)</f>
        <v>-1</v>
      </c>
      <c r="O82" s="13"/>
      <c r="P82" s="1">
        <f>SUM(OSRRefP22_4x_0)</f>
        <v>0</v>
      </c>
      <c r="Q82" s="1"/>
      <c r="R82" s="5">
        <f t="shared" ref="R82:R88" si="44">IF(P$12=0,0,P82/P$12)</f>
        <v>0</v>
      </c>
      <c r="S82" s="1"/>
      <c r="T82" s="1">
        <f>SUM(OSRRefT22_4x_0)</f>
        <v>299.06</v>
      </c>
      <c r="U82" s="1"/>
      <c r="V82" s="5">
        <f t="shared" ref="V82:V88" si="45">IF(T$12=0,0,T82/T$12)</f>
        <v>8.8358690784557279E-5</v>
      </c>
      <c r="W82" s="1"/>
      <c r="X82" s="1">
        <f t="shared" ref="X82:X88" si="46">+P82-T82</f>
        <v>-299.06</v>
      </c>
      <c r="Y82" s="1"/>
      <c r="Z82" s="5">
        <f t="shared" ref="Z82:Z88" si="47">IF(T82=0,0,X82/T82)</f>
        <v>-1</v>
      </c>
    </row>
    <row r="83" spans="1:26" s="24" customFormat="1" hidden="1" outlineLevel="2" x14ac:dyDescent="0.25">
      <c r="A83" s="26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40"/>
        <v>0</v>
      </c>
      <c r="G83" s="2"/>
      <c r="H83" s="6">
        <v>278.49</v>
      </c>
      <c r="I83" s="2"/>
      <c r="J83" s="7">
        <f t="shared" si="41"/>
        <v>4.7811026185073588E-3</v>
      </c>
      <c r="K83" s="2"/>
      <c r="L83" s="6">
        <f t="shared" si="42"/>
        <v>-278.49</v>
      </c>
      <c r="M83" s="2"/>
      <c r="N83" s="7">
        <f t="shared" si="43"/>
        <v>-1</v>
      </c>
      <c r="O83" s="11"/>
      <c r="P83" s="6"/>
      <c r="Q83" s="2"/>
      <c r="R83" s="7">
        <f t="shared" si="44"/>
        <v>0</v>
      </c>
      <c r="S83" s="2"/>
      <c r="T83" s="6">
        <v>299.06</v>
      </c>
      <c r="U83" s="2"/>
      <c r="V83" s="7">
        <f t="shared" si="45"/>
        <v>8.8358690784557279E-5</v>
      </c>
      <c r="W83" s="2"/>
      <c r="X83" s="6">
        <f t="shared" si="46"/>
        <v>-299.06</v>
      </c>
      <c r="Y83" s="2"/>
      <c r="Z83" s="7">
        <f t="shared" si="47"/>
        <v>-1</v>
      </c>
    </row>
    <row r="84" spans="1:26" s="27" customFormat="1" outlineLevel="1" collapsed="1" x14ac:dyDescent="0.25">
      <c r="A84" s="25"/>
      <c r="B84" s="13" t="str">
        <f>CONCATENATE("     ","Equipment Rental                                  ")</f>
        <v xml:space="preserve">     Equipment Rental                                  </v>
      </c>
      <c r="C84" s="13"/>
      <c r="D84" s="1">
        <f>SUM(OSRRefD22_5x_0)</f>
        <v>182.52</v>
      </c>
      <c r="E84" s="1"/>
      <c r="F84" s="5">
        <f t="shared" si="40"/>
        <v>4.2776046351497609E-3</v>
      </c>
      <c r="G84" s="1"/>
      <c r="H84" s="1">
        <f>SUM(OSRRefH22_5x_0)</f>
        <v>91.26</v>
      </c>
      <c r="I84" s="1"/>
      <c r="J84" s="5">
        <f t="shared" si="41"/>
        <v>1.5667471900785723E-3</v>
      </c>
      <c r="K84" s="1"/>
      <c r="L84" s="1">
        <f t="shared" si="42"/>
        <v>91.26</v>
      </c>
      <c r="M84" s="1"/>
      <c r="N84" s="5">
        <f t="shared" si="43"/>
        <v>1</v>
      </c>
      <c r="O84" s="13"/>
      <c r="P84" s="1">
        <f>SUM(OSRRefP22_5x_0)</f>
        <v>456.3</v>
      </c>
      <c r="Q84" s="1"/>
      <c r="R84" s="5">
        <f t="shared" si="44"/>
        <v>1.5941193645836719E-4</v>
      </c>
      <c r="S84" s="1"/>
      <c r="T84" s="1">
        <f>SUM(OSRRefT22_5x_0)</f>
        <v>365.04</v>
      </c>
      <c r="U84" s="1"/>
      <c r="V84" s="5">
        <f t="shared" si="45"/>
        <v>1.0785279370024338E-4</v>
      </c>
      <c r="W84" s="1"/>
      <c r="X84" s="1">
        <f t="shared" si="46"/>
        <v>91.259999999999991</v>
      </c>
      <c r="Y84" s="1"/>
      <c r="Z84" s="5">
        <f t="shared" si="47"/>
        <v>0.24999999999999997</v>
      </c>
    </row>
    <row r="85" spans="1:26" s="24" customFormat="1" hidden="1" outlineLevel="2" x14ac:dyDescent="0.25">
      <c r="A85" s="26"/>
      <c r="B85" s="11" t="str">
        <f>CONCATENATE("          ", "6351", " - ", "EQUIPMENT RENTAL")</f>
        <v xml:space="preserve">          6351 - EQUIPMENT RENTAL</v>
      </c>
      <c r="C85" s="11"/>
      <c r="D85" s="6">
        <v>182.52</v>
      </c>
      <c r="E85" s="2"/>
      <c r="F85" s="7">
        <f t="shared" si="40"/>
        <v>4.2776046351497609E-3</v>
      </c>
      <c r="G85" s="2"/>
      <c r="H85" s="6">
        <v>91.26</v>
      </c>
      <c r="I85" s="2"/>
      <c r="J85" s="7">
        <f t="shared" si="41"/>
        <v>1.5667471900785723E-3</v>
      </c>
      <c r="K85" s="2"/>
      <c r="L85" s="6">
        <f t="shared" si="42"/>
        <v>91.26</v>
      </c>
      <c r="M85" s="2"/>
      <c r="N85" s="7">
        <f t="shared" si="43"/>
        <v>1</v>
      </c>
      <c r="O85" s="11"/>
      <c r="P85" s="6">
        <v>456.3</v>
      </c>
      <c r="Q85" s="2"/>
      <c r="R85" s="7">
        <f t="shared" si="44"/>
        <v>1.5941193645836719E-4</v>
      </c>
      <c r="S85" s="2"/>
      <c r="T85" s="6">
        <v>365.04</v>
      </c>
      <c r="U85" s="2"/>
      <c r="V85" s="7">
        <f t="shared" si="45"/>
        <v>1.0785279370024338E-4</v>
      </c>
      <c r="W85" s="2"/>
      <c r="X85" s="6">
        <f t="shared" si="46"/>
        <v>91.259999999999991</v>
      </c>
      <c r="Y85" s="2"/>
      <c r="Z85" s="7">
        <f t="shared" si="47"/>
        <v>0.24999999999999997</v>
      </c>
    </row>
    <row r="86" spans="1:26" s="27" customFormat="1" outlineLevel="1" collapsed="1" x14ac:dyDescent="0.25">
      <c r="A86" s="25"/>
      <c r="B86" s="13" t="str">
        <f>CONCATENATE("     ","Freight out/Postage                               ")</f>
        <v xml:space="preserve">     Freight out/Postage                               </v>
      </c>
      <c r="C86" s="13"/>
      <c r="D86" s="1">
        <f>SUM(OSRRefD22_6x_0)</f>
        <v>1312.76</v>
      </c>
      <c r="E86" s="1"/>
      <c r="F86" s="5">
        <f t="shared" si="40"/>
        <v>3.0766317449261452E-2</v>
      </c>
      <c r="G86" s="1"/>
      <c r="H86" s="1">
        <f>SUM(OSRRefH22_6x_0)</f>
        <v>3917.5699999999997</v>
      </c>
      <c r="I86" s="1"/>
      <c r="J86" s="5">
        <f t="shared" si="41"/>
        <v>6.7256649018585482E-2</v>
      </c>
      <c r="K86" s="1"/>
      <c r="L86" s="1">
        <f t="shared" si="42"/>
        <v>-2604.8099999999995</v>
      </c>
      <c r="M86" s="1"/>
      <c r="N86" s="5">
        <f t="shared" si="43"/>
        <v>-0.66490451989370958</v>
      </c>
      <c r="O86" s="13"/>
      <c r="P86" s="1">
        <f>SUM(OSRRefP22_6x_0)</f>
        <v>4115.17</v>
      </c>
      <c r="Q86" s="1"/>
      <c r="R86" s="5">
        <f t="shared" si="44"/>
        <v>1.4376664881774685E-3</v>
      </c>
      <c r="S86" s="1"/>
      <c r="T86" s="1">
        <f>SUM(OSRRefT22_6x_0)</f>
        <v>8731.4800000000014</v>
      </c>
      <c r="U86" s="1"/>
      <c r="V86" s="5">
        <f t="shared" si="45"/>
        <v>2.5797570434412703E-3</v>
      </c>
      <c r="W86" s="1"/>
      <c r="X86" s="1">
        <f t="shared" si="46"/>
        <v>-4616.3100000000013</v>
      </c>
      <c r="Y86" s="1"/>
      <c r="Z86" s="5">
        <f t="shared" si="47"/>
        <v>-0.52869731133782594</v>
      </c>
    </row>
    <row r="87" spans="1:26" s="24" customFormat="1" hidden="1" outlineLevel="2" x14ac:dyDescent="0.25">
      <c r="A87" s="26"/>
      <c r="B87" s="11" t="str">
        <f>CONCATENATE("          ", "6305", " - ", "FREIGHT OUT")</f>
        <v xml:space="preserve">          6305 - FREIGHT OUT</v>
      </c>
      <c r="C87" s="11"/>
      <c r="D87" s="6">
        <v>1312.76</v>
      </c>
      <c r="E87" s="2"/>
      <c r="F87" s="7">
        <f t="shared" si="40"/>
        <v>3.0766317449261452E-2</v>
      </c>
      <c r="G87" s="2"/>
      <c r="H87" s="6">
        <v>3917.1</v>
      </c>
      <c r="I87" s="2"/>
      <c r="J87" s="7">
        <f t="shared" si="41"/>
        <v>6.7248580081709128E-2</v>
      </c>
      <c r="K87" s="2"/>
      <c r="L87" s="6">
        <f t="shared" si="42"/>
        <v>-2604.34</v>
      </c>
      <c r="M87" s="2"/>
      <c r="N87" s="7">
        <f t="shared" si="43"/>
        <v>-0.66486431288453196</v>
      </c>
      <c r="O87" s="11"/>
      <c r="P87" s="6">
        <v>4114.67</v>
      </c>
      <c r="Q87" s="2"/>
      <c r="R87" s="7">
        <f t="shared" si="44"/>
        <v>1.4374918093078011E-3</v>
      </c>
      <c r="S87" s="2"/>
      <c r="T87" s="6">
        <v>8730.5400000000009</v>
      </c>
      <c r="U87" s="2"/>
      <c r="V87" s="7">
        <f t="shared" si="45"/>
        <v>2.5794793159974877E-3</v>
      </c>
      <c r="W87" s="2"/>
      <c r="X87" s="6">
        <f t="shared" si="46"/>
        <v>-4615.8700000000008</v>
      </c>
      <c r="Y87" s="2"/>
      <c r="Z87" s="7">
        <f t="shared" si="47"/>
        <v>-0.52870383733423132</v>
      </c>
    </row>
    <row r="88" spans="1:26" s="24" customFormat="1" hidden="1" outlineLevel="2" x14ac:dyDescent="0.25">
      <c r="A88" s="26"/>
      <c r="B88" s="11" t="str">
        <f>CONCATENATE("          ", "6307", " - ", "POSTAGE")</f>
        <v xml:space="preserve">          6307 - POSTAGE</v>
      </c>
      <c r="C88" s="11"/>
      <c r="D88" s="6"/>
      <c r="E88" s="2"/>
      <c r="F88" s="7">
        <f t="shared" si="40"/>
        <v>0</v>
      </c>
      <c r="G88" s="2"/>
      <c r="H88" s="6">
        <v>0.47</v>
      </c>
      <c r="I88" s="2"/>
      <c r="J88" s="7">
        <f t="shared" si="41"/>
        <v>8.0689368763634554E-6</v>
      </c>
      <c r="K88" s="2"/>
      <c r="L88" s="6">
        <f t="shared" si="42"/>
        <v>-0.47</v>
      </c>
      <c r="M88" s="2"/>
      <c r="N88" s="7">
        <f t="shared" si="43"/>
        <v>-1</v>
      </c>
      <c r="O88" s="11"/>
      <c r="P88" s="6">
        <v>0.5</v>
      </c>
      <c r="Q88" s="2"/>
      <c r="R88" s="7">
        <f t="shared" si="44"/>
        <v>1.7467886966728816E-7</v>
      </c>
      <c r="S88" s="2"/>
      <c r="T88" s="6">
        <v>0.94</v>
      </c>
      <c r="U88" s="2"/>
      <c r="V88" s="7">
        <f t="shared" si="45"/>
        <v>2.7772744378213013E-7</v>
      </c>
      <c r="W88" s="2"/>
      <c r="X88" s="6">
        <f t="shared" si="46"/>
        <v>-0.43999999999999995</v>
      </c>
      <c r="Y88" s="2"/>
      <c r="Z88" s="7">
        <f t="shared" si="47"/>
        <v>-0.46808510638297868</v>
      </c>
    </row>
    <row r="89" spans="1:26" s="27" customFormat="1" outlineLevel="1" collapsed="1" x14ac:dyDescent="0.25">
      <c r="A89" s="25"/>
      <c r="B89" s="13" t="str">
        <f>CONCATENATE("     ","General                                           ")</f>
        <v xml:space="preserve">     General                                           </v>
      </c>
      <c r="C89" s="13"/>
      <c r="D89" s="1">
        <f>SUM(OSRRefD22_7x_0)</f>
        <v>0</v>
      </c>
      <c r="E89" s="1"/>
      <c r="F89" s="5">
        <f t="shared" ref="F89:F95" si="48">IF(D$12=0,0,D89/D$12)</f>
        <v>0</v>
      </c>
      <c r="G89" s="1"/>
      <c r="H89" s="1">
        <f>SUM(OSRRefH22_7x_0)</f>
        <v>0</v>
      </c>
      <c r="I89" s="1"/>
      <c r="J89" s="5">
        <f t="shared" ref="J89:J95" si="49">IF(H$12=0,0,H89/H$12)</f>
        <v>0</v>
      </c>
      <c r="K89" s="1"/>
      <c r="L89" s="1">
        <f t="shared" ref="L89:L95" si="50">+D89-H89</f>
        <v>0</v>
      </c>
      <c r="M89" s="1"/>
      <c r="N89" s="5">
        <f t="shared" ref="N89:N95" si="51">IF(H89=0,0,L89/H89)</f>
        <v>0</v>
      </c>
      <c r="O89" s="13"/>
      <c r="P89" s="1">
        <f>SUM(OSRRefP22_7x_0)</f>
        <v>-1492.16</v>
      </c>
      <c r="Q89" s="1"/>
      <c r="R89" s="5">
        <f t="shared" ref="R89:R95" si="52">IF(P$12=0,0,P89/P$12)</f>
        <v>-5.2129764432548142E-4</v>
      </c>
      <c r="S89" s="1"/>
      <c r="T89" s="1">
        <f>SUM(OSRRefT22_7x_0)</f>
        <v>-648.41999999999996</v>
      </c>
      <c r="U89" s="1"/>
      <c r="V89" s="5">
        <f t="shared" ref="V89:V95" si="53">IF(T$12=0,0,T89/T$12)</f>
        <v>-1.9157875435873276E-4</v>
      </c>
      <c r="W89" s="1"/>
      <c r="X89" s="1">
        <f t="shared" ref="X89:X95" si="54">+P89-T89</f>
        <v>-843.74000000000012</v>
      </c>
      <c r="Y89" s="1"/>
      <c r="Z89" s="5">
        <f t="shared" ref="Z89:Z95" si="55">IF(T89=0,0,X89/T89)</f>
        <v>1.3012245149748622</v>
      </c>
    </row>
    <row r="90" spans="1:26" s="24" customFormat="1" hidden="1" outlineLevel="2" x14ac:dyDescent="0.25">
      <c r="A90" s="26"/>
      <c r="B90" s="11" t="str">
        <f>CONCATENATE("          ", "6279", " - ", "GENERAL EXPENSE")</f>
        <v xml:space="preserve">          6279 - GENERAL EXPENSE</v>
      </c>
      <c r="C90" s="11"/>
      <c r="D90" s="6"/>
      <c r="E90" s="2"/>
      <c r="F90" s="7">
        <f t="shared" si="48"/>
        <v>0</v>
      </c>
      <c r="G90" s="2"/>
      <c r="H90" s="6"/>
      <c r="I90" s="2"/>
      <c r="J90" s="7">
        <f t="shared" si="49"/>
        <v>0</v>
      </c>
      <c r="K90" s="2"/>
      <c r="L90" s="6">
        <f t="shared" si="50"/>
        <v>0</v>
      </c>
      <c r="M90" s="2"/>
      <c r="N90" s="7">
        <f t="shared" si="51"/>
        <v>0</v>
      </c>
      <c r="O90" s="11"/>
      <c r="P90" s="6">
        <v>-1492.16</v>
      </c>
      <c r="Q90" s="2"/>
      <c r="R90" s="7">
        <f t="shared" si="52"/>
        <v>-5.2129764432548142E-4</v>
      </c>
      <c r="S90" s="2"/>
      <c r="T90" s="6">
        <v>-648.41999999999996</v>
      </c>
      <c r="U90" s="2"/>
      <c r="V90" s="7">
        <f t="shared" si="53"/>
        <v>-1.9157875435873276E-4</v>
      </c>
      <c r="W90" s="2"/>
      <c r="X90" s="6">
        <f t="shared" si="54"/>
        <v>-843.74000000000012</v>
      </c>
      <c r="Y90" s="2"/>
      <c r="Z90" s="7">
        <f t="shared" si="55"/>
        <v>1.3012245149748622</v>
      </c>
    </row>
    <row r="91" spans="1:26" s="27" customFormat="1" outlineLevel="1" collapsed="1" x14ac:dyDescent="0.25">
      <c r="A91" s="25"/>
      <c r="B91" s="13" t="str">
        <f>CONCATENATE("     ","Inventory Adjustment                              ")</f>
        <v xml:space="preserve">     Inventory Adjustment                              </v>
      </c>
      <c r="C91" s="13"/>
      <c r="D91" s="1">
        <f>SUM(OSRRefD22_8x_0)</f>
        <v>1000</v>
      </c>
      <c r="E91" s="1"/>
      <c r="F91" s="5">
        <f t="shared" si="48"/>
        <v>2.3436361139325887E-2</v>
      </c>
      <c r="G91" s="1"/>
      <c r="H91" s="1">
        <f>SUM(OSRRefH22_8x_0)</f>
        <v>6950</v>
      </c>
      <c r="I91" s="1"/>
      <c r="J91" s="5">
        <f t="shared" si="49"/>
        <v>0.11931725806537449</v>
      </c>
      <c r="K91" s="1"/>
      <c r="L91" s="1">
        <f t="shared" si="50"/>
        <v>-5950</v>
      </c>
      <c r="M91" s="1"/>
      <c r="N91" s="5">
        <f t="shared" si="51"/>
        <v>-0.85611510791366907</v>
      </c>
      <c r="O91" s="13"/>
      <c r="P91" s="1">
        <f>SUM(OSRRefP22_8x_0)</f>
        <v>4000</v>
      </c>
      <c r="Q91" s="1"/>
      <c r="R91" s="5">
        <f t="shared" si="52"/>
        <v>1.3974309573383053E-3</v>
      </c>
      <c r="S91" s="1"/>
      <c r="T91" s="1">
        <f>SUM(OSRRefT22_8x_0)</f>
        <v>27800</v>
      </c>
      <c r="U91" s="1"/>
      <c r="V91" s="5">
        <f t="shared" si="53"/>
        <v>8.2136414224927845E-3</v>
      </c>
      <c r="W91" s="1"/>
      <c r="X91" s="1">
        <f t="shared" si="54"/>
        <v>-23800</v>
      </c>
      <c r="Y91" s="1"/>
      <c r="Z91" s="5">
        <f t="shared" si="55"/>
        <v>-0.85611510791366907</v>
      </c>
    </row>
    <row r="92" spans="1:26" s="24" customFormat="1" hidden="1" outlineLevel="2" x14ac:dyDescent="0.25">
      <c r="A92" s="26"/>
      <c r="B92" s="11" t="str">
        <f>CONCATENATE("          ", "6408", " - ", "INVENTORY ADJUSTMENT")</f>
        <v xml:space="preserve">          6408 - INVENTORY ADJUSTMENT</v>
      </c>
      <c r="C92" s="11"/>
      <c r="D92" s="6">
        <v>1000</v>
      </c>
      <c r="E92" s="2"/>
      <c r="F92" s="7">
        <f t="shared" si="48"/>
        <v>2.3436361139325887E-2</v>
      </c>
      <c r="G92" s="2"/>
      <c r="H92" s="6">
        <v>6950</v>
      </c>
      <c r="I92" s="2"/>
      <c r="J92" s="7">
        <f t="shared" si="49"/>
        <v>0.11931725806537449</v>
      </c>
      <c r="K92" s="2"/>
      <c r="L92" s="6">
        <f t="shared" si="50"/>
        <v>-5950</v>
      </c>
      <c r="M92" s="2"/>
      <c r="N92" s="7">
        <f t="shared" si="51"/>
        <v>-0.85611510791366907</v>
      </c>
      <c r="O92" s="11"/>
      <c r="P92" s="6">
        <v>4000</v>
      </c>
      <c r="Q92" s="2"/>
      <c r="R92" s="7">
        <f t="shared" si="52"/>
        <v>1.3974309573383053E-3</v>
      </c>
      <c r="S92" s="2"/>
      <c r="T92" s="6">
        <v>27800</v>
      </c>
      <c r="U92" s="2"/>
      <c r="V92" s="7">
        <f t="shared" si="53"/>
        <v>8.2136414224927845E-3</v>
      </c>
      <c r="W92" s="2"/>
      <c r="X92" s="6">
        <f t="shared" si="54"/>
        <v>-23800</v>
      </c>
      <c r="Y92" s="2"/>
      <c r="Z92" s="7">
        <f t="shared" si="55"/>
        <v>-0.85611510791366907</v>
      </c>
    </row>
    <row r="93" spans="1:26" s="27" customFormat="1" outlineLevel="1" collapsed="1" x14ac:dyDescent="0.25">
      <c r="A93" s="25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SUM(OSRRefD22_9x_0)</f>
        <v>27.74</v>
      </c>
      <c r="E93" s="1"/>
      <c r="F93" s="5">
        <f t="shared" si="48"/>
        <v>6.501246580049001E-4</v>
      </c>
      <c r="G93" s="1"/>
      <c r="H93" s="1">
        <f>SUM(OSRRefH22_9x_0)</f>
        <v>30.48</v>
      </c>
      <c r="I93" s="1"/>
      <c r="J93" s="5">
        <f t="shared" si="49"/>
        <v>5.2327914040757042E-4</v>
      </c>
      <c r="K93" s="1"/>
      <c r="L93" s="1">
        <f t="shared" si="50"/>
        <v>-2.740000000000002</v>
      </c>
      <c r="M93" s="1"/>
      <c r="N93" s="5">
        <f t="shared" si="51"/>
        <v>-8.9895013123359638E-2</v>
      </c>
      <c r="O93" s="13"/>
      <c r="P93" s="1">
        <f>SUM(OSRRefP22_9x_0)</f>
        <v>97.94</v>
      </c>
      <c r="Q93" s="1"/>
      <c r="R93" s="5">
        <f t="shared" si="52"/>
        <v>3.4216096990428403E-5</v>
      </c>
      <c r="S93" s="1"/>
      <c r="T93" s="1">
        <f>SUM(OSRRefT22_9x_0)</f>
        <v>358.39</v>
      </c>
      <c r="U93" s="1"/>
      <c r="V93" s="5">
        <f t="shared" si="53"/>
        <v>1.0588801976284852E-4</v>
      </c>
      <c r="W93" s="1"/>
      <c r="X93" s="1">
        <f t="shared" si="54"/>
        <v>-260.45</v>
      </c>
      <c r="Y93" s="1"/>
      <c r="Z93" s="5">
        <f t="shared" si="55"/>
        <v>-0.72672228577806297</v>
      </c>
    </row>
    <row r="94" spans="1:26" s="24" customFormat="1" hidden="1" outlineLevel="2" x14ac:dyDescent="0.25">
      <c r="A94" s="26"/>
      <c r="B94" s="11" t="str">
        <f>CONCATENATE("          ", "6373", " - ", "MAINTENANCE CONTRACTS")</f>
        <v xml:space="preserve">          6373 - MAINTENANCE CONTRACTS</v>
      </c>
      <c r="C94" s="11"/>
      <c r="D94" s="6">
        <v>27.74</v>
      </c>
      <c r="E94" s="2"/>
      <c r="F94" s="7">
        <f t="shared" si="48"/>
        <v>6.501246580049001E-4</v>
      </c>
      <c r="G94" s="2"/>
      <c r="H94" s="6">
        <v>30.48</v>
      </c>
      <c r="I94" s="2"/>
      <c r="J94" s="7">
        <f t="shared" si="49"/>
        <v>5.2327914040757042E-4</v>
      </c>
      <c r="K94" s="2"/>
      <c r="L94" s="6">
        <f t="shared" si="50"/>
        <v>-2.740000000000002</v>
      </c>
      <c r="M94" s="2"/>
      <c r="N94" s="7">
        <f t="shared" si="51"/>
        <v>-8.9895013123359638E-2</v>
      </c>
      <c r="O94" s="11"/>
      <c r="P94" s="6">
        <v>97.94</v>
      </c>
      <c r="Q94" s="2"/>
      <c r="R94" s="7">
        <f t="shared" si="52"/>
        <v>3.4216096990428403E-5</v>
      </c>
      <c r="S94" s="2"/>
      <c r="T94" s="6">
        <v>124.39</v>
      </c>
      <c r="U94" s="2"/>
      <c r="V94" s="7">
        <f t="shared" si="53"/>
        <v>3.6751613544743793E-5</v>
      </c>
      <c r="W94" s="2"/>
      <c r="X94" s="6">
        <f t="shared" si="54"/>
        <v>-26.450000000000003</v>
      </c>
      <c r="Y94" s="2"/>
      <c r="Z94" s="7">
        <f t="shared" si="55"/>
        <v>-0.21263767183857227</v>
      </c>
    </row>
    <row r="95" spans="1:26" s="24" customFormat="1" hidden="1" outlineLevel="2" x14ac:dyDescent="0.25">
      <c r="A95" s="26"/>
      <c r="B95" s="11" t="str">
        <f>CONCATENATE("          ", "6375", " - ", "OUTSIDE REPAIRS &amp; MAINTENANCE")</f>
        <v xml:space="preserve">          6375 - OUTSIDE REPAIRS &amp; MAINTENANCE</v>
      </c>
      <c r="C95" s="11"/>
      <c r="D95" s="6"/>
      <c r="E95" s="2"/>
      <c r="F95" s="7">
        <f t="shared" si="48"/>
        <v>0</v>
      </c>
      <c r="G95" s="2"/>
      <c r="H95" s="6"/>
      <c r="I95" s="2"/>
      <c r="J95" s="7">
        <f t="shared" si="49"/>
        <v>0</v>
      </c>
      <c r="K95" s="2"/>
      <c r="L95" s="6">
        <f t="shared" si="50"/>
        <v>0</v>
      </c>
      <c r="M95" s="2"/>
      <c r="N95" s="7">
        <f t="shared" si="51"/>
        <v>0</v>
      </c>
      <c r="O95" s="11"/>
      <c r="P95" s="6"/>
      <c r="Q95" s="2"/>
      <c r="R95" s="7">
        <f t="shared" si="52"/>
        <v>0</v>
      </c>
      <c r="S95" s="2"/>
      <c r="T95" s="6">
        <v>234</v>
      </c>
      <c r="U95" s="2"/>
      <c r="V95" s="7">
        <f t="shared" si="53"/>
        <v>6.9136406218104737E-5</v>
      </c>
      <c r="W95" s="2"/>
      <c r="X95" s="6">
        <f t="shared" si="54"/>
        <v>-234</v>
      </c>
      <c r="Y95" s="2"/>
      <c r="Z95" s="7">
        <f t="shared" si="55"/>
        <v>-1</v>
      </c>
    </row>
    <row r="96" spans="1:26" s="27" customFormat="1" outlineLevel="1" collapsed="1" x14ac:dyDescent="0.25">
      <c r="A96" s="25"/>
      <c r="B96" s="13" t="str">
        <f>CONCATENATE("     ","Subscriptions &amp; Dues                              ")</f>
        <v xml:space="preserve">     Subscriptions &amp; Dues                              </v>
      </c>
      <c r="C96" s="13"/>
      <c r="D96" s="1">
        <f>SUM(OSRRefD22_10x_0)</f>
        <v>268.55</v>
      </c>
      <c r="E96" s="1"/>
      <c r="F96" s="5">
        <f t="shared" ref="F96:F102" si="56">IF(D$12=0,0,D96/D$12)</f>
        <v>6.2938347839659676E-3</v>
      </c>
      <c r="G96" s="1"/>
      <c r="H96" s="1">
        <f>SUM(OSRRefH22_10x_0)</f>
        <v>792.02</v>
      </c>
      <c r="I96" s="1"/>
      <c r="J96" s="5">
        <f t="shared" ref="J96:J102" si="57">IF(H$12=0,0,H96/H$12)</f>
        <v>1.3597360393228475E-2</v>
      </c>
      <c r="K96" s="1"/>
      <c r="L96" s="1">
        <f t="shared" ref="L96:L102" si="58">+D96-H96</f>
        <v>-523.47</v>
      </c>
      <c r="M96" s="1"/>
      <c r="N96" s="5">
        <f t="shared" ref="N96:N102" si="59">IF(H96=0,0,L96/H96)</f>
        <v>-0.66093027953839556</v>
      </c>
      <c r="O96" s="13"/>
      <c r="P96" s="1">
        <f>SUM(OSRRefP22_10x_0)</f>
        <v>1057.4000000000001</v>
      </c>
      <c r="Q96" s="1"/>
      <c r="R96" s="5">
        <f t="shared" ref="R96:R102" si="60">IF(P$12=0,0,P96/P$12)</f>
        <v>3.6941087357238102E-4</v>
      </c>
      <c r="S96" s="1"/>
      <c r="T96" s="1">
        <f>SUM(OSRRefT22_10x_0)</f>
        <v>1564.12</v>
      </c>
      <c r="U96" s="1"/>
      <c r="V96" s="5">
        <f t="shared" ref="V96:V102" si="61">IF(T$12=0,0,T96/T$12)</f>
        <v>4.6212664826436736E-4</v>
      </c>
      <c r="W96" s="1"/>
      <c r="X96" s="1">
        <f t="shared" ref="X96:X102" si="62">+P96-T96</f>
        <v>-506.7199999999998</v>
      </c>
      <c r="Y96" s="1"/>
      <c r="Z96" s="5">
        <f t="shared" ref="Z96:Z102" si="63">IF(T96=0,0,X96/T96)</f>
        <v>-0.3239649131780169</v>
      </c>
    </row>
    <row r="97" spans="1:26" s="24" customFormat="1" hidden="1" outlineLevel="2" x14ac:dyDescent="0.25">
      <c r="A97" s="26"/>
      <c r="B97" s="11" t="str">
        <f>CONCATENATE("          ", "6258", " - ", "MEMBERSHIP DUES")</f>
        <v xml:space="preserve">          6258 - MEMBERSHIP DUES</v>
      </c>
      <c r="C97" s="11"/>
      <c r="D97" s="6">
        <v>268.55</v>
      </c>
      <c r="E97" s="2"/>
      <c r="F97" s="7">
        <f t="shared" si="56"/>
        <v>6.2938347839659676E-3</v>
      </c>
      <c r="G97" s="2"/>
      <c r="H97" s="6">
        <v>792.02</v>
      </c>
      <c r="I97" s="2"/>
      <c r="J97" s="7">
        <f t="shared" si="57"/>
        <v>1.3597360393228475E-2</v>
      </c>
      <c r="K97" s="2"/>
      <c r="L97" s="6">
        <f t="shared" si="58"/>
        <v>-523.47</v>
      </c>
      <c r="M97" s="2"/>
      <c r="N97" s="7">
        <f t="shared" si="59"/>
        <v>-0.66093027953839556</v>
      </c>
      <c r="O97" s="11"/>
      <c r="P97" s="6">
        <v>1057.4000000000001</v>
      </c>
      <c r="Q97" s="2"/>
      <c r="R97" s="7">
        <f t="shared" si="60"/>
        <v>3.6941087357238102E-4</v>
      </c>
      <c r="S97" s="2"/>
      <c r="T97" s="6">
        <v>1564.12</v>
      </c>
      <c r="U97" s="2"/>
      <c r="V97" s="7">
        <f t="shared" si="61"/>
        <v>4.6212664826436736E-4</v>
      </c>
      <c r="W97" s="2"/>
      <c r="X97" s="6">
        <f t="shared" si="62"/>
        <v>-506.7199999999998</v>
      </c>
      <c r="Y97" s="2"/>
      <c r="Z97" s="7">
        <f t="shared" si="63"/>
        <v>-0.3239649131780169</v>
      </c>
    </row>
    <row r="98" spans="1:26" s="27" customFormat="1" outlineLevel="1" collapsed="1" x14ac:dyDescent="0.25">
      <c r="A98" s="25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SUM(OSRRefD22_11x_0)</f>
        <v>1787.4099999999999</v>
      </c>
      <c r="E98" s="1"/>
      <c r="F98" s="5">
        <f t="shared" si="56"/>
        <v>4.1890386264042477E-2</v>
      </c>
      <c r="G98" s="1"/>
      <c r="H98" s="1">
        <f>SUM(OSRRefH22_11x_0)</f>
        <v>967.08000000000015</v>
      </c>
      <c r="I98" s="1"/>
      <c r="J98" s="5">
        <f t="shared" si="57"/>
        <v>1.6602781860411853E-2</v>
      </c>
      <c r="K98" s="1"/>
      <c r="L98" s="1">
        <f t="shared" si="58"/>
        <v>820.3299999999997</v>
      </c>
      <c r="M98" s="1"/>
      <c r="N98" s="5">
        <f t="shared" si="59"/>
        <v>0.84825453943830864</v>
      </c>
      <c r="O98" s="13"/>
      <c r="P98" s="1">
        <f>SUM(OSRRefP22_11x_0)</f>
        <v>9136.5499999999993</v>
      </c>
      <c r="Q98" s="1"/>
      <c r="R98" s="5">
        <f t="shared" si="60"/>
        <v>3.191924453317323E-3</v>
      </c>
      <c r="S98" s="1"/>
      <c r="T98" s="1">
        <f>SUM(OSRRefT22_11x_0)</f>
        <v>7222.19</v>
      </c>
      <c r="U98" s="1"/>
      <c r="V98" s="5">
        <f t="shared" si="61"/>
        <v>2.1338301778817685E-3</v>
      </c>
      <c r="W98" s="1"/>
      <c r="X98" s="1">
        <f t="shared" si="62"/>
        <v>1914.3599999999997</v>
      </c>
      <c r="Y98" s="1"/>
      <c r="Z98" s="5">
        <f t="shared" si="63"/>
        <v>0.26506641337322889</v>
      </c>
    </row>
    <row r="99" spans="1:26" s="24" customFormat="1" hidden="1" outlineLevel="2" x14ac:dyDescent="0.25">
      <c r="A99" s="26"/>
      <c r="B99" s="11" t="str">
        <f>CONCATENATE("          ", "6234", " - ", "EXPENDABLE SUPPLIES &amp; EQUIPMEN")</f>
        <v xml:space="preserve">          6234 - EXPENDABLE SUPPLIES &amp; EQUIPMEN</v>
      </c>
      <c r="C99" s="11"/>
      <c r="D99" s="6"/>
      <c r="E99" s="2"/>
      <c r="F99" s="7">
        <f t="shared" si="56"/>
        <v>0</v>
      </c>
      <c r="G99" s="2"/>
      <c r="H99" s="6">
        <v>272.45999999999998</v>
      </c>
      <c r="I99" s="2"/>
      <c r="J99" s="7">
        <f t="shared" si="57"/>
        <v>4.6775798751786954E-3</v>
      </c>
      <c r="K99" s="2"/>
      <c r="L99" s="6">
        <f t="shared" si="58"/>
        <v>-272.45999999999998</v>
      </c>
      <c r="M99" s="2"/>
      <c r="N99" s="7">
        <f t="shared" si="59"/>
        <v>-1</v>
      </c>
      <c r="O99" s="11"/>
      <c r="P99" s="6"/>
      <c r="Q99" s="2"/>
      <c r="R99" s="7">
        <f t="shared" si="60"/>
        <v>0</v>
      </c>
      <c r="S99" s="2"/>
      <c r="T99" s="6">
        <v>272.45999999999998</v>
      </c>
      <c r="U99" s="2"/>
      <c r="V99" s="7">
        <f t="shared" si="61"/>
        <v>8.0499595034977836E-5</v>
      </c>
      <c r="W99" s="2"/>
      <c r="X99" s="6">
        <f t="shared" si="62"/>
        <v>-272.45999999999998</v>
      </c>
      <c r="Y99" s="2"/>
      <c r="Z99" s="7">
        <f t="shared" si="63"/>
        <v>-1</v>
      </c>
    </row>
    <row r="100" spans="1:26" s="24" customFormat="1" hidden="1" outlineLevel="2" x14ac:dyDescent="0.25">
      <c r="A100" s="26"/>
      <c r="B100" s="11" t="str">
        <f>CONCATENATE("          ", "6241", " - ", "OFFICE EXPENSE")</f>
        <v xml:space="preserve">          6241 - OFFICE EXPENSE</v>
      </c>
      <c r="C100" s="11"/>
      <c r="D100" s="6">
        <v>959.61</v>
      </c>
      <c r="E100" s="2"/>
      <c r="F100" s="7">
        <f t="shared" si="56"/>
        <v>2.2489766512908516E-2</v>
      </c>
      <c r="G100" s="2"/>
      <c r="H100" s="6">
        <v>577.44000000000005</v>
      </c>
      <c r="I100" s="2"/>
      <c r="J100" s="7">
        <f t="shared" si="57"/>
        <v>9.9134615103985413E-3</v>
      </c>
      <c r="K100" s="2"/>
      <c r="L100" s="6">
        <f t="shared" si="58"/>
        <v>382.16999999999996</v>
      </c>
      <c r="M100" s="2"/>
      <c r="N100" s="7">
        <f t="shared" si="59"/>
        <v>0.66183499584372385</v>
      </c>
      <c r="O100" s="11"/>
      <c r="P100" s="6">
        <v>3297.43</v>
      </c>
      <c r="Q100" s="2"/>
      <c r="R100" s="7">
        <f t="shared" si="60"/>
        <v>1.1519826904140119E-3</v>
      </c>
      <c r="S100" s="2"/>
      <c r="T100" s="6">
        <v>1014.57</v>
      </c>
      <c r="U100" s="2"/>
      <c r="V100" s="7">
        <f t="shared" si="61"/>
        <v>2.9975950280642104E-4</v>
      </c>
      <c r="W100" s="2"/>
      <c r="X100" s="6">
        <f t="shared" si="62"/>
        <v>2282.8599999999997</v>
      </c>
      <c r="Y100" s="2"/>
      <c r="Z100" s="7">
        <f t="shared" si="63"/>
        <v>2.2500763870408149</v>
      </c>
    </row>
    <row r="101" spans="1:26" s="24" customFormat="1" hidden="1" outlineLevel="2" x14ac:dyDescent="0.25">
      <c r="A101" s="26"/>
      <c r="B101" s="11" t="str">
        <f>CONCATENATE("          ", "6245", " - ", "PRINTING")</f>
        <v xml:space="preserve">          6245 - PRINTING</v>
      </c>
      <c r="C101" s="11"/>
      <c r="D101" s="6"/>
      <c r="E101" s="2"/>
      <c r="F101" s="7">
        <f t="shared" si="56"/>
        <v>0</v>
      </c>
      <c r="G101" s="2"/>
      <c r="H101" s="6"/>
      <c r="I101" s="2"/>
      <c r="J101" s="7">
        <f t="shared" si="57"/>
        <v>0</v>
      </c>
      <c r="K101" s="2"/>
      <c r="L101" s="6">
        <f t="shared" si="58"/>
        <v>0</v>
      </c>
      <c r="M101" s="2"/>
      <c r="N101" s="7">
        <f t="shared" si="59"/>
        <v>0</v>
      </c>
      <c r="O101" s="11"/>
      <c r="P101" s="6">
        <v>4978.08</v>
      </c>
      <c r="Q101" s="2"/>
      <c r="R101" s="7">
        <f t="shared" si="60"/>
        <v>1.7391307750266676E-3</v>
      </c>
      <c r="S101" s="2"/>
      <c r="T101" s="6">
        <v>509.8</v>
      </c>
      <c r="U101" s="2"/>
      <c r="V101" s="7">
        <f t="shared" si="61"/>
        <v>1.5062282004269143E-4</v>
      </c>
      <c r="W101" s="2"/>
      <c r="X101" s="6">
        <f t="shared" si="62"/>
        <v>4468.28</v>
      </c>
      <c r="Y101" s="2"/>
      <c r="Z101" s="7">
        <f t="shared" si="63"/>
        <v>8.7647704982346006</v>
      </c>
    </row>
    <row r="102" spans="1:26" s="24" customFormat="1" hidden="1" outlineLevel="2" x14ac:dyDescent="0.25">
      <c r="A102" s="26"/>
      <c r="B102" s="11" t="str">
        <f>CONCATENATE("          ", "6247", " - ", "STORE SUPPLIES")</f>
        <v xml:space="preserve">          6247 - STORE SUPPLIES</v>
      </c>
      <c r="C102" s="11"/>
      <c r="D102" s="6">
        <v>827.8</v>
      </c>
      <c r="E102" s="2"/>
      <c r="F102" s="7">
        <f t="shared" si="56"/>
        <v>1.9400619751133968E-2</v>
      </c>
      <c r="G102" s="2"/>
      <c r="H102" s="6">
        <v>117.18</v>
      </c>
      <c r="I102" s="2"/>
      <c r="J102" s="7">
        <f t="shared" si="57"/>
        <v>2.0117404748346166E-3</v>
      </c>
      <c r="K102" s="2"/>
      <c r="L102" s="6">
        <f t="shared" si="58"/>
        <v>710.61999999999989</v>
      </c>
      <c r="M102" s="2"/>
      <c r="N102" s="7">
        <f t="shared" si="59"/>
        <v>6.0643454514422244</v>
      </c>
      <c r="O102" s="11"/>
      <c r="P102" s="6">
        <v>861.04</v>
      </c>
      <c r="Q102" s="2"/>
      <c r="R102" s="7">
        <f t="shared" si="60"/>
        <v>3.0081098787664359E-4</v>
      </c>
      <c r="S102" s="2"/>
      <c r="T102" s="6">
        <v>5425.36</v>
      </c>
      <c r="U102" s="2"/>
      <c r="V102" s="7">
        <f t="shared" si="61"/>
        <v>1.602948259997678E-3</v>
      </c>
      <c r="W102" s="2"/>
      <c r="X102" s="6">
        <f t="shared" si="62"/>
        <v>-4564.32</v>
      </c>
      <c r="Y102" s="2"/>
      <c r="Z102" s="7">
        <f t="shared" si="63"/>
        <v>-0.84129348098559353</v>
      </c>
    </row>
    <row r="103" spans="1:26" s="27" customFormat="1" outlineLevel="1" collapsed="1" x14ac:dyDescent="0.25">
      <c r="A103" s="25"/>
      <c r="B103" s="13" t="str">
        <f>CONCATENATE("     ","Telephone/Data Lines                              ")</f>
        <v xml:space="preserve">     Telephone/Data Lines                              </v>
      </c>
      <c r="C103" s="13"/>
      <c r="D103" s="1">
        <f>SUM(OSRRefD22_12x_0)</f>
        <v>-300.89999999999998</v>
      </c>
      <c r="E103" s="1"/>
      <c r="F103" s="5">
        <f t="shared" ref="F103:F105" si="64">IF(D$12=0,0,D103/D$12)</f>
        <v>-7.0520010668231586E-3</v>
      </c>
      <c r="G103" s="1"/>
      <c r="H103" s="1">
        <f>SUM(OSRRefH22_12x_0)</f>
        <v>-0.45</v>
      </c>
      <c r="I103" s="1"/>
      <c r="J103" s="5">
        <f t="shared" ref="J103:J105" si="65">IF(H$12=0,0,H103/H$12)</f>
        <v>-7.7255778603479899E-6</v>
      </c>
      <c r="K103" s="1"/>
      <c r="L103" s="1">
        <f t="shared" ref="L103:L105" si="66">+D103-H103</f>
        <v>-300.45</v>
      </c>
      <c r="M103" s="1"/>
      <c r="N103" s="5">
        <f t="shared" ref="N103:N105" si="67">IF(H103=0,0,L103/H103)</f>
        <v>667.66666666666663</v>
      </c>
      <c r="O103" s="13"/>
      <c r="P103" s="1">
        <f>SUM(OSRRefP22_12x_0)</f>
        <v>3098.6</v>
      </c>
      <c r="Q103" s="1"/>
      <c r="R103" s="5">
        <f t="shared" ref="R103:R105" si="68">IF(P$12=0,0,P103/P$12)</f>
        <v>1.0825198911021182E-3</v>
      </c>
      <c r="S103" s="1"/>
      <c r="T103" s="1">
        <f>SUM(OSRRefT22_12x_0)</f>
        <v>2609.75</v>
      </c>
      <c r="U103" s="1"/>
      <c r="V103" s="5">
        <f t="shared" ref="V103:V105" si="69">IF(T$12=0,0,T103/T$12)</f>
        <v>7.710629749046958E-4</v>
      </c>
      <c r="W103" s="1"/>
      <c r="X103" s="1">
        <f t="shared" ref="X103:X105" si="70">+P103-T103</f>
        <v>488.84999999999991</v>
      </c>
      <c r="Y103" s="1"/>
      <c r="Z103" s="5">
        <f t="shared" ref="Z103:Z105" si="71">IF(T103=0,0,X103/T103)</f>
        <v>0.18731679279624483</v>
      </c>
    </row>
    <row r="104" spans="1:26" s="24" customFormat="1" hidden="1" outlineLevel="2" x14ac:dyDescent="0.25">
      <c r="A104" s="26"/>
      <c r="B104" s="11" t="str">
        <f>CONCATENATE("          ", "6303", " - ", "DATA PHONE LINES")</f>
        <v xml:space="preserve">          6303 - DATA PHONE LINES</v>
      </c>
      <c r="C104" s="11"/>
      <c r="D104" s="6">
        <v>295</v>
      </c>
      <c r="E104" s="2"/>
      <c r="F104" s="7">
        <f t="shared" si="64"/>
        <v>6.9137265361011368E-3</v>
      </c>
      <c r="G104" s="2"/>
      <c r="H104" s="6"/>
      <c r="I104" s="2"/>
      <c r="J104" s="7">
        <f t="shared" si="65"/>
        <v>0</v>
      </c>
      <c r="K104" s="2"/>
      <c r="L104" s="6">
        <f t="shared" si="66"/>
        <v>295</v>
      </c>
      <c r="M104" s="2"/>
      <c r="N104" s="7">
        <f t="shared" si="67"/>
        <v>0</v>
      </c>
      <c r="O104" s="11"/>
      <c r="P104" s="6">
        <v>1180</v>
      </c>
      <c r="Q104" s="2"/>
      <c r="R104" s="7">
        <f t="shared" si="68"/>
        <v>4.1224213241480005E-4</v>
      </c>
      <c r="S104" s="2"/>
      <c r="T104" s="6">
        <v>590</v>
      </c>
      <c r="U104" s="2"/>
      <c r="V104" s="7">
        <f t="shared" si="69"/>
        <v>1.7431828918240081E-4</v>
      </c>
      <c r="W104" s="2"/>
      <c r="X104" s="6">
        <f t="shared" si="70"/>
        <v>590</v>
      </c>
      <c r="Y104" s="2"/>
      <c r="Z104" s="7">
        <f t="shared" si="71"/>
        <v>1</v>
      </c>
    </row>
    <row r="105" spans="1:26" s="24" customFormat="1" hidden="1" outlineLevel="2" x14ac:dyDescent="0.25">
      <c r="A105" s="26"/>
      <c r="B105" s="11" t="str">
        <f>CONCATENATE("          ", "6309", " - ", "TELEPHONE")</f>
        <v xml:space="preserve">          6309 - TELEPHONE</v>
      </c>
      <c r="C105" s="11"/>
      <c r="D105" s="6">
        <v>-595.9</v>
      </c>
      <c r="E105" s="2"/>
      <c r="F105" s="7">
        <f t="shared" si="64"/>
        <v>-1.3965727602924296E-2</v>
      </c>
      <c r="G105" s="2"/>
      <c r="H105" s="6">
        <v>-0.45</v>
      </c>
      <c r="I105" s="2"/>
      <c r="J105" s="7">
        <f t="shared" si="65"/>
        <v>-7.7255778603479899E-6</v>
      </c>
      <c r="K105" s="2"/>
      <c r="L105" s="6">
        <f t="shared" si="66"/>
        <v>-595.44999999999993</v>
      </c>
      <c r="M105" s="2"/>
      <c r="N105" s="7">
        <f t="shared" si="67"/>
        <v>1323.2222222222219</v>
      </c>
      <c r="O105" s="11"/>
      <c r="P105" s="6">
        <v>1918.6</v>
      </c>
      <c r="Q105" s="2"/>
      <c r="R105" s="7">
        <f t="shared" si="68"/>
        <v>6.702777586873181E-4</v>
      </c>
      <c r="S105" s="2"/>
      <c r="T105" s="6">
        <v>2019.75</v>
      </c>
      <c r="U105" s="2"/>
      <c r="V105" s="7">
        <f t="shared" si="69"/>
        <v>5.9674468572229499E-4</v>
      </c>
      <c r="W105" s="2"/>
      <c r="X105" s="6">
        <f t="shared" si="70"/>
        <v>-101.15000000000009</v>
      </c>
      <c r="Y105" s="2"/>
      <c r="Z105" s="7">
        <f t="shared" si="71"/>
        <v>-5.00804555019186E-2</v>
      </c>
    </row>
    <row r="106" spans="1:26" s="27" customFormat="1" outlineLevel="1" collapsed="1" x14ac:dyDescent="0.25">
      <c r="A106" s="25"/>
      <c r="B106" s="13" t="str">
        <f>CONCATENATE("     ","Training                                          ")</f>
        <v xml:space="preserve">     Training                                          </v>
      </c>
      <c r="C106" s="13"/>
      <c r="D106" s="1">
        <f>SUM(OSRRefD22_13x_0)</f>
        <v>0</v>
      </c>
      <c r="E106" s="1"/>
      <c r="F106" s="5">
        <f t="shared" ref="F106:F109" si="72">IF(D$12=0,0,D106/D$12)</f>
        <v>0</v>
      </c>
      <c r="G106" s="1"/>
      <c r="H106" s="1">
        <f>SUM(OSRRefH22_13x_0)</f>
        <v>241.4</v>
      </c>
      <c r="I106" s="1"/>
      <c r="J106" s="5">
        <f t="shared" ref="J106:J109" si="73">IF(H$12=0,0,H106/H$12)</f>
        <v>4.1443433233066766E-3</v>
      </c>
      <c r="K106" s="1"/>
      <c r="L106" s="1">
        <f t="shared" ref="L106:L109" si="74">+D106-H106</f>
        <v>-241.4</v>
      </c>
      <c r="M106" s="1"/>
      <c r="N106" s="5">
        <f t="shared" ref="N106:N109" si="75">IF(H106=0,0,L106/H106)</f>
        <v>-1</v>
      </c>
      <c r="O106" s="13"/>
      <c r="P106" s="1">
        <f>SUM(OSRRefP22_13x_0)</f>
        <v>547.47</v>
      </c>
      <c r="Q106" s="1"/>
      <c r="R106" s="5">
        <f t="shared" ref="R106:R109" si="76">IF(P$12=0,0,P106/P$12)</f>
        <v>1.9126288155350051E-4</v>
      </c>
      <c r="S106" s="1"/>
      <c r="T106" s="1">
        <f>SUM(OSRRefT22_13x_0)</f>
        <v>-1024.26</v>
      </c>
      <c r="U106" s="1"/>
      <c r="V106" s="5">
        <f t="shared" ref="V106:V109" si="77">IF(T$12=0,0,T106/T$12)</f>
        <v>-3.0262245911519639E-4</v>
      </c>
      <c r="W106" s="1"/>
      <c r="X106" s="1">
        <f t="shared" ref="X106:X109" si="78">+P106-T106</f>
        <v>1571.73</v>
      </c>
      <c r="Y106" s="1"/>
      <c r="Z106" s="5">
        <f t="shared" ref="Z106:Z109" si="79">IF(T106=0,0,X106/T106)</f>
        <v>-1.5345029582332612</v>
      </c>
    </row>
    <row r="107" spans="1:26" s="24" customFormat="1" hidden="1" outlineLevel="2" x14ac:dyDescent="0.25">
      <c r="A107" s="26"/>
      <c r="B107" s="11" t="str">
        <f>CONCATENATE("          ", "6376", " - ", "TRAINING")</f>
        <v xml:space="preserve">          6376 - TRAINING</v>
      </c>
      <c r="C107" s="11"/>
      <c r="D107" s="6"/>
      <c r="E107" s="2"/>
      <c r="F107" s="7">
        <f t="shared" si="72"/>
        <v>0</v>
      </c>
      <c r="G107" s="2"/>
      <c r="H107" s="6">
        <v>241.4</v>
      </c>
      <c r="I107" s="2"/>
      <c r="J107" s="7">
        <f t="shared" si="73"/>
        <v>4.1443433233066766E-3</v>
      </c>
      <c r="K107" s="2"/>
      <c r="L107" s="6">
        <f t="shared" si="74"/>
        <v>-241.4</v>
      </c>
      <c r="M107" s="2"/>
      <c r="N107" s="7">
        <f t="shared" si="75"/>
        <v>-1</v>
      </c>
      <c r="O107" s="11"/>
      <c r="P107" s="6">
        <v>547.47</v>
      </c>
      <c r="Q107" s="2"/>
      <c r="R107" s="7">
        <f t="shared" si="76"/>
        <v>1.9126288155350051E-4</v>
      </c>
      <c r="S107" s="2"/>
      <c r="T107" s="6">
        <v>-1024.26</v>
      </c>
      <c r="U107" s="2"/>
      <c r="V107" s="7">
        <f t="shared" si="77"/>
        <v>-3.0262245911519639E-4</v>
      </c>
      <c r="W107" s="2"/>
      <c r="X107" s="6">
        <f t="shared" si="78"/>
        <v>1571.73</v>
      </c>
      <c r="Y107" s="2"/>
      <c r="Z107" s="7">
        <f t="shared" si="79"/>
        <v>-1.5345029582332612</v>
      </c>
    </row>
    <row r="108" spans="1:26" s="27" customFormat="1" outlineLevel="1" collapsed="1" x14ac:dyDescent="0.25">
      <c r="A108" s="25"/>
      <c r="B108" s="13" t="str">
        <f>CONCATENATE("     ","Travel                                            ")</f>
        <v xml:space="preserve">     Travel                                            </v>
      </c>
      <c r="C108" s="13"/>
      <c r="D108" s="1">
        <f>SUM(OSRRefD22_14x_0)</f>
        <v>83.93</v>
      </c>
      <c r="E108" s="1"/>
      <c r="F108" s="5">
        <f t="shared" si="72"/>
        <v>1.967013790423622E-3</v>
      </c>
      <c r="G108" s="1"/>
      <c r="H108" s="1">
        <f>SUM(OSRRefH22_14x_0)</f>
        <v>0</v>
      </c>
      <c r="I108" s="1"/>
      <c r="J108" s="5">
        <f t="shared" si="73"/>
        <v>0</v>
      </c>
      <c r="K108" s="1"/>
      <c r="L108" s="1">
        <f t="shared" si="74"/>
        <v>83.93</v>
      </c>
      <c r="M108" s="1"/>
      <c r="N108" s="5">
        <f t="shared" si="75"/>
        <v>0</v>
      </c>
      <c r="O108" s="13"/>
      <c r="P108" s="1">
        <f>SUM(OSRRefP22_14x_0)</f>
        <v>83.93</v>
      </c>
      <c r="Q108" s="1"/>
      <c r="R108" s="5">
        <f t="shared" si="76"/>
        <v>2.9321595062350993E-5</v>
      </c>
      <c r="S108" s="1"/>
      <c r="T108" s="1">
        <f>SUM(OSRRefT22_14x_0)</f>
        <v>68.27</v>
      </c>
      <c r="U108" s="1"/>
      <c r="V108" s="5">
        <f t="shared" si="77"/>
        <v>2.0170694241495768E-5</v>
      </c>
      <c r="W108" s="1"/>
      <c r="X108" s="1">
        <f t="shared" si="78"/>
        <v>15.660000000000011</v>
      </c>
      <c r="Y108" s="1"/>
      <c r="Z108" s="5">
        <f t="shared" si="79"/>
        <v>0.22938333089204646</v>
      </c>
    </row>
    <row r="109" spans="1:26" s="24" customFormat="1" hidden="1" outlineLevel="2" x14ac:dyDescent="0.25">
      <c r="A109" s="26"/>
      <c r="B109" s="11" t="str">
        <f>CONCATENATE("          ", "6292", " - ", "TRAVEL/CONFERENCE")</f>
        <v xml:space="preserve">          6292 - TRAVEL/CONFERENCE</v>
      </c>
      <c r="C109" s="11"/>
      <c r="D109" s="6">
        <v>83.93</v>
      </c>
      <c r="E109" s="2"/>
      <c r="F109" s="7">
        <f t="shared" si="72"/>
        <v>1.967013790423622E-3</v>
      </c>
      <c r="G109" s="2"/>
      <c r="H109" s="6"/>
      <c r="I109" s="2"/>
      <c r="J109" s="7">
        <f t="shared" si="73"/>
        <v>0</v>
      </c>
      <c r="K109" s="2"/>
      <c r="L109" s="6">
        <f t="shared" si="74"/>
        <v>83.93</v>
      </c>
      <c r="M109" s="2"/>
      <c r="N109" s="7">
        <f t="shared" si="75"/>
        <v>0</v>
      </c>
      <c r="O109" s="11"/>
      <c r="P109" s="6">
        <v>83.93</v>
      </c>
      <c r="Q109" s="2"/>
      <c r="R109" s="7">
        <f t="shared" si="76"/>
        <v>2.9321595062350993E-5</v>
      </c>
      <c r="S109" s="2"/>
      <c r="T109" s="6">
        <v>68.27</v>
      </c>
      <c r="U109" s="2"/>
      <c r="V109" s="7">
        <f t="shared" si="77"/>
        <v>2.0170694241495768E-5</v>
      </c>
      <c r="W109" s="2"/>
      <c r="X109" s="6">
        <f t="shared" si="78"/>
        <v>15.660000000000011</v>
      </c>
      <c r="Y109" s="2"/>
      <c r="Z109" s="7">
        <f t="shared" si="79"/>
        <v>0.22938333089204646</v>
      </c>
    </row>
    <row r="110" spans="1:26" s="55" customFormat="1" x14ac:dyDescent="0.25">
      <c r="A110" s="37"/>
      <c r="B110" s="37"/>
      <c r="C110" s="37"/>
      <c r="D110" s="1"/>
      <c r="E110" s="1"/>
      <c r="F110" s="5"/>
      <c r="G110" s="1"/>
      <c r="H110" s="1"/>
      <c r="I110" s="1"/>
      <c r="J110" s="5"/>
      <c r="K110" s="1"/>
      <c r="L110" s="1"/>
      <c r="M110" s="1"/>
      <c r="N110" s="5"/>
      <c r="O110" s="37"/>
      <c r="P110" s="1"/>
      <c r="Q110" s="1"/>
      <c r="R110" s="5"/>
      <c r="S110" s="1"/>
      <c r="T110" s="1"/>
      <c r="U110" s="1"/>
      <c r="V110" s="5"/>
      <c r="W110" s="1"/>
      <c r="X110" s="1"/>
      <c r="Y110" s="1"/>
      <c r="Z110" s="5"/>
    </row>
    <row r="111" spans="1:26" s="23" customFormat="1" collapsed="1" x14ac:dyDescent="0.25">
      <c r="A111" s="10"/>
      <c r="B111" s="29" t="s">
        <v>0</v>
      </c>
      <c r="C111" s="10"/>
      <c r="D111" s="4">
        <f>SUM(OSRRefD25x_0)</f>
        <v>44861.23</v>
      </c>
      <c r="E111" s="4"/>
      <c r="F111" s="12">
        <f t="shared" ref="F111:F114" si="80">IF(D$12=0,0,D111/D$12)</f>
        <v>1.0513839874343607</v>
      </c>
      <c r="G111" s="4"/>
      <c r="H111" s="4">
        <f>SUM(OSRRefH25x_0)</f>
        <v>1854.96</v>
      </c>
      <c r="I111" s="4"/>
      <c r="J111" s="12">
        <f t="shared" ref="J111:J114" si="81">IF(H$12=0,0,H111/H$12)</f>
        <v>3.1845862017402457E-2</v>
      </c>
      <c r="K111" s="4"/>
      <c r="L111" s="4">
        <f t="shared" ref="L111:L114" si="82">+D111-H111</f>
        <v>43006.270000000004</v>
      </c>
      <c r="M111" s="4"/>
      <c r="N111" s="12">
        <f t="shared" ref="N111:N114" si="83">IF(H111=0,0,L111/H111)</f>
        <v>23.184472980549447</v>
      </c>
      <c r="O111" s="10"/>
      <c r="P111" s="4">
        <f>SUM(OSRRefP25x_0)</f>
        <v>142244.4</v>
      </c>
      <c r="Q111" s="4"/>
      <c r="R111" s="12">
        <f t="shared" ref="R111:R114" si="84">IF(P$12=0,0,P111/P$12)</f>
        <v>4.9694182017003201E-2</v>
      </c>
      <c r="S111" s="4"/>
      <c r="T111" s="4">
        <f>SUM(OSRRefT25x_0)</f>
        <v>43924.79</v>
      </c>
      <c r="U111" s="4"/>
      <c r="V111" s="12">
        <f t="shared" ref="V111:V114" si="85">IF(T$12=0,0,T111/T$12)</f>
        <v>1.2977786856773268E-2</v>
      </c>
      <c r="W111" s="4"/>
      <c r="X111" s="4">
        <f t="shared" ref="X111:X114" si="86">+P111-T111</f>
        <v>98319.609999999986</v>
      </c>
      <c r="Y111" s="4"/>
      <c r="Z111" s="12">
        <f t="shared" ref="Z111:Z114" si="87">IF(T111=0,0,X111/T111)</f>
        <v>2.2383626649097237</v>
      </c>
    </row>
    <row r="112" spans="1:26" s="24" customFormat="1" hidden="1" outlineLevel="1" x14ac:dyDescent="0.25">
      <c r="A112" s="44"/>
      <c r="B112" s="11" t="str">
        <f>CONCATENATE("          ", "9150", " - ", "MISC. INCOME")</f>
        <v xml:space="preserve">          9150 - MISC. INCOME</v>
      </c>
      <c r="C112" s="11"/>
      <c r="D112" s="2">
        <f>--44808.15</f>
        <v>44808.15</v>
      </c>
      <c r="E112" s="2"/>
      <c r="F112" s="19">
        <f t="shared" si="80"/>
        <v>1.0501399853850852</v>
      </c>
      <c r="G112" s="2"/>
      <c r="H112" s="2">
        <f>--147.17</f>
        <v>147.16999999999999</v>
      </c>
      <c r="I112" s="2"/>
      <c r="J112" s="19">
        <f t="shared" si="81"/>
        <v>2.5266073193498076E-3</v>
      </c>
      <c r="K112" s="2"/>
      <c r="L112" s="2">
        <f t="shared" si="82"/>
        <v>44660.98</v>
      </c>
      <c r="M112" s="2"/>
      <c r="N112" s="19">
        <f t="shared" si="83"/>
        <v>303.4652442753279</v>
      </c>
      <c r="O112" s="11"/>
      <c r="P112" s="2">
        <f>--53874.1</f>
        <v>53874.1</v>
      </c>
      <c r="Q112" s="2"/>
      <c r="R112" s="19">
        <f t="shared" si="84"/>
        <v>1.8821333784684896E-2</v>
      </c>
      <c r="S112" s="2"/>
      <c r="T112" s="2">
        <f>--40707.67</f>
        <v>40707.67</v>
      </c>
      <c r="U112" s="2"/>
      <c r="V112" s="19">
        <f t="shared" si="85"/>
        <v>1.202727354407075E-2</v>
      </c>
      <c r="W112" s="2"/>
      <c r="X112" s="2">
        <f t="shared" si="86"/>
        <v>13166.43</v>
      </c>
      <c r="Y112" s="2"/>
      <c r="Z112" s="19">
        <f t="shared" si="87"/>
        <v>0.32343855592815801</v>
      </c>
    </row>
    <row r="113" spans="1:26" s="24" customFormat="1" hidden="1" outlineLevel="1" x14ac:dyDescent="0.25">
      <c r="A113" s="44"/>
      <c r="B113" s="11" t="str">
        <f>CONCATENATE("          ", "9151", " - ", "MISC. INCOME")</f>
        <v xml:space="preserve">          9151 - MISC. INCOME</v>
      </c>
      <c r="C113" s="11"/>
      <c r="D113" s="2">
        <f>0</f>
        <v>0</v>
      </c>
      <c r="E113" s="2"/>
      <c r="F113" s="19">
        <f t="shared" si="80"/>
        <v>0</v>
      </c>
      <c r="G113" s="2"/>
      <c r="H113" s="2">
        <f>0</f>
        <v>0</v>
      </c>
      <c r="I113" s="2"/>
      <c r="J113" s="19">
        <f t="shared" si="81"/>
        <v>0</v>
      </c>
      <c r="K113" s="2"/>
      <c r="L113" s="2">
        <f t="shared" si="82"/>
        <v>0</v>
      </c>
      <c r="M113" s="2"/>
      <c r="N113" s="19">
        <f t="shared" si="83"/>
        <v>0</v>
      </c>
      <c r="O113" s="11"/>
      <c r="P113" s="2">
        <f>--87676.2</f>
        <v>87676.2</v>
      </c>
      <c r="Q113" s="2"/>
      <c r="R113" s="19">
        <f t="shared" si="84"/>
        <v>3.0630359025446179E-2</v>
      </c>
      <c r="S113" s="2"/>
      <c r="T113" s="2">
        <f>0</f>
        <v>0</v>
      </c>
      <c r="U113" s="2"/>
      <c r="V113" s="19">
        <f t="shared" si="85"/>
        <v>0</v>
      </c>
      <c r="W113" s="2"/>
      <c r="X113" s="2">
        <f t="shared" si="86"/>
        <v>87676.2</v>
      </c>
      <c r="Y113" s="2"/>
      <c r="Z113" s="19">
        <f t="shared" si="87"/>
        <v>0</v>
      </c>
    </row>
    <row r="114" spans="1:26" s="24" customFormat="1" hidden="1" outlineLevel="1" x14ac:dyDescent="0.25">
      <c r="A114" s="44"/>
      <c r="B114" s="11" t="str">
        <f>CONCATENATE("          ", "9152", " - ", "MISC. INCOME")</f>
        <v xml:space="preserve">          9152 - MISC. INCOME</v>
      </c>
      <c r="C114" s="11"/>
      <c r="D114" s="2">
        <f>--53.08</f>
        <v>53.08</v>
      </c>
      <c r="E114" s="2"/>
      <c r="F114" s="19">
        <f t="shared" si="80"/>
        <v>1.2440020492754181E-3</v>
      </c>
      <c r="G114" s="2"/>
      <c r="H114" s="2">
        <f>--1707.79</f>
        <v>1707.79</v>
      </c>
      <c r="I114" s="2"/>
      <c r="J114" s="19">
        <f t="shared" si="81"/>
        <v>2.931925469805265E-2</v>
      </c>
      <c r="K114" s="2"/>
      <c r="L114" s="2">
        <f t="shared" si="82"/>
        <v>-1654.71</v>
      </c>
      <c r="M114" s="2"/>
      <c r="N114" s="19">
        <f t="shared" si="83"/>
        <v>-0.96891889518032082</v>
      </c>
      <c r="O114" s="11"/>
      <c r="P114" s="2">
        <f>--694.1</f>
        <v>694.1</v>
      </c>
      <c r="Q114" s="2"/>
      <c r="R114" s="19">
        <f t="shared" si="84"/>
        <v>2.4248920687212943E-4</v>
      </c>
      <c r="S114" s="2"/>
      <c r="T114" s="2">
        <f>--3217.12</f>
        <v>3217.12</v>
      </c>
      <c r="U114" s="2"/>
      <c r="V114" s="19">
        <f t="shared" si="85"/>
        <v>9.5051331270251747E-4</v>
      </c>
      <c r="W114" s="2"/>
      <c r="X114" s="2">
        <f t="shared" si="86"/>
        <v>-2523.02</v>
      </c>
      <c r="Y114" s="2"/>
      <c r="Z114" s="19">
        <f t="shared" si="87"/>
        <v>-0.78424802307654051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10"/>
      <c r="B116" s="28" t="s">
        <v>3</v>
      </c>
      <c r="C116" s="28"/>
      <c r="D116" s="21">
        <f>+D58-D60+D111</f>
        <v>11081.450000000012</v>
      </c>
      <c r="E116" s="14"/>
      <c r="F116" s="22">
        <f>IF(D$12=0,0,D116/D$12)</f>
        <v>0.25970886414738314</v>
      </c>
      <c r="G116" s="14"/>
      <c r="H116" s="21">
        <f>+H58-H60+H111</f>
        <v>-42181.570000000007</v>
      </c>
      <c r="I116" s="14"/>
      <c r="J116" s="22">
        <f>IF(H$12=0,0,H116/H$12)</f>
        <v>-0.72417111845937554</v>
      </c>
      <c r="K116" s="16"/>
      <c r="L116" s="21">
        <f>+D116-H116</f>
        <v>53263.020000000019</v>
      </c>
      <c r="M116" s="16"/>
      <c r="N116" s="22">
        <f>IF(H116=0,0,L116/H116)</f>
        <v>-1.2627083344692958</v>
      </c>
      <c r="O116" s="29"/>
      <c r="P116" s="21">
        <f>+P58-P60+P111</f>
        <v>742958.0200000006</v>
      </c>
      <c r="Q116" s="14"/>
      <c r="R116" s="22">
        <f>IF(P$12=0,0,P116/P$12)</f>
        <v>0.25955813428769314</v>
      </c>
      <c r="S116" s="14"/>
      <c r="T116" s="21">
        <f>+T58-T60+T111</f>
        <v>705203.80000000051</v>
      </c>
      <c r="U116" s="14"/>
      <c r="V116" s="22">
        <f>IF(T$12=0,0,T116/T$12)</f>
        <v>0.20835579651004754</v>
      </c>
      <c r="W116" s="16"/>
      <c r="X116" s="21">
        <f>+P116-T116</f>
        <v>37754.220000000088</v>
      </c>
      <c r="Y116" s="16"/>
      <c r="Z116" s="22">
        <f>IF(T116=0,0,X116/T116)</f>
        <v>5.3536608849810596E-2</v>
      </c>
    </row>
    <row r="117" spans="1:26" x14ac:dyDescent="0.25">
      <c r="A117" s="9"/>
      <c r="B117" s="10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51"/>
      <c r="B118" s="10" t="s">
        <v>13</v>
      </c>
      <c r="C118" s="10"/>
      <c r="D118" s="4">
        <v>-14739.98</v>
      </c>
      <c r="E118" s="4"/>
      <c r="F118" s="12">
        <f>IF(D$12=0,0,D118/D$12)</f>
        <v>-0.3454514944664408</v>
      </c>
      <c r="G118" s="4"/>
      <c r="H118" s="4">
        <v>15304.230000000001</v>
      </c>
      <c r="I118" s="4"/>
      <c r="J118" s="12">
        <f>IF(H$12=0,0,H118/H$12)</f>
        <v>0.26274226768371894</v>
      </c>
      <c r="K118" s="4"/>
      <c r="L118" s="4">
        <f>+D118-H118</f>
        <v>-30044.21</v>
      </c>
      <c r="M118" s="4"/>
      <c r="N118" s="12">
        <f>IF(H118=0,0,L118/H118)</f>
        <v>-1.9631311081968839</v>
      </c>
      <c r="O118" s="10"/>
      <c r="P118" s="4">
        <v>288136.03000000003</v>
      </c>
      <c r="Q118" s="4"/>
      <c r="R118" s="12">
        <f>IF(P$12=0,0,P118/P$12)</f>
        <v>0.10066255206163967</v>
      </c>
      <c r="S118" s="4"/>
      <c r="T118" s="4">
        <v>310842.16000000003</v>
      </c>
      <c r="U118" s="4"/>
      <c r="V118" s="12">
        <f>IF(T$12=0,0,T118/T$12)</f>
        <v>9.1839785655867992E-2</v>
      </c>
      <c r="W118" s="4"/>
      <c r="X118" s="4">
        <f>+P118-T118</f>
        <v>-22706.130000000005</v>
      </c>
      <c r="Y118" s="4"/>
      <c r="Z118" s="12">
        <f>IF(T118=0,0,X118/T118)</f>
        <v>-7.3047137492546058E-2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8" t="s">
        <v>4</v>
      </c>
      <c r="C120" s="28"/>
      <c r="D120" s="31">
        <f>+D116-D118</f>
        <v>25821.430000000011</v>
      </c>
      <c r="E120" s="14"/>
      <c r="F120" s="34">
        <f>IF(D$12=0,0,D120/D$12)</f>
        <v>0.60516035861382389</v>
      </c>
      <c r="G120" s="14"/>
      <c r="H120" s="31">
        <f>+H116-H118</f>
        <v>-57485.80000000001</v>
      </c>
      <c r="I120" s="14"/>
      <c r="J120" s="34">
        <f>IF(H$12=0,0,H120/H$12)</f>
        <v>-0.98691338614309443</v>
      </c>
      <c r="K120" s="16"/>
      <c r="L120" s="31">
        <f>D120-H120</f>
        <v>83307.230000000025</v>
      </c>
      <c r="M120" s="16"/>
      <c r="N120" s="34">
        <f>IF(H120=0,0,L120/H120)</f>
        <v>-1.4491792755776212</v>
      </c>
      <c r="O120" s="29"/>
      <c r="P120" s="31">
        <f>+P116-P118</f>
        <v>454821.99000000057</v>
      </c>
      <c r="Q120" s="14"/>
      <c r="R120" s="34">
        <f>IF(P$12=0,0,P120/P$12)</f>
        <v>0.15889558222605346</v>
      </c>
      <c r="S120" s="14"/>
      <c r="T120" s="31">
        <f>+T116-T118</f>
        <v>394361.64000000048</v>
      </c>
      <c r="U120" s="14"/>
      <c r="V120" s="34">
        <f>IF(T$12=0,0,T120/T$12)</f>
        <v>0.11651601085417955</v>
      </c>
      <c r="W120" s="16"/>
      <c r="X120" s="31">
        <f>P120-T120</f>
        <v>60460.350000000093</v>
      </c>
      <c r="Y120" s="16"/>
      <c r="Z120" s="34">
        <f>IF(T120=0,0,X120/T120)</f>
        <v>0.15331194484331695</v>
      </c>
    </row>
    <row r="121" spans="1:26" ht="15.75" thickTop="1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8" t="s">
        <v>5</v>
      </c>
      <c r="C123" s="28"/>
      <c r="D123" s="36">
        <f>SUM(D120:D122)</f>
        <v>25821.430000000011</v>
      </c>
      <c r="E123" s="14"/>
      <c r="F123" s="33">
        <f>IF(D$12=0,0,D123/D$12)</f>
        <v>0.60516035861382389</v>
      </c>
      <c r="G123" s="14"/>
      <c r="H123" s="36">
        <f>SUM(H120:H122)</f>
        <v>-57485.80000000001</v>
      </c>
      <c r="I123" s="14"/>
      <c r="J123" s="33">
        <f>IF(H$12=0,0,H123/H$12)</f>
        <v>-0.98691338614309443</v>
      </c>
      <c r="K123" s="16"/>
      <c r="L123" s="36">
        <f>+D123-H123</f>
        <v>83307.230000000025</v>
      </c>
      <c r="M123" s="16"/>
      <c r="N123" s="33">
        <f>IF(H123=0,0,L123/H123)</f>
        <v>-1.4491792755776212</v>
      </c>
      <c r="O123" s="29"/>
      <c r="P123" s="36">
        <f>SUM(P120:P122)</f>
        <v>454821.99000000057</v>
      </c>
      <c r="Q123" s="14"/>
      <c r="R123" s="33">
        <f>IF(P$12=0,0,P123/P$12)</f>
        <v>0.15889558222605346</v>
      </c>
      <c r="S123" s="14"/>
      <c r="T123" s="36">
        <f>SUM(T120:T122)</f>
        <v>394361.64000000048</v>
      </c>
      <c r="U123" s="14"/>
      <c r="V123" s="33">
        <f>IF(T$12=0,0,T123/T$12)</f>
        <v>0.11651601085417955</v>
      </c>
      <c r="W123" s="16"/>
      <c r="X123" s="36">
        <f>+P123-T123</f>
        <v>60460.350000000093</v>
      </c>
      <c r="Y123" s="16"/>
      <c r="Z123" s="33">
        <f>IF(T123=0,0,X123/T123)</f>
        <v>0.15331194484331695</v>
      </c>
    </row>
    <row r="124" spans="1:26" ht="15.75" thickTop="1" x14ac:dyDescent="0.25">
      <c r="A124" s="9"/>
      <c r="C124" s="9"/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61">
        <v>43791.354832372686</v>
      </c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56" t="s">
        <v>313</v>
      </c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A127" s="9"/>
      <c r="B127" s="57"/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","311", " - ", "Textbooks")</f>
        <v>Department 311 - Textbooks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31429.559999999998</v>
      </c>
      <c r="E12" s="4"/>
      <c r="F12" s="12"/>
      <c r="G12" s="4"/>
      <c r="H12" s="4">
        <f>SUM(OSRRefH13x_0)</f>
        <v>43506.380000000012</v>
      </c>
      <c r="I12" s="4"/>
      <c r="J12" s="12"/>
      <c r="K12" s="4"/>
      <c r="L12" s="4">
        <f t="shared" ref="L12:L38" si="0">+D12-H12</f>
        <v>-12076.820000000014</v>
      </c>
      <c r="M12" s="4"/>
      <c r="N12" s="12">
        <f t="shared" ref="N12:N38" si="1">IF(H12=0,0,L12/H12)</f>
        <v>-0.2775873331681471</v>
      </c>
      <c r="O12" s="10"/>
      <c r="P12" s="4">
        <f>SUM(OSRRefP13x_0)</f>
        <v>1961109.7500000002</v>
      </c>
      <c r="Q12" s="4"/>
      <c r="R12" s="12"/>
      <c r="S12" s="4"/>
      <c r="T12" s="4">
        <f>SUM(OSRRefT13x_0)</f>
        <v>2307724.3900000011</v>
      </c>
      <c r="U12" s="4"/>
      <c r="V12" s="12"/>
      <c r="W12" s="4"/>
      <c r="X12" s="4">
        <f t="shared" ref="X12:X38" si="2">+P12-T12</f>
        <v>-346614.64000000083</v>
      </c>
      <c r="Y12" s="4"/>
      <c r="Z12" s="12">
        <f t="shared" ref="Z12:Z38" si="3">IF(T12=0,0,X12/T12)</f>
        <v>-0.15019758923638218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--26539.62</f>
        <v>26539.62</v>
      </c>
      <c r="E13" s="2"/>
      <c r="F13" s="19"/>
      <c r="G13" s="2"/>
      <c r="H13" s="2">
        <f>--41940.23</f>
        <v>41940.230000000003</v>
      </c>
      <c r="I13" s="2"/>
      <c r="J13" s="19"/>
      <c r="K13" s="2"/>
      <c r="L13" s="2">
        <f t="shared" si="0"/>
        <v>-15400.610000000004</v>
      </c>
      <c r="M13" s="2"/>
      <c r="N13" s="19">
        <f t="shared" si="1"/>
        <v>-0.36720375639332459</v>
      </c>
      <c r="O13" s="11"/>
      <c r="P13" s="2">
        <f>--1238789.43</f>
        <v>1238789.43</v>
      </c>
      <c r="Q13" s="2"/>
      <c r="R13" s="19"/>
      <c r="S13" s="2"/>
      <c r="T13" s="2">
        <f>--1531414.2</f>
        <v>1531414.2</v>
      </c>
      <c r="U13" s="2"/>
      <c r="V13" s="19"/>
      <c r="W13" s="2"/>
      <c r="X13" s="2">
        <f t="shared" si="2"/>
        <v>-292624.77</v>
      </c>
      <c r="Y13" s="2"/>
      <c r="Z13" s="19">
        <f t="shared" si="3"/>
        <v>-0.19108140044672436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--6125.2</f>
        <v>6125.2</v>
      </c>
      <c r="E14" s="2"/>
      <c r="F14" s="19"/>
      <c r="G14" s="2"/>
      <c r="H14" s="2">
        <f>--7696.55</f>
        <v>7696.55</v>
      </c>
      <c r="I14" s="2"/>
      <c r="J14" s="19"/>
      <c r="K14" s="2"/>
      <c r="L14" s="2">
        <f t="shared" si="0"/>
        <v>-1571.3500000000004</v>
      </c>
      <c r="M14" s="2"/>
      <c r="N14" s="19">
        <f t="shared" si="1"/>
        <v>-0.2041629041583567</v>
      </c>
      <c r="O14" s="11"/>
      <c r="P14" s="2">
        <f>--356762.65</f>
        <v>356762.65</v>
      </c>
      <c r="Q14" s="2"/>
      <c r="R14" s="19"/>
      <c r="S14" s="2"/>
      <c r="T14" s="2">
        <f>--361434.4</f>
        <v>361434.4</v>
      </c>
      <c r="U14" s="2"/>
      <c r="V14" s="19"/>
      <c r="W14" s="2"/>
      <c r="X14" s="2">
        <f t="shared" si="2"/>
        <v>-4671.75</v>
      </c>
      <c r="Y14" s="2"/>
      <c r="Z14" s="19">
        <f t="shared" si="3"/>
        <v>-1.2925582069664647E-2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--307.97</f>
        <v>307.97000000000003</v>
      </c>
      <c r="E15" s="2"/>
      <c r="F15" s="19"/>
      <c r="G15" s="2"/>
      <c r="H15" s="2">
        <f>--85</f>
        <v>85</v>
      </c>
      <c r="I15" s="2"/>
      <c r="J15" s="19"/>
      <c r="K15" s="2"/>
      <c r="L15" s="2">
        <f t="shared" si="0"/>
        <v>222.97000000000003</v>
      </c>
      <c r="M15" s="2"/>
      <c r="N15" s="19">
        <f t="shared" si="1"/>
        <v>2.6231764705882354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--460.04</f>
        <v>460.04</v>
      </c>
      <c r="E16" s="2"/>
      <c r="F16" s="19"/>
      <c r="G16" s="2"/>
      <c r="H16" s="2">
        <f>--180.48</f>
        <v>180.48</v>
      </c>
      <c r="I16" s="2"/>
      <c r="J16" s="19"/>
      <c r="K16" s="2"/>
      <c r="L16" s="2">
        <f t="shared" si="0"/>
        <v>279.56000000000006</v>
      </c>
      <c r="M16" s="2"/>
      <c r="N16" s="19">
        <f t="shared" si="1"/>
        <v>1.5489804964539011</v>
      </c>
      <c r="O16" s="11"/>
      <c r="P16" s="2">
        <f>--30160.48</f>
        <v>30160.48</v>
      </c>
      <c r="Q16" s="2"/>
      <c r="R16" s="19"/>
      <c r="S16" s="2"/>
      <c r="T16" s="2">
        <f>--42280.28</f>
        <v>42280.28</v>
      </c>
      <c r="U16" s="2"/>
      <c r="V16" s="19"/>
      <c r="W16" s="2"/>
      <c r="X16" s="2">
        <f t="shared" si="2"/>
        <v>-12119.8</v>
      </c>
      <c r="Y16" s="2"/>
      <c r="Z16" s="19">
        <f t="shared" si="3"/>
        <v>-0.2866537307699949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--5.23</f>
        <v>5.23</v>
      </c>
      <c r="I17" s="2"/>
      <c r="J17" s="19"/>
      <c r="K17" s="2"/>
      <c r="L17" s="2">
        <f t="shared" si="0"/>
        <v>-5.23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--5.23</f>
        <v>5.23</v>
      </c>
      <c r="U17" s="2"/>
      <c r="V17" s="19"/>
      <c r="W17" s="2"/>
      <c r="X17" s="2">
        <f t="shared" si="2"/>
        <v>4.3699999999999992</v>
      </c>
      <c r="Y17" s="2"/>
      <c r="Z17" s="19">
        <f t="shared" si="3"/>
        <v>0.83556405353728469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--686.63</f>
        <v>686.63</v>
      </c>
      <c r="E18" s="2"/>
      <c r="F18" s="19"/>
      <c r="G18" s="2"/>
      <c r="H18" s="2">
        <f>--735.51</f>
        <v>735.51</v>
      </c>
      <c r="I18" s="2"/>
      <c r="J18" s="19"/>
      <c r="K18" s="2"/>
      <c r="L18" s="2">
        <f t="shared" si="0"/>
        <v>-48.879999999999995</v>
      </c>
      <c r="M18" s="2"/>
      <c r="N18" s="19">
        <f t="shared" si="1"/>
        <v>-6.6457288140202034E-2</v>
      </c>
      <c r="O18" s="11"/>
      <c r="P18" s="2">
        <f>--827.39</f>
        <v>827.39</v>
      </c>
      <c r="Q18" s="2"/>
      <c r="R18" s="19"/>
      <c r="S18" s="2"/>
      <c r="T18" s="2">
        <f>--2008.49</f>
        <v>2008.49</v>
      </c>
      <c r="U18" s="2"/>
      <c r="V18" s="19"/>
      <c r="W18" s="2"/>
      <c r="X18" s="2">
        <f t="shared" si="2"/>
        <v>-1181.0999999999999</v>
      </c>
      <c r="Y18" s="2"/>
      <c r="Z18" s="19">
        <f t="shared" si="3"/>
        <v>-0.58805371199259138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--171.13</f>
        <v>171.13</v>
      </c>
      <c r="E19" s="2"/>
      <c r="F19" s="19"/>
      <c r="G19" s="2"/>
      <c r="H19" s="2">
        <f>--228.75</f>
        <v>228.75</v>
      </c>
      <c r="I19" s="2"/>
      <c r="J19" s="19"/>
      <c r="K19" s="2"/>
      <c r="L19" s="2">
        <f t="shared" si="0"/>
        <v>-57.620000000000005</v>
      </c>
      <c r="M19" s="2"/>
      <c r="N19" s="19">
        <f t="shared" si="1"/>
        <v>-0.25189071038251371</v>
      </c>
      <c r="O19" s="11"/>
      <c r="P19" s="2">
        <f>--694.22</f>
        <v>694.22</v>
      </c>
      <c r="Q19" s="2"/>
      <c r="R19" s="19"/>
      <c r="S19" s="2"/>
      <c r="T19" s="2">
        <f>--816.62</f>
        <v>816.62</v>
      </c>
      <c r="U19" s="2"/>
      <c r="V19" s="19"/>
      <c r="W19" s="2"/>
      <c r="X19" s="2">
        <f t="shared" si="2"/>
        <v>-122.39999999999998</v>
      </c>
      <c r="Y19" s="2"/>
      <c r="Z19" s="19">
        <f t="shared" si="3"/>
        <v>-0.14988611594131906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--394.68</f>
        <v>394.68</v>
      </c>
      <c r="E20" s="2"/>
      <c r="F20" s="19"/>
      <c r="G20" s="2"/>
      <c r="H20" s="2">
        <f>--603.17</f>
        <v>603.16999999999996</v>
      </c>
      <c r="I20" s="2"/>
      <c r="J20" s="19"/>
      <c r="K20" s="2"/>
      <c r="L20" s="2">
        <f t="shared" si="0"/>
        <v>-208.48999999999995</v>
      </c>
      <c r="M20" s="2"/>
      <c r="N20" s="19">
        <f t="shared" si="1"/>
        <v>-0.34565711159374629</v>
      </c>
      <c r="O20" s="11"/>
      <c r="P20" s="2">
        <f>--2454.83</f>
        <v>2454.83</v>
      </c>
      <c r="Q20" s="2"/>
      <c r="R20" s="19"/>
      <c r="S20" s="2"/>
      <c r="T20" s="2">
        <f>--3429.78</f>
        <v>3429.78</v>
      </c>
      <c r="U20" s="2"/>
      <c r="V20" s="19"/>
      <c r="W20" s="2"/>
      <c r="X20" s="2">
        <f t="shared" si="2"/>
        <v>-974.95000000000027</v>
      </c>
      <c r="Y20" s="2"/>
      <c r="Z20" s="19">
        <f t="shared" si="3"/>
        <v>-0.28426021494090004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--8438.54</f>
        <v>8438.5400000000009</v>
      </c>
      <c r="E21" s="2"/>
      <c r="F21" s="19"/>
      <c r="G21" s="2"/>
      <c r="H21" s="2">
        <f>--6989.58</f>
        <v>6989.58</v>
      </c>
      <c r="I21" s="2"/>
      <c r="J21" s="19"/>
      <c r="K21" s="2"/>
      <c r="L21" s="2">
        <f t="shared" si="0"/>
        <v>1448.9600000000009</v>
      </c>
      <c r="M21" s="2"/>
      <c r="N21" s="19">
        <f t="shared" si="1"/>
        <v>0.20730287084488638</v>
      </c>
      <c r="O21" s="11"/>
      <c r="P21" s="2">
        <f>--92331.09</f>
        <v>92331.09</v>
      </c>
      <c r="Q21" s="2"/>
      <c r="R21" s="19"/>
      <c r="S21" s="2"/>
      <c r="T21" s="2">
        <f>--148009.28</f>
        <v>148009.28</v>
      </c>
      <c r="U21" s="2"/>
      <c r="V21" s="19"/>
      <c r="W21" s="2"/>
      <c r="X21" s="2">
        <f t="shared" si="2"/>
        <v>-55678.19</v>
      </c>
      <c r="Y21" s="2"/>
      <c r="Z21" s="19">
        <f t="shared" si="3"/>
        <v>-0.37618039895876804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--578.81</f>
        <v>578.80999999999995</v>
      </c>
      <c r="E22" s="2"/>
      <c r="F22" s="19"/>
      <c r="G22" s="2"/>
      <c r="H22" s="2">
        <f>--1243.24</f>
        <v>1243.24</v>
      </c>
      <c r="I22" s="2"/>
      <c r="J22" s="19"/>
      <c r="K22" s="2"/>
      <c r="L22" s="2">
        <f t="shared" si="0"/>
        <v>-664.43000000000006</v>
      </c>
      <c r="M22" s="2"/>
      <c r="N22" s="19">
        <f t="shared" si="1"/>
        <v>-0.53443422026318332</v>
      </c>
      <c r="O22" s="11"/>
      <c r="P22" s="2">
        <f>--37022.32</f>
        <v>37022.32</v>
      </c>
      <c r="Q22" s="2"/>
      <c r="R22" s="19"/>
      <c r="S22" s="2"/>
      <c r="T22" s="2">
        <f>--50495.17</f>
        <v>50495.17</v>
      </c>
      <c r="U22" s="2"/>
      <c r="V22" s="19"/>
      <c r="W22" s="2"/>
      <c r="X22" s="2">
        <f t="shared" si="2"/>
        <v>-13472.849999999999</v>
      </c>
      <c r="Y22" s="2"/>
      <c r="Z22" s="19">
        <f t="shared" si="3"/>
        <v>-0.26681462801293665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--329.98</f>
        <v>329.98</v>
      </c>
      <c r="Q23" s="2"/>
      <c r="R23" s="19"/>
      <c r="S23" s="2"/>
      <c r="T23" s="2">
        <f>--509.85</f>
        <v>509.85</v>
      </c>
      <c r="U23" s="2"/>
      <c r="V23" s="19"/>
      <c r="W23" s="2"/>
      <c r="X23" s="2">
        <f t="shared" si="2"/>
        <v>-179.87</v>
      </c>
      <c r="Y23" s="2"/>
      <c r="Z23" s="19">
        <f t="shared" si="3"/>
        <v>-0.35279003628518191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--1559.03</f>
        <v>1559.03</v>
      </c>
      <c r="E24" s="2"/>
      <c r="F24" s="19"/>
      <c r="G24" s="2"/>
      <c r="H24" s="2">
        <f>--2584.6</f>
        <v>2584.6</v>
      </c>
      <c r="I24" s="2"/>
      <c r="J24" s="19"/>
      <c r="K24" s="2"/>
      <c r="L24" s="2">
        <f t="shared" si="0"/>
        <v>-1025.57</v>
      </c>
      <c r="M24" s="2"/>
      <c r="N24" s="19">
        <f t="shared" si="1"/>
        <v>-0.39680027857308675</v>
      </c>
      <c r="O24" s="11"/>
      <c r="P24" s="2">
        <f>--320492.85</f>
        <v>320492.84999999998</v>
      </c>
      <c r="Q24" s="2"/>
      <c r="R24" s="19"/>
      <c r="S24" s="2"/>
      <c r="T24" s="2">
        <f>--337326.13</f>
        <v>337326.13</v>
      </c>
      <c r="U24" s="2"/>
      <c r="V24" s="19"/>
      <c r="W24" s="2"/>
      <c r="X24" s="2">
        <f t="shared" si="2"/>
        <v>-16833.280000000028</v>
      </c>
      <c r="Y24" s="2"/>
      <c r="Z24" s="19">
        <f t="shared" si="3"/>
        <v>-4.9902093265054882E-2</v>
      </c>
    </row>
    <row r="25" spans="1:26" s="24" customFormat="1" hidden="1" outlineLevel="1" x14ac:dyDescent="0.25">
      <c r="A25" s="44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--757.3</f>
        <v>757.3</v>
      </c>
      <c r="E25" s="2"/>
      <c r="F25" s="19"/>
      <c r="G25" s="2"/>
      <c r="H25" s="2">
        <f>--1124.17</f>
        <v>1124.17</v>
      </c>
      <c r="I25" s="2"/>
      <c r="J25" s="19"/>
      <c r="K25" s="2"/>
      <c r="L25" s="2">
        <f t="shared" si="0"/>
        <v>-366.87000000000012</v>
      </c>
      <c r="M25" s="2"/>
      <c r="N25" s="19">
        <f t="shared" si="1"/>
        <v>-0.32634743855466708</v>
      </c>
      <c r="O25" s="11"/>
      <c r="P25" s="2">
        <f>--7099.47</f>
        <v>7099.47</v>
      </c>
      <c r="Q25" s="2"/>
      <c r="R25" s="19"/>
      <c r="S25" s="2"/>
      <c r="T25" s="2">
        <f>--9713.91</f>
        <v>9713.91</v>
      </c>
      <c r="U25" s="2"/>
      <c r="V25" s="19"/>
      <c r="W25" s="2"/>
      <c r="X25" s="2">
        <f t="shared" si="2"/>
        <v>-2614.4399999999996</v>
      </c>
      <c r="Y25" s="2"/>
      <c r="Z25" s="19">
        <f t="shared" si="3"/>
        <v>-0.26914393894940347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ref="D26:D27" si="4">0</f>
        <v>0</v>
      </c>
      <c r="E26" s="2"/>
      <c r="F26" s="19"/>
      <c r="G26" s="2"/>
      <c r="H26" s="2">
        <f t="shared" ref="H26:H27" si="5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--1146.72</f>
        <v>1146.72</v>
      </c>
      <c r="Q26" s="2"/>
      <c r="R26" s="19"/>
      <c r="S26" s="2"/>
      <c r="T26" s="2">
        <f>--38.23</f>
        <v>38.229999999999997</v>
      </c>
      <c r="U26" s="2"/>
      <c r="V26" s="19"/>
      <c r="W26" s="2"/>
      <c r="X26" s="2">
        <f t="shared" si="2"/>
        <v>1108.49</v>
      </c>
      <c r="Y26" s="2"/>
      <c r="Z26" s="19">
        <f t="shared" si="3"/>
        <v>28.995291655767723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 t="shared" si="4"/>
        <v>0</v>
      </c>
      <c r="E27" s="2"/>
      <c r="F27" s="19"/>
      <c r="G27" s="2"/>
      <c r="H27" s="2">
        <f t="shared" si="5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--20.92</f>
        <v>20.92</v>
      </c>
      <c r="Q27" s="2"/>
      <c r="R27" s="19"/>
      <c r="S27" s="2"/>
      <c r="T27" s="2">
        <f>--111.41</f>
        <v>111.41</v>
      </c>
      <c r="U27" s="2"/>
      <c r="V27" s="19"/>
      <c r="W27" s="2"/>
      <c r="X27" s="2">
        <f t="shared" si="2"/>
        <v>-90.49</v>
      </c>
      <c r="Y27" s="2"/>
      <c r="Z27" s="19">
        <f t="shared" si="3"/>
        <v>-0.81222511444215062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-4543.92</f>
        <v>-4543.92</v>
      </c>
      <c r="E28" s="2"/>
      <c r="F28" s="19"/>
      <c r="G28" s="2"/>
      <c r="H28" s="2">
        <f>-12940.45</f>
        <v>-12940.45</v>
      </c>
      <c r="I28" s="2"/>
      <c r="J28" s="19"/>
      <c r="K28" s="2"/>
      <c r="L28" s="2">
        <f t="shared" si="0"/>
        <v>8396.5300000000007</v>
      </c>
      <c r="M28" s="2"/>
      <c r="N28" s="19">
        <f t="shared" si="1"/>
        <v>-0.64885919732312247</v>
      </c>
      <c r="O28" s="11"/>
      <c r="P28" s="2">
        <f>-77783.67</f>
        <v>-77783.67</v>
      </c>
      <c r="Q28" s="2"/>
      <c r="R28" s="19"/>
      <c r="S28" s="2"/>
      <c r="T28" s="2">
        <f>-111732.67</f>
        <v>-111732.67</v>
      </c>
      <c r="U28" s="2"/>
      <c r="V28" s="19"/>
      <c r="W28" s="2"/>
      <c r="X28" s="2">
        <f t="shared" si="2"/>
        <v>33949</v>
      </c>
      <c r="Y28" s="2"/>
      <c r="Z28" s="19">
        <f t="shared" si="3"/>
        <v>-0.30384130263780507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-3577.9</f>
        <v>-3577.9</v>
      </c>
      <c r="E29" s="2"/>
      <c r="F29" s="19"/>
      <c r="G29" s="2"/>
      <c r="H29" s="2">
        <f>-2444</f>
        <v>-2444</v>
      </c>
      <c r="I29" s="2"/>
      <c r="J29" s="19"/>
      <c r="K29" s="2"/>
      <c r="L29" s="2">
        <f t="shared" si="0"/>
        <v>-1133.9000000000001</v>
      </c>
      <c r="M29" s="2"/>
      <c r="N29" s="19">
        <f t="shared" si="1"/>
        <v>0.4639525368248773</v>
      </c>
      <c r="O29" s="11"/>
      <c r="P29" s="2">
        <f>-26929</f>
        <v>-26929</v>
      </c>
      <c r="Q29" s="2"/>
      <c r="R29" s="19"/>
      <c r="S29" s="2"/>
      <c r="T29" s="2">
        <f>-29099.65</f>
        <v>-29099.65</v>
      </c>
      <c r="U29" s="2"/>
      <c r="V29" s="19"/>
      <c r="W29" s="2"/>
      <c r="X29" s="2">
        <f t="shared" si="2"/>
        <v>2170.6500000000015</v>
      </c>
      <c r="Y29" s="2"/>
      <c r="Z29" s="19">
        <f t="shared" si="3"/>
        <v>-7.4593680680008226E-2</v>
      </c>
    </row>
    <row r="30" spans="1:26" s="24" customFormat="1" hidden="1" outlineLevel="1" x14ac:dyDescent="0.25">
      <c r="A30" s="44"/>
      <c r="B30" s="11" t="str">
        <f>CONCATENATE("          ", "4203", " - ", "SALES RETURN TAXABLE-RENTAL TE")</f>
        <v xml:space="preserve">          4203 - SALES RETURN TAXABLE-RENTAL TE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-144.99</f>
        <v>-144.99</v>
      </c>
      <c r="Q30" s="2"/>
      <c r="R30" s="19"/>
      <c r="S30" s="2"/>
      <c r="T30" s="2">
        <f>-1529.55</f>
        <v>-1529.55</v>
      </c>
      <c r="U30" s="2"/>
      <c r="V30" s="19"/>
      <c r="W30" s="2"/>
      <c r="X30" s="2">
        <f t="shared" si="2"/>
        <v>1384.56</v>
      </c>
      <c r="Y30" s="2"/>
      <c r="Z30" s="19">
        <f t="shared" si="3"/>
        <v>-0.90520741394527804</v>
      </c>
    </row>
    <row r="31" spans="1:26" s="24" customFormat="1" hidden="1" outlineLevel="1" x14ac:dyDescent="0.25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>-193.34</f>
        <v>-193.34</v>
      </c>
      <c r="E31" s="2"/>
      <c r="F31" s="19"/>
      <c r="G31" s="2"/>
      <c r="H31" s="2">
        <f>-358.14</f>
        <v>-358.14</v>
      </c>
      <c r="I31" s="2"/>
      <c r="J31" s="19"/>
      <c r="K31" s="2"/>
      <c r="L31" s="2">
        <f t="shared" si="0"/>
        <v>164.79999999999998</v>
      </c>
      <c r="M31" s="2"/>
      <c r="N31" s="19">
        <f t="shared" si="1"/>
        <v>-0.46015524655162782</v>
      </c>
      <c r="O31" s="11"/>
      <c r="P31" s="2">
        <f>-11250.06</f>
        <v>-11250.06</v>
      </c>
      <c r="Q31" s="2"/>
      <c r="R31" s="19"/>
      <c r="S31" s="2"/>
      <c r="T31" s="2">
        <f>-15499.78</f>
        <v>-15499.78</v>
      </c>
      <c r="U31" s="2"/>
      <c r="V31" s="19"/>
      <c r="W31" s="2"/>
      <c r="X31" s="2">
        <f t="shared" si="2"/>
        <v>4249.7200000000012</v>
      </c>
      <c r="Y31" s="2"/>
      <c r="Z31" s="19">
        <f t="shared" si="3"/>
        <v>-0.27417937544920001</v>
      </c>
    </row>
    <row r="32" spans="1:26" s="24" customFormat="1" hidden="1" outlineLevel="1" x14ac:dyDescent="0.25">
      <c r="A32" s="44"/>
      <c r="B32" s="11" t="str">
        <f>CONCATENATE("          ", "4213", " - ", "NON-TAXABLE SALES-TRADE BOOKS")</f>
        <v xml:space="preserve">          4213 - NON-TAXABLE SALES-TRADE BOOKS</v>
      </c>
      <c r="C32" s="11"/>
      <c r="D32" s="2">
        <f>-35.37</f>
        <v>-35.369999999999997</v>
      </c>
      <c r="E32" s="2"/>
      <c r="F32" s="19"/>
      <c r="G32" s="2"/>
      <c r="H32" s="2">
        <f t="shared" ref="H32:H33" si="6">0</f>
        <v>0</v>
      </c>
      <c r="I32" s="2"/>
      <c r="J32" s="19"/>
      <c r="K32" s="2"/>
      <c r="L32" s="2">
        <f t="shared" si="0"/>
        <v>-35.369999999999997</v>
      </c>
      <c r="M32" s="2"/>
      <c r="N32" s="19">
        <f t="shared" si="1"/>
        <v>0</v>
      </c>
      <c r="O32" s="11"/>
      <c r="P32" s="2">
        <f>-35.37</f>
        <v>-35.369999999999997</v>
      </c>
      <c r="Q32" s="2"/>
      <c r="R32" s="19"/>
      <c r="S32" s="2"/>
      <c r="T32" s="2">
        <f>-15</f>
        <v>-15</v>
      </c>
      <c r="U32" s="2"/>
      <c r="V32" s="19"/>
      <c r="W32" s="2"/>
      <c r="X32" s="2">
        <f t="shared" si="2"/>
        <v>-20.369999999999997</v>
      </c>
      <c r="Y32" s="2"/>
      <c r="Z32" s="19">
        <f t="shared" si="3"/>
        <v>1.3579999999999999</v>
      </c>
    </row>
    <row r="33" spans="1:26" s="24" customFormat="1" hidden="1" outlineLevel="1" x14ac:dyDescent="0.25">
      <c r="A33" s="44"/>
      <c r="B33" s="11" t="str">
        <f>CONCATENATE("          ", "4218", " - ", "SALES RETURN TAXABLE-STUDY GUI")</f>
        <v xml:space="preserve">          4218 - SALES RETURN TAXABLE-STUDY GUI</v>
      </c>
      <c r="C33" s="11"/>
      <c r="D33" s="2">
        <f>0</f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-32.75</f>
        <v>-32.75</v>
      </c>
      <c r="Q33" s="2"/>
      <c r="R33" s="19"/>
      <c r="S33" s="2"/>
      <c r="T33" s="2">
        <f>-22.9</f>
        <v>-22.9</v>
      </c>
      <c r="U33" s="2"/>
      <c r="V33" s="19"/>
      <c r="W33" s="2"/>
      <c r="X33" s="2">
        <f t="shared" si="2"/>
        <v>-9.8500000000000014</v>
      </c>
      <c r="Y33" s="2"/>
      <c r="Z33" s="19">
        <f t="shared" si="3"/>
        <v>0.43013100436681234</v>
      </c>
    </row>
    <row r="34" spans="1:26" s="24" customFormat="1" hidden="1" outlineLevel="1" x14ac:dyDescent="0.25">
      <c r="A34" s="44"/>
      <c r="B34" s="11" t="str">
        <f>CONCATENATE("          ", "4301", " - ", "SALES RETURN NON TAXABLE-NEW T")</f>
        <v xml:space="preserve">          4301 - SALES RETURN NON TAXABLE-NEW T</v>
      </c>
      <c r="C34" s="11"/>
      <c r="D34" s="2">
        <f>-5585.76</f>
        <v>-5585.76</v>
      </c>
      <c r="E34" s="2"/>
      <c r="F34" s="19"/>
      <c r="G34" s="2"/>
      <c r="H34" s="2">
        <f>-3879.18</f>
        <v>-3879.18</v>
      </c>
      <c r="I34" s="2"/>
      <c r="J34" s="19"/>
      <c r="K34" s="2"/>
      <c r="L34" s="2">
        <f t="shared" si="0"/>
        <v>-1706.5800000000004</v>
      </c>
      <c r="M34" s="2"/>
      <c r="N34" s="19">
        <f t="shared" si="1"/>
        <v>0.43993318175490709</v>
      </c>
      <c r="O34" s="11"/>
      <c r="P34" s="2">
        <f>-12310.98</f>
        <v>-12310.98</v>
      </c>
      <c r="Q34" s="2"/>
      <c r="R34" s="19"/>
      <c r="S34" s="2"/>
      <c r="T34" s="2">
        <f>-24921.37</f>
        <v>-24921.37</v>
      </c>
      <c r="U34" s="2"/>
      <c r="V34" s="19"/>
      <c r="W34" s="2"/>
      <c r="X34" s="2">
        <f t="shared" si="2"/>
        <v>12610.39</v>
      </c>
      <c r="Y34" s="2"/>
      <c r="Z34" s="19">
        <f t="shared" si="3"/>
        <v>-0.50600709351050921</v>
      </c>
    </row>
    <row r="35" spans="1:26" s="24" customFormat="1" hidden="1" outlineLevel="1" x14ac:dyDescent="0.25">
      <c r="A35" s="44"/>
      <c r="B35" s="11" t="str">
        <f>CONCATENATE("          ", "4302", " - ", "SALES RETURN NON TAXABLE-TEXT")</f>
        <v xml:space="preserve">          4302 - SALES RETURN NON TAXABLE-TEXT</v>
      </c>
      <c r="C35" s="11"/>
      <c r="D35" s="2">
        <f>-35.1</f>
        <v>-35.1</v>
      </c>
      <c r="E35" s="2"/>
      <c r="F35" s="19"/>
      <c r="G35" s="2"/>
      <c r="H35" s="2">
        <f>-60</f>
        <v>-60</v>
      </c>
      <c r="I35" s="2"/>
      <c r="J35" s="19"/>
      <c r="K35" s="2"/>
      <c r="L35" s="2">
        <f t="shared" si="0"/>
        <v>24.9</v>
      </c>
      <c r="M35" s="2"/>
      <c r="N35" s="19">
        <f t="shared" si="1"/>
        <v>-0.41499999999999998</v>
      </c>
      <c r="O35" s="11"/>
      <c r="P35" s="2">
        <f>-683.8</f>
        <v>-683.8</v>
      </c>
      <c r="Q35" s="2"/>
      <c r="R35" s="19"/>
      <c r="S35" s="2"/>
      <c r="T35" s="2">
        <f>-2152.04</f>
        <v>-2152.04</v>
      </c>
      <c r="U35" s="2"/>
      <c r="V35" s="19"/>
      <c r="W35" s="2"/>
      <c r="X35" s="2">
        <f t="shared" si="2"/>
        <v>1468.24</v>
      </c>
      <c r="Y35" s="2"/>
      <c r="Z35" s="19">
        <f t="shared" si="3"/>
        <v>-0.68225497667329604</v>
      </c>
    </row>
    <row r="36" spans="1:26" s="24" customFormat="1" hidden="1" outlineLevel="1" x14ac:dyDescent="0.25">
      <c r="A36" s="44"/>
      <c r="B36" s="11" t="str">
        <f>CONCATENATE("          ", "4303", " - ", "SALES RETURN NON-TAXABLE-RENTA")</f>
        <v xml:space="preserve">          4303 - SALES RETURN NON-TAXABLE-RENTA</v>
      </c>
      <c r="C36" s="11"/>
      <c r="D36" s="2">
        <f>0</f>
        <v>0</v>
      </c>
      <c r="E36" s="2"/>
      <c r="F36" s="19"/>
      <c r="G36" s="2"/>
      <c r="H36" s="2">
        <f t="shared" ref="H36:H37" si="7"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-184.99</f>
        <v>-184.99</v>
      </c>
      <c r="Q36" s="2"/>
      <c r="R36" s="19"/>
      <c r="S36" s="2"/>
      <c r="T36" s="2">
        <f>-509.85</f>
        <v>-509.85</v>
      </c>
      <c r="U36" s="2"/>
      <c r="V36" s="19"/>
      <c r="W36" s="2"/>
      <c r="X36" s="2">
        <f t="shared" si="2"/>
        <v>324.86</v>
      </c>
      <c r="Y36" s="2"/>
      <c r="Z36" s="19">
        <f t="shared" si="3"/>
        <v>-0.63716779444934779</v>
      </c>
    </row>
    <row r="37" spans="1:26" s="24" customFormat="1" hidden="1" outlineLevel="1" x14ac:dyDescent="0.25">
      <c r="A37" s="44"/>
      <c r="B37" s="11" t="str">
        <f>CONCATENATE("          ", "4304", " - ", "SALES RETURN NON TAXABLE-DIGIT")</f>
        <v xml:space="preserve">          4304 - SALES RETURN NON TAXABLE-DIGIT</v>
      </c>
      <c r="C37" s="11"/>
      <c r="D37" s="2">
        <f>-617.98</f>
        <v>-617.98</v>
      </c>
      <c r="E37" s="2"/>
      <c r="F37" s="19"/>
      <c r="G37" s="2"/>
      <c r="H37" s="2">
        <f t="shared" si="7"/>
        <v>0</v>
      </c>
      <c r="I37" s="2"/>
      <c r="J37" s="19"/>
      <c r="K37" s="2"/>
      <c r="L37" s="2">
        <f t="shared" si="0"/>
        <v>-617.98</v>
      </c>
      <c r="M37" s="2"/>
      <c r="N37" s="19">
        <f t="shared" si="1"/>
        <v>0</v>
      </c>
      <c r="O37" s="11"/>
      <c r="P37" s="2">
        <f>-13133.29</f>
        <v>-13133.29</v>
      </c>
      <c r="Q37" s="2"/>
      <c r="R37" s="19"/>
      <c r="S37" s="2"/>
      <c r="T37" s="2">
        <f>-3743.75</f>
        <v>-3743.75</v>
      </c>
      <c r="U37" s="2"/>
      <c r="V37" s="19"/>
      <c r="W37" s="2"/>
      <c r="X37" s="2">
        <f t="shared" si="2"/>
        <v>-9389.5400000000009</v>
      </c>
      <c r="Y37" s="2"/>
      <c r="Z37" s="19">
        <f t="shared" si="3"/>
        <v>2.5080574290484141</v>
      </c>
    </row>
    <row r="38" spans="1:26" s="24" customFormat="1" hidden="1" outlineLevel="1" x14ac:dyDescent="0.25">
      <c r="A38" s="44"/>
      <c r="B38" s="11" t="str">
        <f>CONCATENATE("          ", "4311", " - ", "SALES RETURN NON TAXABLE-NO VA")</f>
        <v xml:space="preserve">          4311 - SALES RETURN NON TAXABLE-NO VA</v>
      </c>
      <c r="C38" s="11"/>
      <c r="D38" s="2">
        <f>-0.02</f>
        <v>-0.02</v>
      </c>
      <c r="E38" s="2"/>
      <c r="F38" s="19"/>
      <c r="G38" s="2"/>
      <c r="H38" s="2">
        <f>-228.36</f>
        <v>-228.36</v>
      </c>
      <c r="I38" s="2"/>
      <c r="J38" s="19"/>
      <c r="K38" s="2"/>
      <c r="L38" s="2">
        <f t="shared" si="0"/>
        <v>228.34</v>
      </c>
      <c r="M38" s="2"/>
      <c r="N38" s="19">
        <f t="shared" si="1"/>
        <v>-0.99991241898756344</v>
      </c>
      <c r="O38" s="11"/>
      <c r="P38" s="2">
        <f>-387.96</f>
        <v>-387.96</v>
      </c>
      <c r="Q38" s="2"/>
      <c r="R38" s="19"/>
      <c r="S38" s="2"/>
      <c r="T38" s="2">
        <f>-586.28</f>
        <v>-586.28</v>
      </c>
      <c r="U38" s="2"/>
      <c r="V38" s="19"/>
      <c r="W38" s="2"/>
      <c r="X38" s="2">
        <f t="shared" si="2"/>
        <v>198.32</v>
      </c>
      <c r="Y38" s="2"/>
      <c r="Z38" s="19">
        <f t="shared" si="3"/>
        <v>-0.33826840417547932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9" t="s">
        <v>8</v>
      </c>
      <c r="C40" s="10"/>
      <c r="D40" s="4">
        <f>SUM(OSRRefD16x_0)</f>
        <v>24501.920000000031</v>
      </c>
      <c r="E40" s="4"/>
      <c r="F40" s="12">
        <f t="shared" ref="F40:F55" si="8">IF(D$12=0,0,D40/D$12)</f>
        <v>0.77958202405633525</v>
      </c>
      <c r="G40" s="4"/>
      <c r="H40" s="4">
        <f>SUM(OSRRefH16x_0)</f>
        <v>32056.369999999959</v>
      </c>
      <c r="I40" s="4"/>
      <c r="J40" s="12">
        <f t="shared" ref="J40:J55" si="9">IF(H$12=0,0,H40/H$12)</f>
        <v>0.73681997904675012</v>
      </c>
      <c r="K40" s="4"/>
      <c r="L40" s="4">
        <f t="shared" ref="L40:L55" si="10">+D40-H40</f>
        <v>-7554.449999999928</v>
      </c>
      <c r="M40" s="4"/>
      <c r="N40" s="12">
        <f t="shared" ref="N40:N55" si="11">IF(H40=0,0,L40/H40)</f>
        <v>-0.23566143016192842</v>
      </c>
      <c r="O40" s="10"/>
      <c r="P40" s="4">
        <f>SUM(OSRRefP16x_0)</f>
        <v>1418382.8200000003</v>
      </c>
      <c r="Q40" s="4"/>
      <c r="R40" s="12">
        <f t="shared" ref="R40:R55" si="12">IF(P$12=0,0,P40/P$12)</f>
        <v>0.72325519772669533</v>
      </c>
      <c r="S40" s="4"/>
      <c r="T40" s="4">
        <f>SUM(OSRRefT16x_0)</f>
        <v>1690343.2800000003</v>
      </c>
      <c r="U40" s="4"/>
      <c r="V40" s="12">
        <f t="shared" ref="V40:V55" si="13">IF(T$12=0,0,T40/T$12)</f>
        <v>0.73247190493142011</v>
      </c>
      <c r="W40" s="4"/>
      <c r="X40" s="4">
        <f t="shared" ref="X40:X55" si="14">+P40-T40</f>
        <v>-271960.45999999996</v>
      </c>
      <c r="Y40" s="4"/>
      <c r="Z40" s="12">
        <f t="shared" ref="Z40:Z55" si="15">IF(T40=0,0,X40/T40)</f>
        <v>-0.16089066831442658</v>
      </c>
    </row>
    <row r="41" spans="1:26" s="24" customFormat="1" hidden="1" outlineLevel="1" x14ac:dyDescent="0.25">
      <c r="A41" s="44"/>
      <c r="B41" s="11" t="str">
        <f>CONCATENATE("          ", "5001", " - ", "PURCHASES @ COST-NEW TEXT")</f>
        <v xml:space="preserve">          5001 - PURCHASES @ COST-NEW TEXT</v>
      </c>
      <c r="C41" s="11"/>
      <c r="D41" s="2">
        <v>-180845.3</v>
      </c>
      <c r="E41" s="2"/>
      <c r="F41" s="19">
        <f t="shared" si="8"/>
        <v>-5.7539876472976399</v>
      </c>
      <c r="G41" s="2"/>
      <c r="H41" s="2">
        <v>-336016.8</v>
      </c>
      <c r="I41" s="2"/>
      <c r="J41" s="19">
        <f t="shared" si="9"/>
        <v>-7.7233913738628654</v>
      </c>
      <c r="K41" s="2"/>
      <c r="L41" s="2">
        <f t="shared" si="10"/>
        <v>155171.5</v>
      </c>
      <c r="M41" s="2"/>
      <c r="N41" s="19">
        <f t="shared" si="11"/>
        <v>-0.46179685063365883</v>
      </c>
      <c r="O41" s="11"/>
      <c r="P41" s="2">
        <v>1448848.1500000001</v>
      </c>
      <c r="Q41" s="2"/>
      <c r="R41" s="19">
        <f t="shared" si="12"/>
        <v>0.73878993768706724</v>
      </c>
      <c r="S41" s="2"/>
      <c r="T41" s="2">
        <v>1364784.93</v>
      </c>
      <c r="U41" s="2"/>
      <c r="V41" s="19">
        <f t="shared" si="13"/>
        <v>0.59139858117979127</v>
      </c>
      <c r="W41" s="2"/>
      <c r="X41" s="2">
        <f t="shared" si="14"/>
        <v>84063.220000000205</v>
      </c>
      <c r="Y41" s="2"/>
      <c r="Z41" s="19">
        <f t="shared" si="15"/>
        <v>6.1594481410342218E-2</v>
      </c>
    </row>
    <row r="42" spans="1:26" s="24" customFormat="1" hidden="1" outlineLevel="1" x14ac:dyDescent="0.25">
      <c r="A42" s="44"/>
      <c r="B42" s="11" t="str">
        <f>CONCATENATE("          ", "5002", " - ", "PURCHASES @ COST-USED TEXT")</f>
        <v xml:space="preserve">          5002 - PURCHASES @ COST-USED TEXT</v>
      </c>
      <c r="C42" s="11"/>
      <c r="D42" s="2">
        <v>11152.06</v>
      </c>
      <c r="E42" s="2"/>
      <c r="F42" s="19">
        <f t="shared" si="8"/>
        <v>0.35482711180175608</v>
      </c>
      <c r="G42" s="2"/>
      <c r="H42" s="2">
        <v>-1180.01</v>
      </c>
      <c r="I42" s="2"/>
      <c r="J42" s="19">
        <f t="shared" si="9"/>
        <v>-2.712268867232805E-2</v>
      </c>
      <c r="K42" s="2"/>
      <c r="L42" s="2">
        <f t="shared" si="10"/>
        <v>12332.07</v>
      </c>
      <c r="M42" s="2"/>
      <c r="N42" s="19">
        <f t="shared" si="11"/>
        <v>-10.450818213404972</v>
      </c>
      <c r="O42" s="11"/>
      <c r="P42" s="2">
        <v>-6439.83</v>
      </c>
      <c r="Q42" s="2"/>
      <c r="R42" s="19">
        <f t="shared" si="12"/>
        <v>-3.2837682847683559E-3</v>
      </c>
      <c r="S42" s="2"/>
      <c r="T42" s="2">
        <v>-120952.28000000001</v>
      </c>
      <c r="U42" s="2"/>
      <c r="V42" s="19">
        <f t="shared" si="13"/>
        <v>-5.2411926018600494E-2</v>
      </c>
      <c r="W42" s="2"/>
      <c r="X42" s="2">
        <f t="shared" si="14"/>
        <v>114512.45000000001</v>
      </c>
      <c r="Y42" s="2"/>
      <c r="Z42" s="19">
        <f t="shared" si="15"/>
        <v>-0.94675726658480519</v>
      </c>
    </row>
    <row r="43" spans="1:26" s="24" customFormat="1" hidden="1" outlineLevel="1" x14ac:dyDescent="0.25">
      <c r="A43" s="44"/>
      <c r="B43" s="11" t="str">
        <f>CONCATENATE("          ", "5003", " - ", "PURCHASES @ COST-RENTAL TEXT")</f>
        <v xml:space="preserve">          5003 - PURCHASES @ COST-RENTAL TEXT</v>
      </c>
      <c r="C43" s="11"/>
      <c r="D43" s="2"/>
      <c r="E43" s="2"/>
      <c r="F43" s="19">
        <f t="shared" si="8"/>
        <v>0</v>
      </c>
      <c r="G43" s="2"/>
      <c r="H43" s="2">
        <v>707.2</v>
      </c>
      <c r="I43" s="2"/>
      <c r="J43" s="19">
        <f t="shared" si="9"/>
        <v>1.6255087184914026E-2</v>
      </c>
      <c r="K43" s="2"/>
      <c r="L43" s="2">
        <f t="shared" si="10"/>
        <v>-707.2</v>
      </c>
      <c r="M43" s="2"/>
      <c r="N43" s="19">
        <f t="shared" si="11"/>
        <v>-1</v>
      </c>
      <c r="O43" s="11"/>
      <c r="P43" s="2">
        <v>-78.400000000000006</v>
      </c>
      <c r="Q43" s="2"/>
      <c r="R43" s="19">
        <f t="shared" si="12"/>
        <v>-3.9977364856811302E-5</v>
      </c>
      <c r="S43" s="2"/>
      <c r="T43" s="2">
        <v>185.1</v>
      </c>
      <c r="U43" s="2"/>
      <c r="V43" s="19">
        <f t="shared" si="13"/>
        <v>8.0208884909345658E-5</v>
      </c>
      <c r="W43" s="2"/>
      <c r="X43" s="2">
        <f t="shared" si="14"/>
        <v>-263.5</v>
      </c>
      <c r="Y43" s="2"/>
      <c r="Z43" s="19">
        <f t="shared" si="15"/>
        <v>-1.4235548352242031</v>
      </c>
    </row>
    <row r="44" spans="1:26" s="24" customFormat="1" hidden="1" outlineLevel="1" x14ac:dyDescent="0.25">
      <c r="A44" s="44"/>
      <c r="B44" s="11" t="str">
        <f>CONCATENATE("          ", "5004", " - ", "PURCHASES @ COST-DIGITAL TEXT")</f>
        <v xml:space="preserve">          5004 - PURCHASES @ COST-DIGITAL TEXT</v>
      </c>
      <c r="C44" s="11"/>
      <c r="D44" s="2">
        <v>-30949.360000000001</v>
      </c>
      <c r="E44" s="2"/>
      <c r="F44" s="19">
        <f t="shared" si="8"/>
        <v>-0.98472138967265221</v>
      </c>
      <c r="G44" s="2"/>
      <c r="H44" s="2">
        <v>51916.84</v>
      </c>
      <c r="I44" s="2"/>
      <c r="J44" s="19">
        <f t="shared" si="9"/>
        <v>1.1933155550978956</v>
      </c>
      <c r="K44" s="2"/>
      <c r="L44" s="2">
        <f t="shared" si="10"/>
        <v>-82866.2</v>
      </c>
      <c r="M44" s="2"/>
      <c r="N44" s="19">
        <f t="shared" si="11"/>
        <v>-1.5961333548035668</v>
      </c>
      <c r="O44" s="11"/>
      <c r="P44" s="2">
        <v>322779.02999999997</v>
      </c>
      <c r="Q44" s="2"/>
      <c r="R44" s="19">
        <f t="shared" si="12"/>
        <v>0.16458998788823517</v>
      </c>
      <c r="S44" s="2"/>
      <c r="T44" s="2">
        <v>291596.33</v>
      </c>
      <c r="U44" s="2"/>
      <c r="V44" s="19">
        <f t="shared" si="13"/>
        <v>0.12635665301435753</v>
      </c>
      <c r="W44" s="2"/>
      <c r="X44" s="2">
        <f t="shared" si="14"/>
        <v>31182.699999999953</v>
      </c>
      <c r="Y44" s="2"/>
      <c r="Z44" s="19">
        <f t="shared" si="15"/>
        <v>0.10693790281928429</v>
      </c>
    </row>
    <row r="45" spans="1:26" s="24" customFormat="1" hidden="1" outlineLevel="1" x14ac:dyDescent="0.25">
      <c r="A45" s="44"/>
      <c r="B45" s="11" t="str">
        <f>CONCATENATE("          ", "5011", " - ", "PURCHASES @ COST-NO VALUE TEXT")</f>
        <v xml:space="preserve">          5011 - PURCHASES @ COST-NO VALUE TEXT</v>
      </c>
      <c r="C45" s="11"/>
      <c r="D45" s="2">
        <v>90</v>
      </c>
      <c r="E45" s="2"/>
      <c r="F45" s="19">
        <f t="shared" si="8"/>
        <v>2.8635462920893581E-3</v>
      </c>
      <c r="G45" s="2"/>
      <c r="H45" s="2">
        <v>1692</v>
      </c>
      <c r="I45" s="2"/>
      <c r="J45" s="19">
        <f t="shared" si="9"/>
        <v>3.8890847733137057E-2</v>
      </c>
      <c r="K45" s="2"/>
      <c r="L45" s="2">
        <f t="shared" si="10"/>
        <v>-1602</v>
      </c>
      <c r="M45" s="2"/>
      <c r="N45" s="19">
        <f t="shared" si="11"/>
        <v>-0.94680851063829785</v>
      </c>
      <c r="O45" s="11"/>
      <c r="P45" s="2">
        <v>3675</v>
      </c>
      <c r="Q45" s="2"/>
      <c r="R45" s="19">
        <f t="shared" si="12"/>
        <v>1.8739389776630296E-3</v>
      </c>
      <c r="S45" s="2"/>
      <c r="T45" s="2">
        <v>2775</v>
      </c>
      <c r="U45" s="2"/>
      <c r="V45" s="19">
        <f t="shared" si="13"/>
        <v>1.202483282676576E-3</v>
      </c>
      <c r="W45" s="2"/>
      <c r="X45" s="2">
        <f t="shared" si="14"/>
        <v>900</v>
      </c>
      <c r="Y45" s="2"/>
      <c r="Z45" s="19">
        <f t="shared" si="15"/>
        <v>0.32432432432432434</v>
      </c>
    </row>
    <row r="46" spans="1:26" s="24" customFormat="1" hidden="1" outlineLevel="1" x14ac:dyDescent="0.25">
      <c r="A46" s="44"/>
      <c r="B46" s="11" t="str">
        <f>CONCATENATE("          ", "5013", " - ", "PURCHASES @ COST-TRADE BOOKS")</f>
        <v xml:space="preserve">          5013 - PURCHASES @ COST-TRADE BOOKS</v>
      </c>
      <c r="C46" s="11"/>
      <c r="D46" s="2">
        <v>212.56</v>
      </c>
      <c r="E46" s="2"/>
      <c r="F46" s="19">
        <f t="shared" si="8"/>
        <v>6.7630599982945998E-3</v>
      </c>
      <c r="G46" s="2"/>
      <c r="H46" s="2">
        <v>557.55999999999995</v>
      </c>
      <c r="I46" s="2"/>
      <c r="J46" s="19">
        <f t="shared" si="9"/>
        <v>1.2815591644259987E-2</v>
      </c>
      <c r="K46" s="2"/>
      <c r="L46" s="2">
        <f t="shared" si="10"/>
        <v>-344.99999999999994</v>
      </c>
      <c r="M46" s="2"/>
      <c r="N46" s="19">
        <f t="shared" si="11"/>
        <v>-0.6187674869072386</v>
      </c>
      <c r="O46" s="11"/>
      <c r="P46" s="2">
        <v>687.35</v>
      </c>
      <c r="Q46" s="2"/>
      <c r="R46" s="19">
        <f t="shared" si="12"/>
        <v>3.5049032824399547E-4</v>
      </c>
      <c r="S46" s="2"/>
      <c r="T46" s="2">
        <v>1136.94</v>
      </c>
      <c r="U46" s="2"/>
      <c r="V46" s="19">
        <f t="shared" si="13"/>
        <v>4.9266715077704733E-4</v>
      </c>
      <c r="W46" s="2"/>
      <c r="X46" s="2">
        <f t="shared" si="14"/>
        <v>-449.59000000000003</v>
      </c>
      <c r="Y46" s="2"/>
      <c r="Z46" s="19">
        <f t="shared" si="15"/>
        <v>-0.39543863352507608</v>
      </c>
    </row>
    <row r="47" spans="1:26" s="24" customFormat="1" hidden="1" outlineLevel="1" x14ac:dyDescent="0.25">
      <c r="A47" s="44"/>
      <c r="B47" s="11" t="str">
        <f>CONCATENATE("          ", "5014", " - ", "PURCHASES @ COST-REMAINDERS")</f>
        <v xml:space="preserve">          5014 - PURCHASES @ COST-REMAINDERS</v>
      </c>
      <c r="C47" s="11"/>
      <c r="D47" s="2">
        <v>37.54</v>
      </c>
      <c r="E47" s="2"/>
      <c r="F47" s="19">
        <f t="shared" si="8"/>
        <v>1.1944169756114944E-3</v>
      </c>
      <c r="G47" s="2"/>
      <c r="H47" s="2">
        <v>87.6</v>
      </c>
      <c r="I47" s="2"/>
      <c r="J47" s="19">
        <f t="shared" si="9"/>
        <v>2.0134977904390106E-3</v>
      </c>
      <c r="K47" s="2"/>
      <c r="L47" s="2">
        <f t="shared" si="10"/>
        <v>-50.059999999999995</v>
      </c>
      <c r="M47" s="2"/>
      <c r="N47" s="19">
        <f t="shared" si="11"/>
        <v>-0.57146118721461181</v>
      </c>
      <c r="O47" s="11"/>
      <c r="P47" s="2">
        <v>327.51</v>
      </c>
      <c r="Q47" s="2"/>
      <c r="R47" s="19">
        <f t="shared" si="12"/>
        <v>1.6700238219712077E-4</v>
      </c>
      <c r="S47" s="2"/>
      <c r="T47" s="2">
        <v>488.86</v>
      </c>
      <c r="U47" s="2"/>
      <c r="V47" s="19">
        <f t="shared" si="13"/>
        <v>2.1183638831325077E-4</v>
      </c>
      <c r="W47" s="2"/>
      <c r="X47" s="2">
        <f t="shared" si="14"/>
        <v>-161.35000000000002</v>
      </c>
      <c r="Y47" s="2"/>
      <c r="Z47" s="19">
        <f t="shared" si="15"/>
        <v>-0.33005359407601365</v>
      </c>
    </row>
    <row r="48" spans="1:26" s="24" customFormat="1" hidden="1" outlineLevel="1" x14ac:dyDescent="0.25">
      <c r="A48" s="44"/>
      <c r="B48" s="11" t="str">
        <f>CONCATENATE("          ", "5018", " - ", "PURCHASES @ COST-STUDY GUIDES")</f>
        <v xml:space="preserve">          5018 - PURCHASES @ COST-STUDY GUIDES</v>
      </c>
      <c r="C48" s="11"/>
      <c r="D48" s="2">
        <v>298.16000000000003</v>
      </c>
      <c r="E48" s="2"/>
      <c r="F48" s="19">
        <f t="shared" si="8"/>
        <v>9.4866106938818126E-3</v>
      </c>
      <c r="G48" s="2"/>
      <c r="H48" s="2">
        <v>-0.12</v>
      </c>
      <c r="I48" s="2"/>
      <c r="J48" s="19">
        <f t="shared" si="9"/>
        <v>-2.7582161512863161E-6</v>
      </c>
      <c r="K48" s="2"/>
      <c r="L48" s="2">
        <f t="shared" si="10"/>
        <v>298.28000000000003</v>
      </c>
      <c r="M48" s="2"/>
      <c r="N48" s="19">
        <f t="shared" si="11"/>
        <v>-2485.666666666667</v>
      </c>
      <c r="O48" s="11"/>
      <c r="P48" s="2">
        <v>802.09</v>
      </c>
      <c r="Q48" s="2"/>
      <c r="R48" s="19">
        <f t="shared" si="12"/>
        <v>4.0899801757652773E-4</v>
      </c>
      <c r="S48" s="2"/>
      <c r="T48" s="2">
        <v>1034.55</v>
      </c>
      <c r="U48" s="2"/>
      <c r="V48" s="19">
        <f t="shared" si="13"/>
        <v>4.4829876760109968E-4</v>
      </c>
      <c r="W48" s="2"/>
      <c r="X48" s="2">
        <f t="shared" si="14"/>
        <v>-232.45999999999992</v>
      </c>
      <c r="Y48" s="2"/>
      <c r="Z48" s="19">
        <f t="shared" si="15"/>
        <v>-0.22469672804601029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191884</v>
      </c>
      <c r="E49" s="2"/>
      <c r="F49" s="19">
        <f t="shared" si="8"/>
        <v>6.1052079634586045</v>
      </c>
      <c r="G49" s="2"/>
      <c r="H49" s="2">
        <v>270805</v>
      </c>
      <c r="I49" s="2"/>
      <c r="J49" s="19">
        <f t="shared" si="9"/>
        <v>6.2244893737424238</v>
      </c>
      <c r="K49" s="2"/>
      <c r="L49" s="2">
        <f t="shared" si="10"/>
        <v>-78921</v>
      </c>
      <c r="M49" s="2"/>
      <c r="N49" s="19">
        <f t="shared" si="11"/>
        <v>-0.29143110356160334</v>
      </c>
      <c r="O49" s="11"/>
      <c r="P49" s="2">
        <v>-1811575</v>
      </c>
      <c r="Q49" s="2"/>
      <c r="R49" s="19">
        <f t="shared" si="12"/>
        <v>-0.92374993291425933</v>
      </c>
      <c r="S49" s="2"/>
      <c r="T49" s="2">
        <v>-1585172</v>
      </c>
      <c r="U49" s="2"/>
      <c r="V49" s="19">
        <f t="shared" si="13"/>
        <v>-0.68689831717729488</v>
      </c>
      <c r="W49" s="2"/>
      <c r="X49" s="2">
        <f t="shared" si="14"/>
        <v>-226403</v>
      </c>
      <c r="Y49" s="2"/>
      <c r="Z49" s="19">
        <f t="shared" si="15"/>
        <v>0.14282551041779692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24503</v>
      </c>
      <c r="E50" s="2"/>
      <c r="F50" s="19">
        <f t="shared" si="8"/>
        <v>0.77961638661183941</v>
      </c>
      <c r="G50" s="2"/>
      <c r="H50" s="2">
        <v>32374</v>
      </c>
      <c r="I50" s="2"/>
      <c r="J50" s="19">
        <f t="shared" si="9"/>
        <v>0.74412074734786005</v>
      </c>
      <c r="K50" s="2"/>
      <c r="L50" s="2">
        <f t="shared" si="10"/>
        <v>-7871</v>
      </c>
      <c r="M50" s="2"/>
      <c r="N50" s="19">
        <f t="shared" si="11"/>
        <v>-0.24312720084018039</v>
      </c>
      <c r="O50" s="11"/>
      <c r="P50" s="2">
        <v>1418386</v>
      </c>
      <c r="Q50" s="2"/>
      <c r="R50" s="19">
        <f t="shared" si="12"/>
        <v>0.72325681925756569</v>
      </c>
      <c r="S50" s="2"/>
      <c r="T50" s="2">
        <v>1690344</v>
      </c>
      <c r="U50" s="2"/>
      <c r="V50" s="19">
        <f t="shared" si="13"/>
        <v>0.73247221692708253</v>
      </c>
      <c r="W50" s="2"/>
      <c r="X50" s="2">
        <f t="shared" si="14"/>
        <v>-271958</v>
      </c>
      <c r="Y50" s="2"/>
      <c r="Z50" s="19">
        <f t="shared" si="15"/>
        <v>-0.16088914445816946</v>
      </c>
    </row>
    <row r="51" spans="1:26" s="24" customFormat="1" hidden="1" outlineLevel="1" x14ac:dyDescent="0.25">
      <c r="A51" s="44"/>
      <c r="B51" s="11" t="str">
        <f>CONCATENATE("          ", "5500", " - ", "FREIGHT-IN")</f>
        <v xml:space="preserve">          5500 - FREIGHT-IN</v>
      </c>
      <c r="C51" s="11"/>
      <c r="D51" s="2"/>
      <c r="E51" s="2"/>
      <c r="F51" s="19">
        <f t="shared" si="8"/>
        <v>0</v>
      </c>
      <c r="G51" s="2"/>
      <c r="H51" s="2">
        <v>-317.36</v>
      </c>
      <c r="I51" s="2"/>
      <c r="J51" s="19">
        <f t="shared" si="9"/>
        <v>-7.2945623147685447E-3</v>
      </c>
      <c r="K51" s="2"/>
      <c r="L51" s="2">
        <f t="shared" si="10"/>
        <v>317.36</v>
      </c>
      <c r="M51" s="2"/>
      <c r="N51" s="19">
        <f t="shared" si="11"/>
        <v>-1</v>
      </c>
      <c r="O51" s="11"/>
      <c r="P51" s="2"/>
      <c r="Q51" s="2"/>
      <c r="R51" s="19">
        <f t="shared" si="12"/>
        <v>0</v>
      </c>
      <c r="S51" s="2"/>
      <c r="T51" s="2">
        <v>0</v>
      </c>
      <c r="U51" s="2"/>
      <c r="V51" s="19">
        <f t="shared" si="13"/>
        <v>0</v>
      </c>
      <c r="W51" s="2"/>
      <c r="X51" s="2">
        <f t="shared" si="14"/>
        <v>0</v>
      </c>
      <c r="Y51" s="2"/>
      <c r="Z51" s="19">
        <f t="shared" si="15"/>
        <v>0</v>
      </c>
    </row>
    <row r="52" spans="1:26" s="24" customFormat="1" hidden="1" outlineLevel="1" x14ac:dyDescent="0.25">
      <c r="A52" s="44"/>
      <c r="B52" s="11" t="str">
        <f>CONCATENATE("          ", "5501", " - ", "FREIGHT-IN-NEW TEXT")</f>
        <v xml:space="preserve">          5501 - FREIGHT-IN-NEW TEXT</v>
      </c>
      <c r="C52" s="11"/>
      <c r="D52" s="2">
        <v>7434.02</v>
      </c>
      <c r="E52" s="2"/>
      <c r="F52" s="19">
        <f t="shared" si="8"/>
        <v>0.23652956007020146</v>
      </c>
      <c r="G52" s="2"/>
      <c r="H52" s="2">
        <v>9955.06</v>
      </c>
      <c r="I52" s="2"/>
      <c r="J52" s="19">
        <f t="shared" si="9"/>
        <v>0.22881839399186962</v>
      </c>
      <c r="K52" s="2"/>
      <c r="L52" s="2">
        <f t="shared" si="10"/>
        <v>-2521.0399999999991</v>
      </c>
      <c r="M52" s="2"/>
      <c r="N52" s="19">
        <f t="shared" si="11"/>
        <v>-0.25324206986195957</v>
      </c>
      <c r="O52" s="11"/>
      <c r="P52" s="2">
        <v>34017.480000000003</v>
      </c>
      <c r="Q52" s="2"/>
      <c r="R52" s="19">
        <f t="shared" si="12"/>
        <v>1.7346035835067365E-2</v>
      </c>
      <c r="S52" s="2"/>
      <c r="T52" s="2">
        <v>36210.86</v>
      </c>
      <c r="U52" s="2"/>
      <c r="V52" s="19">
        <f t="shared" si="13"/>
        <v>1.5691154523006096E-2</v>
      </c>
      <c r="W52" s="2"/>
      <c r="X52" s="2">
        <f t="shared" si="14"/>
        <v>-2193.3799999999974</v>
      </c>
      <c r="Y52" s="2"/>
      <c r="Z52" s="19">
        <f t="shared" si="15"/>
        <v>-6.0572436004005352E-2</v>
      </c>
    </row>
    <row r="53" spans="1:26" s="24" customFormat="1" hidden="1" outlineLevel="1" x14ac:dyDescent="0.25">
      <c r="A53" s="44"/>
      <c r="B53" s="11" t="str">
        <f>CONCATENATE("          ", "5502", " - ", "FREIGHT-IN-USED TEXT")</f>
        <v xml:space="preserve">          5502 - FREIGHT-IN-USED TEXT</v>
      </c>
      <c r="C53" s="11"/>
      <c r="D53" s="2">
        <v>591.29999999999995</v>
      </c>
      <c r="E53" s="2"/>
      <c r="F53" s="19">
        <f t="shared" si="8"/>
        <v>1.8813499139027082E-2</v>
      </c>
      <c r="G53" s="2"/>
      <c r="H53" s="2">
        <v>1475.4</v>
      </c>
      <c r="I53" s="2"/>
      <c r="J53" s="19">
        <f t="shared" si="9"/>
        <v>3.3912267580065263E-2</v>
      </c>
      <c r="K53" s="2"/>
      <c r="L53" s="2">
        <f t="shared" si="10"/>
        <v>-884.10000000000014</v>
      </c>
      <c r="M53" s="2"/>
      <c r="N53" s="19">
        <f t="shared" si="11"/>
        <v>-0.59922732818218793</v>
      </c>
      <c r="O53" s="11"/>
      <c r="P53" s="2">
        <v>6852.47</v>
      </c>
      <c r="Q53" s="2"/>
      <c r="R53" s="19">
        <f t="shared" si="12"/>
        <v>3.4941797622494099E-3</v>
      </c>
      <c r="S53" s="2"/>
      <c r="T53" s="2">
        <v>7732.55</v>
      </c>
      <c r="U53" s="2"/>
      <c r="V53" s="19">
        <f t="shared" si="13"/>
        <v>3.3507250837696424E-3</v>
      </c>
      <c r="W53" s="2"/>
      <c r="X53" s="2">
        <f t="shared" si="14"/>
        <v>-880.07999999999993</v>
      </c>
      <c r="Y53" s="2"/>
      <c r="Z53" s="19">
        <f t="shared" si="15"/>
        <v>-0.11381497694809602</v>
      </c>
    </row>
    <row r="54" spans="1:26" s="24" customFormat="1" hidden="1" outlineLevel="1" x14ac:dyDescent="0.25">
      <c r="A54" s="44"/>
      <c r="B54" s="11" t="str">
        <f>CONCATENATE("          ", "5504", " - ", "FREIGHT-IN-DIGITAL TEXT")</f>
        <v xml:space="preserve">          5504 - FREIGHT-IN-DIGITAL TEXT</v>
      </c>
      <c r="C54" s="11"/>
      <c r="D54" s="2">
        <v>93.94</v>
      </c>
      <c r="E54" s="2"/>
      <c r="F54" s="19">
        <f t="shared" si="8"/>
        <v>2.9889059853208254E-3</v>
      </c>
      <c r="G54" s="2"/>
      <c r="H54" s="2"/>
      <c r="I54" s="2"/>
      <c r="J54" s="19">
        <f t="shared" si="9"/>
        <v>0</v>
      </c>
      <c r="K54" s="2"/>
      <c r="L54" s="2">
        <f t="shared" si="10"/>
        <v>93.94</v>
      </c>
      <c r="M54" s="2"/>
      <c r="N54" s="19">
        <f t="shared" si="11"/>
        <v>0</v>
      </c>
      <c r="O54" s="11"/>
      <c r="P54" s="2">
        <v>100.97</v>
      </c>
      <c r="Q54" s="2"/>
      <c r="R54" s="19">
        <f t="shared" si="12"/>
        <v>5.1486154714186694E-5</v>
      </c>
      <c r="S54" s="2"/>
      <c r="T54" s="2">
        <v>166.22</v>
      </c>
      <c r="U54" s="2"/>
      <c r="V54" s="19">
        <f t="shared" si="13"/>
        <v>7.2027665314054222E-5</v>
      </c>
      <c r="W54" s="2"/>
      <c r="X54" s="2">
        <f t="shared" si="14"/>
        <v>-65.25</v>
      </c>
      <c r="Y54" s="2"/>
      <c r="Z54" s="19">
        <f t="shared" si="15"/>
        <v>-0.39255203946576828</v>
      </c>
    </row>
    <row r="55" spans="1:26" s="24" customFormat="1" hidden="1" outlineLevel="1" x14ac:dyDescent="0.25">
      <c r="A55" s="44"/>
      <c r="B55" s="11" t="str">
        <f>CONCATENATE("          ", "5513", " - ", "FREIGHT-IN-TRADE BOOKS")</f>
        <v xml:space="preserve">          5513 - FREIGHT-IN-TRADE BOOKS</v>
      </c>
      <c r="C55" s="11"/>
      <c r="D55" s="2"/>
      <c r="E55" s="2"/>
      <c r="F55" s="19">
        <f t="shared" si="8"/>
        <v>0</v>
      </c>
      <c r="G55" s="2"/>
      <c r="H55" s="2"/>
      <c r="I55" s="2"/>
      <c r="J55" s="19">
        <f t="shared" si="9"/>
        <v>0</v>
      </c>
      <c r="K55" s="2"/>
      <c r="L55" s="2">
        <f t="shared" si="10"/>
        <v>0</v>
      </c>
      <c r="M55" s="2"/>
      <c r="N55" s="19">
        <f t="shared" si="11"/>
        <v>0</v>
      </c>
      <c r="O55" s="11"/>
      <c r="P55" s="2"/>
      <c r="Q55" s="2"/>
      <c r="R55" s="19">
        <f t="shared" si="12"/>
        <v>0</v>
      </c>
      <c r="S55" s="2"/>
      <c r="T55" s="2">
        <v>12.22</v>
      </c>
      <c r="U55" s="2"/>
      <c r="V55" s="19">
        <f t="shared" si="13"/>
        <v>5.2952597168676607E-6</v>
      </c>
      <c r="W55" s="2"/>
      <c r="X55" s="2">
        <f t="shared" si="14"/>
        <v>-12.22</v>
      </c>
      <c r="Y55" s="2"/>
      <c r="Z55" s="19">
        <f t="shared" si="15"/>
        <v>-1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8" t="s">
        <v>6</v>
      </c>
      <c r="C57" s="28"/>
      <c r="D57" s="21">
        <f>D12-D40</f>
        <v>6927.6399999999667</v>
      </c>
      <c r="E57" s="14"/>
      <c r="F57" s="22">
        <f>IF(D$12=0,0,D57/D$12)</f>
        <v>0.22041797594366472</v>
      </c>
      <c r="G57" s="14"/>
      <c r="H57" s="21">
        <f>H12-H40</f>
        <v>11450.010000000053</v>
      </c>
      <c r="I57" s="14"/>
      <c r="J57" s="22">
        <f>IF(H$12=0,0,H57/H$12)</f>
        <v>0.26318002095324983</v>
      </c>
      <c r="K57" s="16"/>
      <c r="L57" s="21">
        <f>+D57-H57</f>
        <v>-4522.3700000000863</v>
      </c>
      <c r="M57" s="16"/>
      <c r="N57" s="22">
        <f>IF(H57=0,0,L57/H57)</f>
        <v>-0.39496646727820023</v>
      </c>
      <c r="O57" s="29"/>
      <c r="P57" s="21">
        <f>P12-P40</f>
        <v>542726.92999999993</v>
      </c>
      <c r="Q57" s="14"/>
      <c r="R57" s="22">
        <f>IF(P$12=0,0,P57/P$12)</f>
        <v>0.27674480227330461</v>
      </c>
      <c r="S57" s="14"/>
      <c r="T57" s="21">
        <f>T12-T40</f>
        <v>617381.1100000008</v>
      </c>
      <c r="U57" s="14"/>
      <c r="V57" s="22">
        <f>IF(T$12=0,0,T57/T$12)</f>
        <v>0.26752809506857989</v>
      </c>
      <c r="W57" s="16"/>
      <c r="X57" s="21">
        <f>+P57-T57</f>
        <v>-74654.180000000866</v>
      </c>
      <c r="Y57" s="16"/>
      <c r="Z57" s="22">
        <f>IF(T57=0,0,X57/T57)</f>
        <v>-0.12092073889335676</v>
      </c>
    </row>
    <row r="58" spans="1:26" x14ac:dyDescent="0.25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9</v>
      </c>
      <c r="C59" s="10"/>
      <c r="D59" s="20">
        <f>SUM(OSRRefD22x_0)</f>
        <v>43533.96</v>
      </c>
      <c r="E59" s="20"/>
      <c r="F59" s="35">
        <f t="shared" ref="F59:F69" si="16">IF(D$12=0,0,D59/D$12)</f>
        <v>1.3851278859774048</v>
      </c>
      <c r="G59" s="20"/>
      <c r="H59" s="20">
        <f>SUM(OSRRefH22x_0)</f>
        <v>59041.80000000001</v>
      </c>
      <c r="I59" s="20"/>
      <c r="J59" s="35">
        <f t="shared" ref="J59:J69" si="17">IF(H$12=0,0,H59/H$12)</f>
        <v>1.3570837196751371</v>
      </c>
      <c r="K59" s="4"/>
      <c r="L59" s="20">
        <f t="shared" ref="L59:L69" si="18">+D59-H59</f>
        <v>-15507.840000000011</v>
      </c>
      <c r="M59" s="4"/>
      <c r="N59" s="35">
        <f t="shared" ref="N59:N69" si="19">IF(H59=0,0,L59/H59)</f>
        <v>-0.26265865878072836</v>
      </c>
      <c r="O59" s="10"/>
      <c r="P59" s="20">
        <f>SUM(OSRRefP22x_0)</f>
        <v>160525.72999999995</v>
      </c>
      <c r="Q59" s="20"/>
      <c r="R59" s="35">
        <f t="shared" ref="R59:R69" si="20">IF(P$12=0,0,P59/P$12)</f>
        <v>8.1854536697907876E-2</v>
      </c>
      <c r="S59" s="20"/>
      <c r="T59" s="20">
        <f>SUM(OSRRefT22x_0)</f>
        <v>235261.21999999994</v>
      </c>
      <c r="U59" s="20"/>
      <c r="V59" s="35">
        <f t="shared" ref="V59:V69" si="21">IF(T$12=0,0,T59/T$12)</f>
        <v>0.10194511139174632</v>
      </c>
      <c r="W59" s="4"/>
      <c r="X59" s="20">
        <f t="shared" ref="X59:X69" si="22">+P59-T59</f>
        <v>-74735.489999999991</v>
      </c>
      <c r="Y59" s="4"/>
      <c r="Z59" s="35">
        <f t="shared" ref="Z59:Z69" si="23">IF(T59=0,0,X59/T59)</f>
        <v>-0.31767024756566342</v>
      </c>
    </row>
    <row r="60" spans="1:26" s="27" customFormat="1" outlineLevel="1" collapsed="1" x14ac:dyDescent="0.25">
      <c r="A60" s="25"/>
      <c r="B60" s="13" t="str">
        <f>CONCATENATE("     ","*Benefits                                         ")</f>
        <v xml:space="preserve">     *Benefits                                         </v>
      </c>
      <c r="C60" s="13"/>
      <c r="D60" s="1">
        <f>SUM(OSRRefD22_0x_0)</f>
        <v>12250.08</v>
      </c>
      <c r="E60" s="1"/>
      <c r="F60" s="5">
        <f t="shared" si="16"/>
        <v>0.38976301290886672</v>
      </c>
      <c r="G60" s="1"/>
      <c r="H60" s="1">
        <f>SUM(OSRRefH22_0x_0)</f>
        <v>17577.34</v>
      </c>
      <c r="I60" s="1"/>
      <c r="J60" s="5">
        <f t="shared" si="17"/>
        <v>0.40401752570542515</v>
      </c>
      <c r="K60" s="1"/>
      <c r="L60" s="1">
        <f t="shared" si="18"/>
        <v>-5327.26</v>
      </c>
      <c r="M60" s="1"/>
      <c r="N60" s="5">
        <f t="shared" si="19"/>
        <v>-0.30307543689773314</v>
      </c>
      <c r="O60" s="13"/>
      <c r="P60" s="1">
        <f>SUM(OSRRefP22_0x_0)</f>
        <v>42583.29</v>
      </c>
      <c r="Q60" s="1"/>
      <c r="R60" s="5">
        <f t="shared" si="20"/>
        <v>2.1713873994048522E-2</v>
      </c>
      <c r="S60" s="1"/>
      <c r="T60" s="1">
        <f>SUM(OSRRefT22_0x_0)</f>
        <v>52643.08</v>
      </c>
      <c r="U60" s="1"/>
      <c r="V60" s="5">
        <f t="shared" si="21"/>
        <v>2.2811684197695713E-2</v>
      </c>
      <c r="W60" s="1"/>
      <c r="X60" s="1">
        <f t="shared" si="22"/>
        <v>-10059.790000000001</v>
      </c>
      <c r="Y60" s="1"/>
      <c r="Z60" s="5">
        <f t="shared" si="23"/>
        <v>-0.1910942520840346</v>
      </c>
    </row>
    <row r="61" spans="1:26" s="24" customFormat="1" hidden="1" outlineLevel="2" x14ac:dyDescent="0.25">
      <c r="A61" s="26"/>
      <c r="B61" s="11" t="str">
        <f>CONCATENATE("          ", "6111", " - ", "F.I.C.A.")</f>
        <v xml:space="preserve">          6111 - F.I.C.A.</v>
      </c>
      <c r="C61" s="11"/>
      <c r="D61" s="6">
        <v>2806.9</v>
      </c>
      <c r="E61" s="2"/>
      <c r="F61" s="7">
        <f t="shared" si="16"/>
        <v>8.9307645414062442E-2</v>
      </c>
      <c r="G61" s="2"/>
      <c r="H61" s="6">
        <v>3358.04</v>
      </c>
      <c r="I61" s="2"/>
      <c r="J61" s="7">
        <f t="shared" si="17"/>
        <v>7.7185001372212514E-2</v>
      </c>
      <c r="K61" s="2"/>
      <c r="L61" s="6">
        <f t="shared" si="18"/>
        <v>-551.13999999999987</v>
      </c>
      <c r="M61" s="2"/>
      <c r="N61" s="7">
        <f t="shared" si="19"/>
        <v>-0.16412550178080068</v>
      </c>
      <c r="O61" s="11"/>
      <c r="P61" s="6">
        <v>7603.05</v>
      </c>
      <c r="Q61" s="2"/>
      <c r="R61" s="7">
        <f t="shared" si="20"/>
        <v>3.8769120392165707E-3</v>
      </c>
      <c r="S61" s="2"/>
      <c r="T61" s="6">
        <v>8994.3700000000008</v>
      </c>
      <c r="U61" s="2"/>
      <c r="V61" s="7">
        <f t="shared" si="21"/>
        <v>3.8975061489036813E-3</v>
      </c>
      <c r="W61" s="2"/>
      <c r="X61" s="6">
        <f t="shared" si="22"/>
        <v>-1391.3200000000006</v>
      </c>
      <c r="Y61" s="2"/>
      <c r="Z61" s="7">
        <f t="shared" si="23"/>
        <v>-0.15468787697192804</v>
      </c>
    </row>
    <row r="62" spans="1:26" s="24" customFormat="1" hidden="1" outlineLevel="2" x14ac:dyDescent="0.25">
      <c r="A62" s="26"/>
      <c r="B62" s="11" t="str">
        <f>CONCATENATE("          ", "6112", " - ", "COMPENSATION INSURANCE")</f>
        <v xml:space="preserve">          6112 - COMPENSATION INSURANCE</v>
      </c>
      <c r="C62" s="11"/>
      <c r="D62" s="6">
        <v>-62.53</v>
      </c>
      <c r="E62" s="2"/>
      <c r="F62" s="7">
        <f t="shared" si="16"/>
        <v>-1.9895283293816395E-3</v>
      </c>
      <c r="G62" s="2"/>
      <c r="H62" s="6">
        <v>249.43</v>
      </c>
      <c r="I62" s="2"/>
      <c r="J62" s="7">
        <f t="shared" si="17"/>
        <v>5.7331821217945491E-3</v>
      </c>
      <c r="K62" s="2"/>
      <c r="L62" s="6">
        <f t="shared" si="18"/>
        <v>-311.96000000000004</v>
      </c>
      <c r="M62" s="2"/>
      <c r="N62" s="7">
        <f t="shared" si="19"/>
        <v>-1.250691576795093</v>
      </c>
      <c r="O62" s="11"/>
      <c r="P62" s="6">
        <v>193.58</v>
      </c>
      <c r="Q62" s="2"/>
      <c r="R62" s="7">
        <f t="shared" si="20"/>
        <v>9.8709416951295044E-5</v>
      </c>
      <c r="S62" s="2"/>
      <c r="T62" s="6">
        <v>459.18</v>
      </c>
      <c r="U62" s="2"/>
      <c r="V62" s="7">
        <f t="shared" si="21"/>
        <v>1.9897523377997481E-4</v>
      </c>
      <c r="W62" s="2"/>
      <c r="X62" s="6">
        <f t="shared" si="22"/>
        <v>-265.60000000000002</v>
      </c>
      <c r="Y62" s="2"/>
      <c r="Z62" s="7">
        <f t="shared" si="23"/>
        <v>-0.57842240515701904</v>
      </c>
    </row>
    <row r="63" spans="1:26" s="24" customFormat="1" hidden="1" outlineLevel="2" x14ac:dyDescent="0.25">
      <c r="A63" s="26"/>
      <c r="B63" s="11" t="str">
        <f>CONCATENATE("          ", "6113", " - ", "GROUP INSURANCE")</f>
        <v xml:space="preserve">          6113 - GROUP INSURANCE</v>
      </c>
      <c r="C63" s="11"/>
      <c r="D63" s="6">
        <v>4168.57</v>
      </c>
      <c r="E63" s="2"/>
      <c r="F63" s="7">
        <f t="shared" si="16"/>
        <v>0.13263214629794373</v>
      </c>
      <c r="G63" s="2"/>
      <c r="H63" s="6">
        <v>5625.32</v>
      </c>
      <c r="I63" s="2"/>
      <c r="J63" s="7">
        <f t="shared" si="17"/>
        <v>0.12929873733461617</v>
      </c>
      <c r="K63" s="2"/>
      <c r="L63" s="6">
        <f t="shared" si="18"/>
        <v>-1456.75</v>
      </c>
      <c r="M63" s="2"/>
      <c r="N63" s="7">
        <f t="shared" si="19"/>
        <v>-0.25896304565784706</v>
      </c>
      <c r="O63" s="11"/>
      <c r="P63" s="6">
        <v>16674.28</v>
      </c>
      <c r="Q63" s="2"/>
      <c r="R63" s="7">
        <f t="shared" si="20"/>
        <v>8.5024716235284625E-3</v>
      </c>
      <c r="S63" s="2"/>
      <c r="T63" s="6">
        <v>18984.969999999998</v>
      </c>
      <c r="U63" s="2"/>
      <c r="V63" s="7">
        <f t="shared" si="21"/>
        <v>8.2267059629247963E-3</v>
      </c>
      <c r="W63" s="2"/>
      <c r="X63" s="6">
        <f t="shared" si="22"/>
        <v>-2310.6899999999987</v>
      </c>
      <c r="Y63" s="2"/>
      <c r="Z63" s="7">
        <f t="shared" si="23"/>
        <v>-0.1217115433945905</v>
      </c>
    </row>
    <row r="64" spans="1:26" s="24" customFormat="1" hidden="1" outlineLevel="2" x14ac:dyDescent="0.25">
      <c r="A64" s="26"/>
      <c r="B64" s="11" t="str">
        <f>CONCATENATE("          ", "6114", " - ", "STATE UNEMPLOYMENT INSURANCE")</f>
        <v xml:space="preserve">          6114 - STATE UNEMPLOYMENT INSURANCE</v>
      </c>
      <c r="C64" s="11"/>
      <c r="D64" s="6">
        <v>75.959999999999994</v>
      </c>
      <c r="E64" s="2"/>
      <c r="F64" s="7">
        <f t="shared" si="16"/>
        <v>2.416833070523418E-3</v>
      </c>
      <c r="G64" s="2"/>
      <c r="H64" s="6">
        <v>92.08</v>
      </c>
      <c r="I64" s="2"/>
      <c r="J64" s="7">
        <f t="shared" si="17"/>
        <v>2.1164711934203665E-3</v>
      </c>
      <c r="K64" s="2"/>
      <c r="L64" s="6">
        <f t="shared" si="18"/>
        <v>-16.120000000000005</v>
      </c>
      <c r="M64" s="2"/>
      <c r="N64" s="7">
        <f t="shared" si="19"/>
        <v>-0.17506516072980022</v>
      </c>
      <c r="O64" s="11"/>
      <c r="P64" s="6">
        <v>246.49</v>
      </c>
      <c r="Q64" s="2"/>
      <c r="R64" s="7">
        <f t="shared" si="20"/>
        <v>1.2568903907596196E-4</v>
      </c>
      <c r="S64" s="2"/>
      <c r="T64" s="6">
        <v>379.54</v>
      </c>
      <c r="U64" s="2"/>
      <c r="V64" s="7">
        <f t="shared" si="21"/>
        <v>1.6446504688542979E-4</v>
      </c>
      <c r="W64" s="2"/>
      <c r="X64" s="6">
        <f t="shared" si="22"/>
        <v>-133.05000000000001</v>
      </c>
      <c r="Y64" s="2"/>
      <c r="Z64" s="7">
        <f t="shared" si="23"/>
        <v>-0.3505559361332139</v>
      </c>
    </row>
    <row r="65" spans="1:26" s="24" customFormat="1" hidden="1" outlineLevel="2" x14ac:dyDescent="0.25">
      <c r="A65" s="26"/>
      <c r="B65" s="11" t="str">
        <f>CONCATENATE("          ", "6115", " - ", "P.E.R.S.")</f>
        <v xml:space="preserve">          6115 - P.E.R.S.</v>
      </c>
      <c r="C65" s="11"/>
      <c r="D65" s="6">
        <v>1803.1</v>
      </c>
      <c r="E65" s="2"/>
      <c r="F65" s="7">
        <f t="shared" si="16"/>
        <v>5.7369559102959128E-2</v>
      </c>
      <c r="G65" s="2"/>
      <c r="H65" s="6">
        <v>1850.63</v>
      </c>
      <c r="I65" s="2"/>
      <c r="J65" s="7">
        <f t="shared" si="17"/>
        <v>4.2536979633791633E-2</v>
      </c>
      <c r="K65" s="2"/>
      <c r="L65" s="6">
        <f t="shared" si="18"/>
        <v>-47.5300000000002</v>
      </c>
      <c r="M65" s="2"/>
      <c r="N65" s="7">
        <f t="shared" si="19"/>
        <v>-2.5683145739559068E-2</v>
      </c>
      <c r="O65" s="11"/>
      <c r="P65" s="6">
        <v>5780.68</v>
      </c>
      <c r="Q65" s="2"/>
      <c r="R65" s="7">
        <f t="shared" si="20"/>
        <v>2.9476575699039788E-3</v>
      </c>
      <c r="S65" s="2"/>
      <c r="T65" s="6">
        <v>5975.48</v>
      </c>
      <c r="U65" s="2"/>
      <c r="V65" s="7">
        <f t="shared" si="21"/>
        <v>2.5893386688173787E-3</v>
      </c>
      <c r="W65" s="2"/>
      <c r="X65" s="6">
        <f t="shared" si="22"/>
        <v>-194.79999999999927</v>
      </c>
      <c r="Y65" s="2"/>
      <c r="Z65" s="7">
        <f t="shared" si="23"/>
        <v>-3.259989155682879E-2</v>
      </c>
    </row>
    <row r="66" spans="1:26" s="24" customFormat="1" hidden="1" outlineLevel="2" x14ac:dyDescent="0.25">
      <c r="A66" s="26"/>
      <c r="B66" s="11" t="str">
        <f>CONCATENATE("          ", "6117", " - ", "RETIREMENT STAFF HOURLY")</f>
        <v xml:space="preserve">          6117 - RETIREMENT STAFF HOURLY</v>
      </c>
      <c r="C66" s="11"/>
      <c r="D66" s="6">
        <v>91.29</v>
      </c>
      <c r="E66" s="2"/>
      <c r="F66" s="7">
        <f t="shared" si="16"/>
        <v>2.9045904556093058E-3</v>
      </c>
      <c r="G66" s="2"/>
      <c r="H66" s="6">
        <v>246.12</v>
      </c>
      <c r="I66" s="2"/>
      <c r="J66" s="7">
        <f t="shared" si="17"/>
        <v>5.6571013262882346E-3</v>
      </c>
      <c r="K66" s="2"/>
      <c r="L66" s="6">
        <f t="shared" si="18"/>
        <v>-154.82999999999998</v>
      </c>
      <c r="M66" s="2"/>
      <c r="N66" s="7">
        <f t="shared" si="19"/>
        <v>-0.62908337396392</v>
      </c>
      <c r="O66" s="11"/>
      <c r="P66" s="6">
        <v>552.63</v>
      </c>
      <c r="Q66" s="2"/>
      <c r="R66" s="7">
        <f t="shared" si="20"/>
        <v>2.8179452985739318E-4</v>
      </c>
      <c r="S66" s="2"/>
      <c r="T66" s="6">
        <v>1098.71</v>
      </c>
      <c r="U66" s="2"/>
      <c r="V66" s="7">
        <f t="shared" si="21"/>
        <v>4.7610104775120028E-4</v>
      </c>
      <c r="W66" s="2"/>
      <c r="X66" s="6">
        <f t="shared" si="22"/>
        <v>-546.08000000000004</v>
      </c>
      <c r="Y66" s="2"/>
      <c r="Z66" s="7">
        <f t="shared" si="23"/>
        <v>-0.497019231644383</v>
      </c>
    </row>
    <row r="67" spans="1:26" s="24" customFormat="1" hidden="1" outlineLevel="2" x14ac:dyDescent="0.25">
      <c r="A67" s="26"/>
      <c r="B67" s="11" t="str">
        <f>CONCATENATE("          ", "6118", " - ", "VACATION")</f>
        <v xml:space="preserve">          6118 - VACATION</v>
      </c>
      <c r="C67" s="11"/>
      <c r="D67" s="6">
        <v>1542.87</v>
      </c>
      <c r="E67" s="2"/>
      <c r="F67" s="7">
        <f t="shared" si="16"/>
        <v>4.9089774085287863E-2</v>
      </c>
      <c r="G67" s="2"/>
      <c r="H67" s="6">
        <v>2764.64</v>
      </c>
      <c r="I67" s="2"/>
      <c r="J67" s="7">
        <f t="shared" si="17"/>
        <v>6.3545622504101673E-2</v>
      </c>
      <c r="K67" s="2"/>
      <c r="L67" s="6">
        <f t="shared" si="18"/>
        <v>-1221.77</v>
      </c>
      <c r="M67" s="2"/>
      <c r="N67" s="7">
        <f t="shared" si="19"/>
        <v>-0.4419273395451126</v>
      </c>
      <c r="O67" s="11"/>
      <c r="P67" s="6">
        <v>4637.22</v>
      </c>
      <c r="Q67" s="2"/>
      <c r="R67" s="7">
        <f t="shared" si="20"/>
        <v>2.3645897431288582E-3</v>
      </c>
      <c r="S67" s="2"/>
      <c r="T67" s="6">
        <v>7331.51</v>
      </c>
      <c r="U67" s="2"/>
      <c r="V67" s="7">
        <f t="shared" si="21"/>
        <v>3.1769434997391509E-3</v>
      </c>
      <c r="W67" s="2"/>
      <c r="X67" s="6">
        <f t="shared" si="22"/>
        <v>-2694.29</v>
      </c>
      <c r="Y67" s="2"/>
      <c r="Z67" s="7">
        <f t="shared" si="23"/>
        <v>-0.36749455432782602</v>
      </c>
    </row>
    <row r="68" spans="1:26" s="24" customFormat="1" hidden="1" outlineLevel="2" x14ac:dyDescent="0.25">
      <c r="A68" s="26"/>
      <c r="B68" s="11" t="str">
        <f>CONCATENATE("          ", "6119", " - ", "SICK LEAVE")</f>
        <v xml:space="preserve">          6119 - SICK LEAVE</v>
      </c>
      <c r="C68" s="11"/>
      <c r="D68" s="6">
        <v>1202.6099999999999</v>
      </c>
      <c r="E68" s="2"/>
      <c r="F68" s="7">
        <f t="shared" si="16"/>
        <v>3.8263660070328699E-2</v>
      </c>
      <c r="G68" s="2"/>
      <c r="H68" s="6">
        <v>2677.6</v>
      </c>
      <c r="I68" s="2"/>
      <c r="J68" s="7">
        <f t="shared" si="17"/>
        <v>6.1544996389035336E-2</v>
      </c>
      <c r="K68" s="2"/>
      <c r="L68" s="6">
        <f t="shared" si="18"/>
        <v>-1474.99</v>
      </c>
      <c r="M68" s="2"/>
      <c r="N68" s="7">
        <f t="shared" si="19"/>
        <v>-0.55086271287720345</v>
      </c>
      <c r="O68" s="11"/>
      <c r="P68" s="6">
        <v>4516.63</v>
      </c>
      <c r="Q68" s="2"/>
      <c r="R68" s="7">
        <f t="shared" si="20"/>
        <v>2.3030990488931073E-3</v>
      </c>
      <c r="S68" s="2"/>
      <c r="T68" s="6">
        <v>6598.02</v>
      </c>
      <c r="U68" s="2"/>
      <c r="V68" s="7">
        <f t="shared" si="21"/>
        <v>2.85910225180746E-3</v>
      </c>
      <c r="W68" s="2"/>
      <c r="X68" s="6">
        <f t="shared" si="22"/>
        <v>-2081.3900000000003</v>
      </c>
      <c r="Y68" s="2"/>
      <c r="Z68" s="7">
        <f t="shared" si="23"/>
        <v>-0.31545675823959313</v>
      </c>
    </row>
    <row r="69" spans="1:26" s="24" customFormat="1" hidden="1" outlineLevel="2" x14ac:dyDescent="0.25">
      <c r="A69" s="26"/>
      <c r="B69" s="11" t="str">
        <f>CONCATENATE("          ", "6156", " - ", "EMPLOYEE MEALS")</f>
        <v xml:space="preserve">          6156 - EMPLOYEE MEALS</v>
      </c>
      <c r="C69" s="11"/>
      <c r="D69" s="6">
        <v>621.30999999999995</v>
      </c>
      <c r="E69" s="2"/>
      <c r="F69" s="7">
        <f t="shared" si="16"/>
        <v>1.9768332741533765E-2</v>
      </c>
      <c r="G69" s="2"/>
      <c r="H69" s="6">
        <v>713.48</v>
      </c>
      <c r="I69" s="2"/>
      <c r="J69" s="7">
        <f t="shared" si="17"/>
        <v>1.6399433830164675E-2</v>
      </c>
      <c r="K69" s="2"/>
      <c r="L69" s="6">
        <f t="shared" si="18"/>
        <v>-92.170000000000073</v>
      </c>
      <c r="M69" s="2"/>
      <c r="N69" s="7">
        <f t="shared" si="19"/>
        <v>-0.12918371923529751</v>
      </c>
      <c r="O69" s="11"/>
      <c r="P69" s="6">
        <v>2378.73</v>
      </c>
      <c r="Q69" s="2"/>
      <c r="R69" s="7">
        <f t="shared" si="20"/>
        <v>1.2129509834928921E-3</v>
      </c>
      <c r="S69" s="2"/>
      <c r="T69" s="6">
        <v>2821.3</v>
      </c>
      <c r="U69" s="2"/>
      <c r="V69" s="7">
        <f t="shared" si="21"/>
        <v>1.2225463370866391E-3</v>
      </c>
      <c r="W69" s="2"/>
      <c r="X69" s="6">
        <f t="shared" si="22"/>
        <v>-442.57000000000016</v>
      </c>
      <c r="Y69" s="2"/>
      <c r="Z69" s="7">
        <f t="shared" si="23"/>
        <v>-0.15686740155247586</v>
      </c>
    </row>
    <row r="70" spans="1:26" s="27" customFormat="1" outlineLevel="1" collapsed="1" x14ac:dyDescent="0.25">
      <c r="A70" s="25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26399.489999999998</v>
      </c>
      <c r="E70" s="1"/>
      <c r="F70" s="5">
        <f t="shared" ref="F70:F75" si="24">IF(D$12=0,0,D70/D$12)</f>
        <v>0.83995735225055645</v>
      </c>
      <c r="G70" s="1"/>
      <c r="H70" s="1">
        <f>SUM(OSRRefH22_1x_0)</f>
        <v>28133.73</v>
      </c>
      <c r="I70" s="1"/>
      <c r="J70" s="5">
        <f t="shared" ref="J70:J75" si="25">IF(H$12=0,0,H70/H$12)</f>
        <v>0.64665757068273644</v>
      </c>
      <c r="K70" s="1"/>
      <c r="L70" s="1">
        <f t="shared" ref="L70:L75" si="26">+D70-H70</f>
        <v>-1734.2400000000016</v>
      </c>
      <c r="M70" s="1"/>
      <c r="N70" s="5">
        <f t="shared" ref="N70:N75" si="27">IF(H70=0,0,L70/H70)</f>
        <v>-6.1642732762417267E-2</v>
      </c>
      <c r="O70" s="13"/>
      <c r="P70" s="1">
        <f>SUM(OSRRefP22_1x_0)</f>
        <v>96461.27</v>
      </c>
      <c r="Q70" s="1"/>
      <c r="R70" s="5">
        <f t="shared" ref="R70:R75" si="28">IF(P$12=0,0,P70/P$12)</f>
        <v>4.9187083996701353E-2</v>
      </c>
      <c r="S70" s="1"/>
      <c r="T70" s="1">
        <f>SUM(OSRRefT22_1x_0)</f>
        <v>116293.12</v>
      </c>
      <c r="U70" s="1"/>
      <c r="V70" s="5">
        <f t="shared" ref="V70:V75" si="29">IF(T$12=0,0,T70/T$12)</f>
        <v>5.0392984753261608E-2</v>
      </c>
      <c r="W70" s="1"/>
      <c r="X70" s="1">
        <f t="shared" ref="X70:X75" si="30">+P70-T70</f>
        <v>-19831.849999999991</v>
      </c>
      <c r="Y70" s="1"/>
      <c r="Z70" s="5">
        <f t="shared" ref="Z70:Z75" si="31">IF(T70=0,0,X70/T70)</f>
        <v>-0.17053330411979653</v>
      </c>
    </row>
    <row r="71" spans="1:26" s="24" customFormat="1" hidden="1" outlineLevel="2" x14ac:dyDescent="0.25">
      <c r="A71" s="26"/>
      <c r="B71" s="11" t="str">
        <f>CONCATENATE("          ", "6002", " - ", "STAFF SALARIES")</f>
        <v xml:space="preserve">          6002 - STAFF SALARIES</v>
      </c>
      <c r="C71" s="11"/>
      <c r="D71" s="6">
        <v>16310.289999999999</v>
      </c>
      <c r="E71" s="2"/>
      <c r="F71" s="7">
        <f t="shared" si="24"/>
        <v>0.5189474494711348</v>
      </c>
      <c r="G71" s="2"/>
      <c r="H71" s="6">
        <v>14457.75</v>
      </c>
      <c r="I71" s="2"/>
      <c r="J71" s="7">
        <f t="shared" si="25"/>
        <v>0.33231332967716448</v>
      </c>
      <c r="K71" s="2"/>
      <c r="L71" s="6">
        <f t="shared" si="26"/>
        <v>1852.5399999999991</v>
      </c>
      <c r="M71" s="2"/>
      <c r="N71" s="7">
        <f t="shared" si="27"/>
        <v>0.1281347374245646</v>
      </c>
      <c r="O71" s="11"/>
      <c r="P71" s="6">
        <v>60889.53</v>
      </c>
      <c r="Q71" s="2"/>
      <c r="R71" s="7">
        <f t="shared" si="28"/>
        <v>3.1048507101655066E-2</v>
      </c>
      <c r="S71" s="2"/>
      <c r="T71" s="6">
        <v>54549.53</v>
      </c>
      <c r="U71" s="2"/>
      <c r="V71" s="7">
        <f t="shared" si="29"/>
        <v>2.3637801046077246E-2</v>
      </c>
      <c r="W71" s="2"/>
      <c r="X71" s="6">
        <f t="shared" si="30"/>
        <v>6340</v>
      </c>
      <c r="Y71" s="2"/>
      <c r="Z71" s="7">
        <f t="shared" si="31"/>
        <v>0.11622464941494455</v>
      </c>
    </row>
    <row r="72" spans="1:26" s="24" customFormat="1" hidden="1" outlineLevel="2" x14ac:dyDescent="0.25">
      <c r="A72" s="26"/>
      <c r="B72" s="11" t="str">
        <f>CONCATENATE("          ", "6004", " - ", "STAFF HOURLY")</f>
        <v xml:space="preserve">          6004 - STAFF HOURLY</v>
      </c>
      <c r="C72" s="11"/>
      <c r="D72" s="6">
        <v>4439.95</v>
      </c>
      <c r="E72" s="2"/>
      <c r="F72" s="7">
        <f t="shared" si="24"/>
        <v>0.14126669288402383</v>
      </c>
      <c r="G72" s="2"/>
      <c r="H72" s="6">
        <v>7272.79</v>
      </c>
      <c r="I72" s="2"/>
      <c r="J72" s="7">
        <f t="shared" si="25"/>
        <v>0.16716605702428006</v>
      </c>
      <c r="K72" s="2"/>
      <c r="L72" s="6">
        <f t="shared" si="26"/>
        <v>-2832.84</v>
      </c>
      <c r="M72" s="2"/>
      <c r="N72" s="7">
        <f t="shared" si="27"/>
        <v>-0.38951214045778859</v>
      </c>
      <c r="O72" s="11"/>
      <c r="P72" s="6">
        <v>12189.17</v>
      </c>
      <c r="Q72" s="2"/>
      <c r="R72" s="7">
        <f t="shared" si="28"/>
        <v>6.2154451070369713E-3</v>
      </c>
      <c r="S72" s="2"/>
      <c r="T72" s="6">
        <v>24870.5</v>
      </c>
      <c r="U72" s="2"/>
      <c r="V72" s="7">
        <f t="shared" si="29"/>
        <v>1.0777066840291092E-2</v>
      </c>
      <c r="W72" s="2"/>
      <c r="X72" s="6">
        <f t="shared" si="30"/>
        <v>-12681.33</v>
      </c>
      <c r="Y72" s="2"/>
      <c r="Z72" s="7">
        <f t="shared" si="31"/>
        <v>-0.50989445326792782</v>
      </c>
    </row>
    <row r="73" spans="1:26" s="24" customFormat="1" hidden="1" outlineLevel="2" x14ac:dyDescent="0.25">
      <c r="A73" s="26"/>
      <c r="B73" s="11" t="str">
        <f>CONCATENATE("          ", "6005", " - ", "TEMPORARY WAGES-HOURLY")</f>
        <v xml:space="preserve">          6005 - TEMPORARY WAGES-HOURLY</v>
      </c>
      <c r="C73" s="11"/>
      <c r="D73" s="6">
        <v>3432.62</v>
      </c>
      <c r="E73" s="2"/>
      <c r="F73" s="7">
        <f t="shared" si="24"/>
        <v>0.10921629192390858</v>
      </c>
      <c r="G73" s="2"/>
      <c r="H73" s="6">
        <v>4490.4399999999996</v>
      </c>
      <c r="I73" s="2"/>
      <c r="J73" s="7">
        <f t="shared" si="25"/>
        <v>0.10321336778651771</v>
      </c>
      <c r="K73" s="2"/>
      <c r="L73" s="6">
        <f t="shared" si="26"/>
        <v>-1057.8199999999997</v>
      </c>
      <c r="M73" s="2"/>
      <c r="N73" s="7">
        <f t="shared" si="27"/>
        <v>-0.23557156982389249</v>
      </c>
      <c r="O73" s="11"/>
      <c r="P73" s="6">
        <v>7694.1</v>
      </c>
      <c r="Q73" s="2"/>
      <c r="R73" s="7">
        <f t="shared" si="28"/>
        <v>3.9233398334794873E-3</v>
      </c>
      <c r="S73" s="2"/>
      <c r="T73" s="6">
        <v>13727.31</v>
      </c>
      <c r="U73" s="2"/>
      <c r="V73" s="7">
        <f t="shared" si="29"/>
        <v>5.948418303105941E-3</v>
      </c>
      <c r="W73" s="2"/>
      <c r="X73" s="6">
        <f t="shared" si="30"/>
        <v>-6033.2099999999991</v>
      </c>
      <c r="Y73" s="2"/>
      <c r="Z73" s="7">
        <f t="shared" si="31"/>
        <v>-0.43950417088271476</v>
      </c>
    </row>
    <row r="74" spans="1:26" s="24" customFormat="1" hidden="1" outlineLevel="2" x14ac:dyDescent="0.25">
      <c r="A74" s="26"/>
      <c r="B74" s="11" t="str">
        <f>CONCATENATE("          ", "6006", " - ", "TEMPORARY PART TIME")</f>
        <v xml:space="preserve">          6006 - TEMPORARY PART TIME</v>
      </c>
      <c r="C74" s="11"/>
      <c r="D74" s="6"/>
      <c r="E74" s="2"/>
      <c r="F74" s="7">
        <f t="shared" si="24"/>
        <v>0</v>
      </c>
      <c r="G74" s="2"/>
      <c r="H74" s="6">
        <v>335.5</v>
      </c>
      <c r="I74" s="2"/>
      <c r="J74" s="7">
        <f t="shared" si="25"/>
        <v>7.7115126563046593E-3</v>
      </c>
      <c r="K74" s="2"/>
      <c r="L74" s="6">
        <f t="shared" si="26"/>
        <v>-335.5</v>
      </c>
      <c r="M74" s="2"/>
      <c r="N74" s="7">
        <f t="shared" si="27"/>
        <v>-1</v>
      </c>
      <c r="O74" s="11"/>
      <c r="P74" s="6"/>
      <c r="Q74" s="2"/>
      <c r="R74" s="7">
        <f t="shared" si="28"/>
        <v>0</v>
      </c>
      <c r="S74" s="2"/>
      <c r="T74" s="6">
        <v>3364.06</v>
      </c>
      <c r="U74" s="2"/>
      <c r="V74" s="7">
        <f t="shared" si="29"/>
        <v>1.4577390673589051E-3</v>
      </c>
      <c r="W74" s="2"/>
      <c r="X74" s="6">
        <f t="shared" si="30"/>
        <v>-3364.06</v>
      </c>
      <c r="Y74" s="2"/>
      <c r="Z74" s="7">
        <f t="shared" si="31"/>
        <v>-1</v>
      </c>
    </row>
    <row r="75" spans="1:26" s="24" customFormat="1" hidden="1" outlineLevel="2" x14ac:dyDescent="0.25">
      <c r="A75" s="26"/>
      <c r="B75" s="11" t="str">
        <f>CONCATENATE("          ", "6007", " - ", "STUDENT HOURLY")</f>
        <v xml:space="preserve">          6007 - STUDENT HOURLY</v>
      </c>
      <c r="C75" s="11"/>
      <c r="D75" s="6">
        <v>2216.63</v>
      </c>
      <c r="E75" s="2"/>
      <c r="F75" s="7">
        <f t="shared" si="24"/>
        <v>7.0526917971489272E-2</v>
      </c>
      <c r="G75" s="2"/>
      <c r="H75" s="6">
        <v>1577.25</v>
      </c>
      <c r="I75" s="2"/>
      <c r="J75" s="7">
        <f t="shared" si="25"/>
        <v>3.625330353846952E-2</v>
      </c>
      <c r="K75" s="2"/>
      <c r="L75" s="6">
        <f t="shared" si="26"/>
        <v>639.38000000000011</v>
      </c>
      <c r="M75" s="2"/>
      <c r="N75" s="7">
        <f t="shared" si="27"/>
        <v>0.40537644634648923</v>
      </c>
      <c r="O75" s="11"/>
      <c r="P75" s="6">
        <v>15688.470000000001</v>
      </c>
      <c r="Q75" s="2"/>
      <c r="R75" s="7">
        <f t="shared" si="28"/>
        <v>7.9997919545298259E-3</v>
      </c>
      <c r="S75" s="2"/>
      <c r="T75" s="6">
        <v>19781.72</v>
      </c>
      <c r="U75" s="2"/>
      <c r="V75" s="7">
        <f t="shared" si="29"/>
        <v>8.5719594964284232E-3</v>
      </c>
      <c r="W75" s="2"/>
      <c r="X75" s="6">
        <f t="shared" si="30"/>
        <v>-4093.25</v>
      </c>
      <c r="Y75" s="2"/>
      <c r="Z75" s="7">
        <f t="shared" si="31"/>
        <v>-0.20692083398208042</v>
      </c>
    </row>
    <row r="76" spans="1:26" s="27" customFormat="1" outlineLevel="1" collapsed="1" x14ac:dyDescent="0.25">
      <c r="A76" s="25"/>
      <c r="B76" s="13" t="str">
        <f>CONCATENATE("     ","Advertising/Promo                                 ")</f>
        <v xml:space="preserve">     Advertising/Promo                                 </v>
      </c>
      <c r="C76" s="13"/>
      <c r="D76" s="1">
        <f>SUM(OSRRefD22_2x_0)</f>
        <v>81</v>
      </c>
      <c r="E76" s="1"/>
      <c r="F76" s="5">
        <f t="shared" ref="F76:F80" si="32">IF(D$12=0,0,D76/D$12)</f>
        <v>2.5771916628804224E-3</v>
      </c>
      <c r="G76" s="1"/>
      <c r="H76" s="1">
        <f>SUM(OSRRefH22_2x_0)</f>
        <v>116.74</v>
      </c>
      <c r="I76" s="1"/>
      <c r="J76" s="5">
        <f t="shared" ref="J76:J80" si="33">IF(H$12=0,0,H76/H$12)</f>
        <v>2.6832846125097046E-3</v>
      </c>
      <c r="K76" s="1"/>
      <c r="L76" s="1">
        <f t="shared" ref="L76:L80" si="34">+D76-H76</f>
        <v>-35.739999999999995</v>
      </c>
      <c r="M76" s="1"/>
      <c r="N76" s="5">
        <f t="shared" ref="N76:N80" si="35">IF(H76=0,0,L76/H76)</f>
        <v>-0.3061504197361658</v>
      </c>
      <c r="O76" s="13"/>
      <c r="P76" s="1">
        <f>SUM(OSRRefP22_2x_0)</f>
        <v>3136.02</v>
      </c>
      <c r="Q76" s="1"/>
      <c r="R76" s="5">
        <f t="shared" ref="R76:R80" si="36">IF(P$12=0,0,P76/P$12)</f>
        <v>1.5991047925798133E-3</v>
      </c>
      <c r="S76" s="1"/>
      <c r="T76" s="1">
        <f>SUM(OSRRefT22_2x_0)</f>
        <v>1981.34</v>
      </c>
      <c r="U76" s="1"/>
      <c r="V76" s="5">
        <f t="shared" ref="V76:V80" si="37">IF(T$12=0,0,T76/T$12)</f>
        <v>8.5856873055798442E-4</v>
      </c>
      <c r="W76" s="1"/>
      <c r="X76" s="1">
        <f t="shared" ref="X76:X80" si="38">+P76-T76</f>
        <v>1154.68</v>
      </c>
      <c r="Y76" s="1"/>
      <c r="Z76" s="5">
        <f t="shared" ref="Z76:Z80" si="39">IF(T76=0,0,X76/T76)</f>
        <v>0.58277731232398278</v>
      </c>
    </row>
    <row r="77" spans="1:26" s="24" customFormat="1" hidden="1" outlineLevel="2" x14ac:dyDescent="0.25">
      <c r="A77" s="26"/>
      <c r="B77" s="11" t="str">
        <f>CONCATENATE("          ", "6362", " - ", "ADVERTISING EXPENSE")</f>
        <v xml:space="preserve">          6362 - ADVERTISING EXPENSE</v>
      </c>
      <c r="C77" s="11"/>
      <c r="D77" s="6">
        <v>81</v>
      </c>
      <c r="E77" s="2"/>
      <c r="F77" s="7">
        <f t="shared" si="32"/>
        <v>2.5771916628804224E-3</v>
      </c>
      <c r="G77" s="2"/>
      <c r="H77" s="6">
        <v>116.74</v>
      </c>
      <c r="I77" s="2"/>
      <c r="J77" s="7">
        <f t="shared" si="33"/>
        <v>2.6832846125097046E-3</v>
      </c>
      <c r="K77" s="2"/>
      <c r="L77" s="6">
        <f t="shared" si="34"/>
        <v>-35.739999999999995</v>
      </c>
      <c r="M77" s="2"/>
      <c r="N77" s="7">
        <f t="shared" si="35"/>
        <v>-0.3061504197361658</v>
      </c>
      <c r="O77" s="11"/>
      <c r="P77" s="6">
        <v>3136.02</v>
      </c>
      <c r="Q77" s="2"/>
      <c r="R77" s="7">
        <f t="shared" si="36"/>
        <v>1.5991047925798133E-3</v>
      </c>
      <c r="S77" s="2"/>
      <c r="T77" s="6">
        <v>1981.34</v>
      </c>
      <c r="U77" s="2"/>
      <c r="V77" s="7">
        <f t="shared" si="37"/>
        <v>8.5856873055798442E-4</v>
      </c>
      <c r="W77" s="2"/>
      <c r="X77" s="6">
        <f t="shared" si="38"/>
        <v>1154.68</v>
      </c>
      <c r="Y77" s="2"/>
      <c r="Z77" s="7">
        <f t="shared" si="39"/>
        <v>0.58277731232398278</v>
      </c>
    </row>
    <row r="78" spans="1:26" s="27" customFormat="1" outlineLevel="1" collapsed="1" x14ac:dyDescent="0.25">
      <c r="A78" s="25"/>
      <c r="B78" s="13" t="str">
        <f>CONCATENATE("     ","Discounts and Markdowns                           ")</f>
        <v xml:space="preserve">     Discounts and Markdowns                           </v>
      </c>
      <c r="C78" s="13"/>
      <c r="D78" s="1">
        <f>SUM(OSRRefD22_3x_0)</f>
        <v>441.38</v>
      </c>
      <c r="E78" s="1"/>
      <c r="F78" s="5">
        <f t="shared" si="32"/>
        <v>1.4043467360026676E-2</v>
      </c>
      <c r="G78" s="1"/>
      <c r="H78" s="1">
        <f>SUM(OSRRefH22_3x_0)</f>
        <v>-53.86</v>
      </c>
      <c r="I78" s="1"/>
      <c r="J78" s="5">
        <f t="shared" si="33"/>
        <v>-1.237979349235675E-3</v>
      </c>
      <c r="K78" s="1"/>
      <c r="L78" s="1">
        <f t="shared" si="34"/>
        <v>495.24</v>
      </c>
      <c r="M78" s="1"/>
      <c r="N78" s="5">
        <f t="shared" si="35"/>
        <v>-9.1949498700334207</v>
      </c>
      <c r="O78" s="13"/>
      <c r="P78" s="1">
        <f>SUM(OSRRefP22_3x_0)</f>
        <v>-2756.05</v>
      </c>
      <c r="Q78" s="1"/>
      <c r="R78" s="5">
        <f t="shared" si="36"/>
        <v>-1.405352250173658E-3</v>
      </c>
      <c r="S78" s="1"/>
      <c r="T78" s="1">
        <f>SUM(OSRRefT22_3x_0)</f>
        <v>17043.060000000001</v>
      </c>
      <c r="U78" s="1"/>
      <c r="V78" s="5">
        <f t="shared" si="37"/>
        <v>7.3852233281635482E-3</v>
      </c>
      <c r="W78" s="1"/>
      <c r="X78" s="1">
        <f t="shared" si="38"/>
        <v>-19799.11</v>
      </c>
      <c r="Y78" s="1"/>
      <c r="Z78" s="5">
        <f t="shared" si="39"/>
        <v>-1.1617109838256745</v>
      </c>
    </row>
    <row r="79" spans="1:26" s="24" customFormat="1" hidden="1" outlineLevel="2" x14ac:dyDescent="0.25">
      <c r="A79" s="26"/>
      <c r="B79" s="11" t="str">
        <f>CONCATENATE("          ", "6382", " - ", "DISCOUNTS/MARK DOWNS")</f>
        <v xml:space="preserve">          6382 - DISCOUNTS/MARK DOWNS</v>
      </c>
      <c r="C79" s="11"/>
      <c r="D79" s="6">
        <v>434.52</v>
      </c>
      <c r="E79" s="2"/>
      <c r="F79" s="7">
        <f t="shared" si="32"/>
        <v>1.382520149820742E-2</v>
      </c>
      <c r="G79" s="2"/>
      <c r="H79" s="6">
        <v>-83.09</v>
      </c>
      <c r="I79" s="2"/>
      <c r="J79" s="7">
        <f t="shared" si="33"/>
        <v>-1.9098348334198336E-3</v>
      </c>
      <c r="K79" s="2"/>
      <c r="L79" s="6">
        <f t="shared" si="34"/>
        <v>517.61</v>
      </c>
      <c r="M79" s="2"/>
      <c r="N79" s="7">
        <f t="shared" si="35"/>
        <v>-6.2295101696955104</v>
      </c>
      <c r="O79" s="11"/>
      <c r="P79" s="6">
        <v>-2322.42</v>
      </c>
      <c r="Q79" s="2"/>
      <c r="R79" s="7">
        <f t="shared" si="36"/>
        <v>-1.1842376491167819E-3</v>
      </c>
      <c r="S79" s="2"/>
      <c r="T79" s="6">
        <v>17120.63</v>
      </c>
      <c r="U79" s="2"/>
      <c r="V79" s="7">
        <f t="shared" si="37"/>
        <v>7.4188365275283125E-3</v>
      </c>
      <c r="W79" s="2"/>
      <c r="X79" s="6">
        <f t="shared" si="38"/>
        <v>-19443.050000000003</v>
      </c>
      <c r="Y79" s="2"/>
      <c r="Z79" s="7">
        <f t="shared" si="39"/>
        <v>-1.1356503820244934</v>
      </c>
    </row>
    <row r="80" spans="1:26" s="24" customFormat="1" hidden="1" outlineLevel="2" x14ac:dyDescent="0.25">
      <c r="A80" s="26"/>
      <c r="B80" s="11" t="str">
        <f>CONCATENATE("          ", "9175", " - ", "EARNED DISCOUNTS")</f>
        <v xml:space="preserve">          9175 - EARNED DISCOUNTS</v>
      </c>
      <c r="C80" s="11"/>
      <c r="D80" s="6">
        <v>6.86</v>
      </c>
      <c r="E80" s="2"/>
      <c r="F80" s="7">
        <f t="shared" si="32"/>
        <v>2.1826586181925554E-4</v>
      </c>
      <c r="G80" s="2"/>
      <c r="H80" s="6">
        <v>29.23</v>
      </c>
      <c r="I80" s="2"/>
      <c r="J80" s="7">
        <f t="shared" si="33"/>
        <v>6.7185548418415854E-4</v>
      </c>
      <c r="K80" s="2"/>
      <c r="L80" s="6">
        <f t="shared" si="34"/>
        <v>-22.37</v>
      </c>
      <c r="M80" s="2"/>
      <c r="N80" s="7">
        <f t="shared" si="35"/>
        <v>-0.76530961341087922</v>
      </c>
      <c r="O80" s="11"/>
      <c r="P80" s="6">
        <v>-433.63</v>
      </c>
      <c r="Q80" s="2"/>
      <c r="R80" s="7">
        <f t="shared" si="36"/>
        <v>-2.2111460105687605E-4</v>
      </c>
      <c r="S80" s="2"/>
      <c r="T80" s="6">
        <v>-77.569999999999993</v>
      </c>
      <c r="U80" s="2"/>
      <c r="V80" s="7">
        <f t="shared" si="37"/>
        <v>-3.3613199364764679E-5</v>
      </c>
      <c r="W80" s="2"/>
      <c r="X80" s="6">
        <f t="shared" si="38"/>
        <v>-356.06</v>
      </c>
      <c r="Y80" s="2"/>
      <c r="Z80" s="7">
        <f t="shared" si="39"/>
        <v>4.5901766146706207</v>
      </c>
    </row>
    <row r="81" spans="1:26" s="27" customFormat="1" outlineLevel="1" collapsed="1" x14ac:dyDescent="0.25">
      <c r="A81" s="25"/>
      <c r="B81" s="13" t="str">
        <f>CONCATENATE("     ","Employees' Appreciation                           ")</f>
        <v xml:space="preserve">     Employees' Appreciation                           </v>
      </c>
      <c r="C81" s="13"/>
      <c r="D81" s="1">
        <f>SUM(OSRRefD22_4x_0)</f>
        <v>0</v>
      </c>
      <c r="E81" s="1"/>
      <c r="F81" s="5">
        <f t="shared" ref="F81:F87" si="40">IF(D$12=0,0,D81/D$12)</f>
        <v>0</v>
      </c>
      <c r="G81" s="1"/>
      <c r="H81" s="1">
        <f>SUM(OSRRefH22_4x_0)</f>
        <v>278.49</v>
      </c>
      <c r="I81" s="1"/>
      <c r="J81" s="5">
        <f t="shared" ref="J81:J87" si="41">IF(H$12=0,0,H81/H$12)</f>
        <v>6.4011301330977191E-3</v>
      </c>
      <c r="K81" s="1"/>
      <c r="L81" s="1">
        <f t="shared" ref="L81:L87" si="42">+D81-H81</f>
        <v>-278.49</v>
      </c>
      <c r="M81" s="1"/>
      <c r="N81" s="5">
        <f t="shared" ref="N81:N87" si="43">IF(H81=0,0,L81/H81)</f>
        <v>-1</v>
      </c>
      <c r="O81" s="13"/>
      <c r="P81" s="1">
        <f>SUM(OSRRefP22_4x_0)</f>
        <v>0</v>
      </c>
      <c r="Q81" s="1"/>
      <c r="R81" s="5">
        <f t="shared" ref="R81:R87" si="44">IF(P$12=0,0,P81/P$12)</f>
        <v>0</v>
      </c>
      <c r="S81" s="1"/>
      <c r="T81" s="1">
        <f>SUM(OSRRefT22_4x_0)</f>
        <v>299.06</v>
      </c>
      <c r="U81" s="1"/>
      <c r="V81" s="5">
        <f t="shared" ref="V81:V87" si="45">IF(T$12=0,0,T81/T$12)</f>
        <v>1.2959086505126371E-4</v>
      </c>
      <c r="W81" s="1"/>
      <c r="X81" s="1">
        <f t="shared" ref="X81:X87" si="46">+P81-T81</f>
        <v>-299.06</v>
      </c>
      <c r="Y81" s="1"/>
      <c r="Z81" s="5">
        <f t="shared" ref="Z81:Z87" si="47">IF(T81=0,0,X81/T81)</f>
        <v>-1</v>
      </c>
    </row>
    <row r="82" spans="1:26" s="24" customFormat="1" hidden="1" outlineLevel="2" x14ac:dyDescent="0.25">
      <c r="A82" s="26"/>
      <c r="B82" s="11" t="str">
        <f>CONCATENATE("          ", "6277", " - ", "EMPLOYEE APPRECIATION")</f>
        <v xml:space="preserve">          6277 - EMPLOYEE APPRECIATION</v>
      </c>
      <c r="C82" s="11"/>
      <c r="D82" s="6"/>
      <c r="E82" s="2"/>
      <c r="F82" s="7">
        <f t="shared" si="40"/>
        <v>0</v>
      </c>
      <c r="G82" s="2"/>
      <c r="H82" s="6">
        <v>278.49</v>
      </c>
      <c r="I82" s="2"/>
      <c r="J82" s="7">
        <f t="shared" si="41"/>
        <v>6.4011301330977191E-3</v>
      </c>
      <c r="K82" s="2"/>
      <c r="L82" s="6">
        <f t="shared" si="42"/>
        <v>-278.49</v>
      </c>
      <c r="M82" s="2"/>
      <c r="N82" s="7">
        <f t="shared" si="43"/>
        <v>-1</v>
      </c>
      <c r="O82" s="11"/>
      <c r="P82" s="6"/>
      <c r="Q82" s="2"/>
      <c r="R82" s="7">
        <f t="shared" si="44"/>
        <v>0</v>
      </c>
      <c r="S82" s="2"/>
      <c r="T82" s="6">
        <v>299.06</v>
      </c>
      <c r="U82" s="2"/>
      <c r="V82" s="7">
        <f t="shared" si="45"/>
        <v>1.2959086505126371E-4</v>
      </c>
      <c r="W82" s="2"/>
      <c r="X82" s="6">
        <f t="shared" si="46"/>
        <v>-299.06</v>
      </c>
      <c r="Y82" s="2"/>
      <c r="Z82" s="7">
        <f t="shared" si="47"/>
        <v>-1</v>
      </c>
    </row>
    <row r="83" spans="1:26" s="27" customFormat="1" outlineLevel="1" collapsed="1" x14ac:dyDescent="0.25">
      <c r="A83" s="25"/>
      <c r="B83" s="13" t="str">
        <f>CONCATENATE("     ","Equipment Rental                                  ")</f>
        <v xml:space="preserve">     Equipment Rental                                  </v>
      </c>
      <c r="C83" s="13"/>
      <c r="D83" s="1">
        <f>SUM(OSRRefD22_5x_0)</f>
        <v>182.52</v>
      </c>
      <c r="E83" s="1"/>
      <c r="F83" s="5">
        <f t="shared" si="40"/>
        <v>5.8072718803572187E-3</v>
      </c>
      <c r="G83" s="1"/>
      <c r="H83" s="1">
        <f>SUM(OSRRefH22_5x_0)</f>
        <v>91.26</v>
      </c>
      <c r="I83" s="1"/>
      <c r="J83" s="5">
        <f t="shared" si="41"/>
        <v>2.0976233830532435E-3</v>
      </c>
      <c r="K83" s="1"/>
      <c r="L83" s="1">
        <f t="shared" si="42"/>
        <v>91.26</v>
      </c>
      <c r="M83" s="1"/>
      <c r="N83" s="5">
        <f t="shared" si="43"/>
        <v>1</v>
      </c>
      <c r="O83" s="13"/>
      <c r="P83" s="1">
        <f>SUM(OSRRefP22_5x_0)</f>
        <v>456.3</v>
      </c>
      <c r="Q83" s="1"/>
      <c r="R83" s="5">
        <f t="shared" si="44"/>
        <v>2.3267438245105863E-4</v>
      </c>
      <c r="S83" s="1"/>
      <c r="T83" s="1">
        <f>SUM(OSRRefT22_5x_0)</f>
        <v>365.04</v>
      </c>
      <c r="U83" s="1"/>
      <c r="V83" s="5">
        <f t="shared" si="45"/>
        <v>1.581818009038765E-4</v>
      </c>
      <c r="W83" s="1"/>
      <c r="X83" s="1">
        <f t="shared" si="46"/>
        <v>91.259999999999991</v>
      </c>
      <c r="Y83" s="1"/>
      <c r="Z83" s="5">
        <f t="shared" si="47"/>
        <v>0.24999999999999997</v>
      </c>
    </row>
    <row r="84" spans="1:26" s="24" customFormat="1" hidden="1" outlineLevel="2" x14ac:dyDescent="0.25">
      <c r="A84" s="26"/>
      <c r="B84" s="11" t="str">
        <f>CONCATENATE("          ", "6351", " - ", "EQUIPMENT RENTAL")</f>
        <v xml:space="preserve">          6351 - EQUIPMENT RENTAL</v>
      </c>
      <c r="C84" s="11"/>
      <c r="D84" s="6">
        <v>182.52</v>
      </c>
      <c r="E84" s="2"/>
      <c r="F84" s="7">
        <f t="shared" si="40"/>
        <v>5.8072718803572187E-3</v>
      </c>
      <c r="G84" s="2"/>
      <c r="H84" s="6">
        <v>91.26</v>
      </c>
      <c r="I84" s="2"/>
      <c r="J84" s="7">
        <f t="shared" si="41"/>
        <v>2.0976233830532435E-3</v>
      </c>
      <c r="K84" s="2"/>
      <c r="L84" s="6">
        <f t="shared" si="42"/>
        <v>91.26</v>
      </c>
      <c r="M84" s="2"/>
      <c r="N84" s="7">
        <f t="shared" si="43"/>
        <v>1</v>
      </c>
      <c r="O84" s="11"/>
      <c r="P84" s="6">
        <v>456.3</v>
      </c>
      <c r="Q84" s="2"/>
      <c r="R84" s="7">
        <f t="shared" si="44"/>
        <v>2.3267438245105863E-4</v>
      </c>
      <c r="S84" s="2"/>
      <c r="T84" s="6">
        <v>365.04</v>
      </c>
      <c r="U84" s="2"/>
      <c r="V84" s="7">
        <f t="shared" si="45"/>
        <v>1.581818009038765E-4</v>
      </c>
      <c r="W84" s="2"/>
      <c r="X84" s="6">
        <f t="shared" si="46"/>
        <v>91.259999999999991</v>
      </c>
      <c r="Y84" s="2"/>
      <c r="Z84" s="7">
        <f t="shared" si="47"/>
        <v>0.24999999999999997</v>
      </c>
    </row>
    <row r="85" spans="1:26" s="27" customFormat="1" outlineLevel="1" collapsed="1" x14ac:dyDescent="0.25">
      <c r="A85" s="25"/>
      <c r="B85" s="13" t="str">
        <f>CONCATENATE("     ","Freight out/Postage                               ")</f>
        <v xml:space="preserve">     Freight out/Postage                               </v>
      </c>
      <c r="C85" s="13"/>
      <c r="D85" s="1">
        <f>SUM(OSRRefD22_6x_0)</f>
        <v>1312.76</v>
      </c>
      <c r="E85" s="1"/>
      <c r="F85" s="5">
        <f t="shared" si="40"/>
        <v>4.1768322560035841E-2</v>
      </c>
      <c r="G85" s="1"/>
      <c r="H85" s="1">
        <f>SUM(OSRRefH22_6x_0)</f>
        <v>3917.5699999999997</v>
      </c>
      <c r="I85" s="1"/>
      <c r="J85" s="5">
        <f t="shared" si="41"/>
        <v>9.0045873731622775E-2</v>
      </c>
      <c r="K85" s="1"/>
      <c r="L85" s="1">
        <f t="shared" si="42"/>
        <v>-2604.8099999999995</v>
      </c>
      <c r="M85" s="1"/>
      <c r="N85" s="5">
        <f t="shared" si="43"/>
        <v>-0.66490451989370958</v>
      </c>
      <c r="O85" s="13"/>
      <c r="P85" s="1">
        <f>SUM(OSRRefP22_6x_0)</f>
        <v>4115.17</v>
      </c>
      <c r="Q85" s="1"/>
      <c r="R85" s="5">
        <f t="shared" si="44"/>
        <v>2.0983884252270936E-3</v>
      </c>
      <c r="S85" s="1"/>
      <c r="T85" s="1">
        <f>SUM(OSRRefT22_6x_0)</f>
        <v>8731.4800000000014</v>
      </c>
      <c r="U85" s="1"/>
      <c r="V85" s="5">
        <f t="shared" si="45"/>
        <v>3.783588732621575E-3</v>
      </c>
      <c r="W85" s="1"/>
      <c r="X85" s="1">
        <f t="shared" si="46"/>
        <v>-4616.3100000000013</v>
      </c>
      <c r="Y85" s="1"/>
      <c r="Z85" s="5">
        <f t="shared" si="47"/>
        <v>-0.52869731133782594</v>
      </c>
    </row>
    <row r="86" spans="1:26" s="24" customFormat="1" hidden="1" outlineLevel="2" x14ac:dyDescent="0.25">
      <c r="A86" s="26"/>
      <c r="B86" s="11" t="str">
        <f>CONCATENATE("          ", "6305", " - ", "FREIGHT OUT")</f>
        <v xml:space="preserve">          6305 - FREIGHT OUT</v>
      </c>
      <c r="C86" s="11"/>
      <c r="D86" s="6">
        <v>1312.76</v>
      </c>
      <c r="E86" s="2"/>
      <c r="F86" s="7">
        <f t="shared" si="40"/>
        <v>4.1768322560035841E-2</v>
      </c>
      <c r="G86" s="2"/>
      <c r="H86" s="6">
        <v>3917.1</v>
      </c>
      <c r="I86" s="2"/>
      <c r="J86" s="7">
        <f t="shared" si="41"/>
        <v>9.0035070718363586E-2</v>
      </c>
      <c r="K86" s="2"/>
      <c r="L86" s="6">
        <f t="shared" si="42"/>
        <v>-2604.34</v>
      </c>
      <c r="M86" s="2"/>
      <c r="N86" s="7">
        <f t="shared" si="43"/>
        <v>-0.66486431288453196</v>
      </c>
      <c r="O86" s="11"/>
      <c r="P86" s="6">
        <v>4114.67</v>
      </c>
      <c r="Q86" s="2"/>
      <c r="R86" s="7">
        <f t="shared" si="44"/>
        <v>2.0981334675430579E-3</v>
      </c>
      <c r="S86" s="2"/>
      <c r="T86" s="6">
        <v>8730.5400000000009</v>
      </c>
      <c r="U86" s="2"/>
      <c r="V86" s="7">
        <f t="shared" si="45"/>
        <v>3.7831814049510467E-3</v>
      </c>
      <c r="W86" s="2"/>
      <c r="X86" s="6">
        <f t="shared" si="46"/>
        <v>-4615.8700000000008</v>
      </c>
      <c r="Y86" s="2"/>
      <c r="Z86" s="7">
        <f t="shared" si="47"/>
        <v>-0.52870383733423132</v>
      </c>
    </row>
    <row r="87" spans="1:26" s="24" customFormat="1" hidden="1" outlineLevel="2" x14ac:dyDescent="0.25">
      <c r="A87" s="26"/>
      <c r="B87" s="11" t="str">
        <f>CONCATENATE("          ", "6307", " - ", "POSTAGE")</f>
        <v xml:space="preserve">          6307 - POSTAGE</v>
      </c>
      <c r="C87" s="11"/>
      <c r="D87" s="6"/>
      <c r="E87" s="2"/>
      <c r="F87" s="7">
        <f t="shared" si="40"/>
        <v>0</v>
      </c>
      <c r="G87" s="2"/>
      <c r="H87" s="6">
        <v>0.47</v>
      </c>
      <c r="I87" s="2"/>
      <c r="J87" s="7">
        <f t="shared" si="41"/>
        <v>1.0803013259204739E-5</v>
      </c>
      <c r="K87" s="2"/>
      <c r="L87" s="6">
        <f t="shared" si="42"/>
        <v>-0.47</v>
      </c>
      <c r="M87" s="2"/>
      <c r="N87" s="7">
        <f t="shared" si="43"/>
        <v>-1</v>
      </c>
      <c r="O87" s="11"/>
      <c r="P87" s="6">
        <v>0.5</v>
      </c>
      <c r="Q87" s="2"/>
      <c r="R87" s="7">
        <f t="shared" si="44"/>
        <v>2.5495768403578637E-7</v>
      </c>
      <c r="S87" s="2"/>
      <c r="T87" s="6">
        <v>0.94</v>
      </c>
      <c r="U87" s="2"/>
      <c r="V87" s="7">
        <f t="shared" si="45"/>
        <v>4.0732767052828153E-7</v>
      </c>
      <c r="W87" s="2"/>
      <c r="X87" s="6">
        <f t="shared" si="46"/>
        <v>-0.43999999999999995</v>
      </c>
      <c r="Y87" s="2"/>
      <c r="Z87" s="7">
        <f t="shared" si="47"/>
        <v>-0.46808510638297868</v>
      </c>
    </row>
    <row r="88" spans="1:26" s="27" customFormat="1" outlineLevel="1" collapsed="1" x14ac:dyDescent="0.25">
      <c r="A88" s="25"/>
      <c r="B88" s="13" t="str">
        <f>CONCATENATE("     ","General                                           ")</f>
        <v xml:space="preserve">     General                                           </v>
      </c>
      <c r="C88" s="13"/>
      <c r="D88" s="1">
        <f>SUM(OSRRefD22_7x_0)</f>
        <v>0</v>
      </c>
      <c r="E88" s="1"/>
      <c r="F88" s="5">
        <f t="shared" ref="F88:F94" si="48">IF(D$12=0,0,D88/D$12)</f>
        <v>0</v>
      </c>
      <c r="G88" s="1"/>
      <c r="H88" s="1">
        <f>SUM(OSRRefH22_7x_0)</f>
        <v>0</v>
      </c>
      <c r="I88" s="1"/>
      <c r="J88" s="5">
        <f t="shared" ref="J88:J94" si="49">IF(H$12=0,0,H88/H$12)</f>
        <v>0</v>
      </c>
      <c r="K88" s="1"/>
      <c r="L88" s="1">
        <f t="shared" ref="L88:L94" si="50">+D88-H88</f>
        <v>0</v>
      </c>
      <c r="M88" s="1"/>
      <c r="N88" s="5">
        <f t="shared" ref="N88:N94" si="51">IF(H88=0,0,L88/H88)</f>
        <v>0</v>
      </c>
      <c r="O88" s="13"/>
      <c r="P88" s="1">
        <f>SUM(OSRRefP22_7x_0)</f>
        <v>-1492.16</v>
      </c>
      <c r="Q88" s="1"/>
      <c r="R88" s="5">
        <f t="shared" ref="R88:R94" si="52">IF(P$12=0,0,P88/P$12)</f>
        <v>-7.6087531562167793E-4</v>
      </c>
      <c r="S88" s="1"/>
      <c r="T88" s="1">
        <f>SUM(OSRRefT22_7x_0)</f>
        <v>-648.41999999999996</v>
      </c>
      <c r="U88" s="1"/>
      <c r="V88" s="5">
        <f t="shared" ref="V88:V94" si="53">IF(T$12=0,0,T88/T$12)</f>
        <v>-2.809780937488812E-4</v>
      </c>
      <c r="W88" s="1"/>
      <c r="X88" s="1">
        <f t="shared" ref="X88:X94" si="54">+P88-T88</f>
        <v>-843.74000000000012</v>
      </c>
      <c r="Y88" s="1"/>
      <c r="Z88" s="5">
        <f t="shared" ref="Z88:Z94" si="55">IF(T88=0,0,X88/T88)</f>
        <v>1.3012245149748622</v>
      </c>
    </row>
    <row r="89" spans="1:26" s="24" customFormat="1" hidden="1" outlineLevel="2" x14ac:dyDescent="0.25">
      <c r="A89" s="26"/>
      <c r="B89" s="11" t="str">
        <f>CONCATENATE("          ", "6279", " - ", "GENERAL EXPENSE")</f>
        <v xml:space="preserve">          6279 - GENERAL EXPENSE</v>
      </c>
      <c r="C89" s="11"/>
      <c r="D89" s="6"/>
      <c r="E89" s="2"/>
      <c r="F89" s="7">
        <f t="shared" si="48"/>
        <v>0</v>
      </c>
      <c r="G89" s="2"/>
      <c r="H89" s="6"/>
      <c r="I89" s="2"/>
      <c r="J89" s="7">
        <f t="shared" si="49"/>
        <v>0</v>
      </c>
      <c r="K89" s="2"/>
      <c r="L89" s="6">
        <f t="shared" si="50"/>
        <v>0</v>
      </c>
      <c r="M89" s="2"/>
      <c r="N89" s="7">
        <f t="shared" si="51"/>
        <v>0</v>
      </c>
      <c r="O89" s="11"/>
      <c r="P89" s="6">
        <v>-1492.16</v>
      </c>
      <c r="Q89" s="2"/>
      <c r="R89" s="7">
        <f t="shared" si="52"/>
        <v>-7.6087531562167793E-4</v>
      </c>
      <c r="S89" s="2"/>
      <c r="T89" s="6">
        <v>-648.41999999999996</v>
      </c>
      <c r="U89" s="2"/>
      <c r="V89" s="7">
        <f t="shared" si="53"/>
        <v>-2.809780937488812E-4</v>
      </c>
      <c r="W89" s="2"/>
      <c r="X89" s="6">
        <f t="shared" si="54"/>
        <v>-843.74000000000012</v>
      </c>
      <c r="Y89" s="2"/>
      <c r="Z89" s="7">
        <f t="shared" si="55"/>
        <v>1.3012245149748622</v>
      </c>
    </row>
    <row r="90" spans="1:26" s="27" customFormat="1" outlineLevel="1" collapsed="1" x14ac:dyDescent="0.25">
      <c r="A90" s="25"/>
      <c r="B90" s="13" t="str">
        <f>CONCATENATE("     ","Inventory Adjustment                              ")</f>
        <v xml:space="preserve">     Inventory Adjustment                              </v>
      </c>
      <c r="C90" s="13"/>
      <c r="D90" s="1">
        <f>SUM(OSRRefD22_8x_0)</f>
        <v>1000</v>
      </c>
      <c r="E90" s="1"/>
      <c r="F90" s="5">
        <f t="shared" si="48"/>
        <v>3.181718102321509E-2</v>
      </c>
      <c r="G90" s="1"/>
      <c r="H90" s="1">
        <f>SUM(OSRRefH22_8x_0)</f>
        <v>6950</v>
      </c>
      <c r="I90" s="1"/>
      <c r="J90" s="5">
        <f t="shared" si="49"/>
        <v>0.15974668542866582</v>
      </c>
      <c r="K90" s="1"/>
      <c r="L90" s="1">
        <f t="shared" si="50"/>
        <v>-5950</v>
      </c>
      <c r="M90" s="1"/>
      <c r="N90" s="5">
        <f t="shared" si="51"/>
        <v>-0.85611510791366907</v>
      </c>
      <c r="O90" s="13"/>
      <c r="P90" s="1">
        <f>SUM(OSRRefP22_8x_0)</f>
        <v>4000</v>
      </c>
      <c r="Q90" s="1"/>
      <c r="R90" s="5">
        <f t="shared" si="52"/>
        <v>2.0396614722862907E-3</v>
      </c>
      <c r="S90" s="1"/>
      <c r="T90" s="1">
        <f>SUM(OSRRefT22_8x_0)</f>
        <v>27800</v>
      </c>
      <c r="U90" s="1"/>
      <c r="V90" s="5">
        <f t="shared" si="53"/>
        <v>1.2046499192219392E-2</v>
      </c>
      <c r="W90" s="1"/>
      <c r="X90" s="1">
        <f t="shared" si="54"/>
        <v>-23800</v>
      </c>
      <c r="Y90" s="1"/>
      <c r="Z90" s="5">
        <f t="shared" si="55"/>
        <v>-0.85611510791366907</v>
      </c>
    </row>
    <row r="91" spans="1:26" s="24" customFormat="1" hidden="1" outlineLevel="2" x14ac:dyDescent="0.25">
      <c r="A91" s="26"/>
      <c r="B91" s="11" t="str">
        <f>CONCATENATE("          ", "6408", " - ", "INVENTORY ADJUSTMENT")</f>
        <v xml:space="preserve">          6408 - INVENTORY ADJUSTMENT</v>
      </c>
      <c r="C91" s="11"/>
      <c r="D91" s="6">
        <v>1000</v>
      </c>
      <c r="E91" s="2"/>
      <c r="F91" s="7">
        <f t="shared" si="48"/>
        <v>3.181718102321509E-2</v>
      </c>
      <c r="G91" s="2"/>
      <c r="H91" s="6">
        <v>6950</v>
      </c>
      <c r="I91" s="2"/>
      <c r="J91" s="7">
        <f t="shared" si="49"/>
        <v>0.15974668542866582</v>
      </c>
      <c r="K91" s="2"/>
      <c r="L91" s="6">
        <f t="shared" si="50"/>
        <v>-5950</v>
      </c>
      <c r="M91" s="2"/>
      <c r="N91" s="7">
        <f t="shared" si="51"/>
        <v>-0.85611510791366907</v>
      </c>
      <c r="O91" s="11"/>
      <c r="P91" s="6">
        <v>4000</v>
      </c>
      <c r="Q91" s="2"/>
      <c r="R91" s="7">
        <f t="shared" si="52"/>
        <v>2.0396614722862907E-3</v>
      </c>
      <c r="S91" s="2"/>
      <c r="T91" s="6">
        <v>27800</v>
      </c>
      <c r="U91" s="2"/>
      <c r="V91" s="7">
        <f t="shared" si="53"/>
        <v>1.2046499192219392E-2</v>
      </c>
      <c r="W91" s="2"/>
      <c r="X91" s="6">
        <f t="shared" si="54"/>
        <v>-23800</v>
      </c>
      <c r="Y91" s="2"/>
      <c r="Z91" s="7">
        <f t="shared" si="55"/>
        <v>-0.85611510791366907</v>
      </c>
    </row>
    <row r="92" spans="1:26" s="27" customFormat="1" outlineLevel="1" collapsed="1" x14ac:dyDescent="0.25">
      <c r="A92" s="25"/>
      <c r="B92" s="13" t="str">
        <f>CONCATENATE("     ","Repair and Maintenance                            ")</f>
        <v xml:space="preserve">     Repair and Maintenance                            </v>
      </c>
      <c r="C92" s="13"/>
      <c r="D92" s="1">
        <f>SUM(OSRRefD22_9x_0)</f>
        <v>27.74</v>
      </c>
      <c r="E92" s="1"/>
      <c r="F92" s="5">
        <f t="shared" si="48"/>
        <v>8.8260860158398651E-4</v>
      </c>
      <c r="G92" s="1"/>
      <c r="H92" s="1">
        <f>SUM(OSRRefH22_9x_0)</f>
        <v>30.48</v>
      </c>
      <c r="I92" s="1"/>
      <c r="J92" s="5">
        <f t="shared" si="49"/>
        <v>7.0058690242672439E-4</v>
      </c>
      <c r="K92" s="1"/>
      <c r="L92" s="1">
        <f t="shared" si="50"/>
        <v>-2.740000000000002</v>
      </c>
      <c r="M92" s="1"/>
      <c r="N92" s="5">
        <f t="shared" si="51"/>
        <v>-8.9895013123359638E-2</v>
      </c>
      <c r="O92" s="13"/>
      <c r="P92" s="1">
        <f>SUM(OSRRefP22_9x_0)</f>
        <v>97.94</v>
      </c>
      <c r="Q92" s="1"/>
      <c r="R92" s="5">
        <f t="shared" si="52"/>
        <v>4.9941111148929824E-5</v>
      </c>
      <c r="S92" s="1"/>
      <c r="T92" s="1">
        <f>SUM(OSRRefT22_9x_0)</f>
        <v>358.39</v>
      </c>
      <c r="U92" s="1"/>
      <c r="V92" s="5">
        <f t="shared" si="53"/>
        <v>1.5530017429854343E-4</v>
      </c>
      <c r="W92" s="1"/>
      <c r="X92" s="1">
        <f t="shared" si="54"/>
        <v>-260.45</v>
      </c>
      <c r="Y92" s="1"/>
      <c r="Z92" s="5">
        <f t="shared" si="55"/>
        <v>-0.72672228577806297</v>
      </c>
    </row>
    <row r="93" spans="1:26" s="24" customFormat="1" hidden="1" outlineLevel="2" x14ac:dyDescent="0.25">
      <c r="A93" s="26"/>
      <c r="B93" s="11" t="str">
        <f>CONCATENATE("          ", "6373", " - ", "MAINTENANCE CONTRACTS")</f>
        <v xml:space="preserve">          6373 - MAINTENANCE CONTRACTS</v>
      </c>
      <c r="C93" s="11"/>
      <c r="D93" s="6">
        <v>27.74</v>
      </c>
      <c r="E93" s="2"/>
      <c r="F93" s="7">
        <f t="shared" si="48"/>
        <v>8.8260860158398651E-4</v>
      </c>
      <c r="G93" s="2"/>
      <c r="H93" s="6">
        <v>30.48</v>
      </c>
      <c r="I93" s="2"/>
      <c r="J93" s="7">
        <f t="shared" si="49"/>
        <v>7.0058690242672439E-4</v>
      </c>
      <c r="K93" s="2"/>
      <c r="L93" s="6">
        <f t="shared" si="50"/>
        <v>-2.740000000000002</v>
      </c>
      <c r="M93" s="2"/>
      <c r="N93" s="7">
        <f t="shared" si="51"/>
        <v>-8.9895013123359638E-2</v>
      </c>
      <c r="O93" s="11"/>
      <c r="P93" s="6">
        <v>97.94</v>
      </c>
      <c r="Q93" s="2"/>
      <c r="R93" s="7">
        <f t="shared" si="52"/>
        <v>4.9941111148929824E-5</v>
      </c>
      <c r="S93" s="2"/>
      <c r="T93" s="6">
        <v>124.39</v>
      </c>
      <c r="U93" s="2"/>
      <c r="V93" s="7">
        <f t="shared" si="53"/>
        <v>5.3901583975545686E-5</v>
      </c>
      <c r="W93" s="2"/>
      <c r="X93" s="6">
        <f t="shared" si="54"/>
        <v>-26.450000000000003</v>
      </c>
      <c r="Y93" s="2"/>
      <c r="Z93" s="7">
        <f t="shared" si="55"/>
        <v>-0.21263767183857227</v>
      </c>
    </row>
    <row r="94" spans="1:26" s="24" customFormat="1" hidden="1" outlineLevel="2" x14ac:dyDescent="0.25">
      <c r="A94" s="26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48"/>
        <v>0</v>
      </c>
      <c r="G94" s="2"/>
      <c r="H94" s="6"/>
      <c r="I94" s="2"/>
      <c r="J94" s="7">
        <f t="shared" si="49"/>
        <v>0</v>
      </c>
      <c r="K94" s="2"/>
      <c r="L94" s="6">
        <f t="shared" si="50"/>
        <v>0</v>
      </c>
      <c r="M94" s="2"/>
      <c r="N94" s="7">
        <f t="shared" si="51"/>
        <v>0</v>
      </c>
      <c r="O94" s="11"/>
      <c r="P94" s="6"/>
      <c r="Q94" s="2"/>
      <c r="R94" s="7">
        <f t="shared" si="52"/>
        <v>0</v>
      </c>
      <c r="S94" s="2"/>
      <c r="T94" s="6">
        <v>234</v>
      </c>
      <c r="U94" s="2"/>
      <c r="V94" s="7">
        <f t="shared" si="53"/>
        <v>1.0139859032299775E-4</v>
      </c>
      <c r="W94" s="2"/>
      <c r="X94" s="6">
        <f t="shared" si="54"/>
        <v>-234</v>
      </c>
      <c r="Y94" s="2"/>
      <c r="Z94" s="7">
        <f t="shared" si="55"/>
        <v>-1</v>
      </c>
    </row>
    <row r="95" spans="1:26" s="27" customFormat="1" outlineLevel="1" collapsed="1" x14ac:dyDescent="0.25">
      <c r="A95" s="25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SUM(OSRRefD22_10x_0)</f>
        <v>268.55</v>
      </c>
      <c r="E95" s="1"/>
      <c r="F95" s="5">
        <f t="shared" ref="F95:F101" si="56">IF(D$12=0,0,D95/D$12)</f>
        <v>8.5445039637844136E-3</v>
      </c>
      <c r="G95" s="1"/>
      <c r="H95" s="1">
        <f>SUM(OSRRefH22_10x_0)</f>
        <v>792.02</v>
      </c>
      <c r="I95" s="1"/>
      <c r="J95" s="5">
        <f t="shared" ref="J95:J101" si="57">IF(H$12=0,0,H95/H$12)</f>
        <v>1.8204686301181567E-2</v>
      </c>
      <c r="K95" s="1"/>
      <c r="L95" s="1">
        <f t="shared" ref="L95:L101" si="58">+D95-H95</f>
        <v>-523.47</v>
      </c>
      <c r="M95" s="1"/>
      <c r="N95" s="5">
        <f t="shared" ref="N95:N101" si="59">IF(H95=0,0,L95/H95)</f>
        <v>-0.66093027953839556</v>
      </c>
      <c r="O95" s="13"/>
      <c r="P95" s="1">
        <f>SUM(OSRRefP22_10x_0)</f>
        <v>1057.4000000000001</v>
      </c>
      <c r="Q95" s="1"/>
      <c r="R95" s="5">
        <f t="shared" ref="R95:R101" si="60">IF(P$12=0,0,P95/P$12)</f>
        <v>5.3918451019888103E-4</v>
      </c>
      <c r="S95" s="1"/>
      <c r="T95" s="1">
        <f>SUM(OSRRefT22_10x_0)</f>
        <v>1564.12</v>
      </c>
      <c r="U95" s="1"/>
      <c r="V95" s="5">
        <f t="shared" ref="V95:V101" si="61">IF(T$12=0,0,T95/T$12)</f>
        <v>6.7777591066669758E-4</v>
      </c>
      <c r="W95" s="1"/>
      <c r="X95" s="1">
        <f t="shared" ref="X95:X101" si="62">+P95-T95</f>
        <v>-506.7199999999998</v>
      </c>
      <c r="Y95" s="1"/>
      <c r="Z95" s="5">
        <f t="shared" ref="Z95:Z101" si="63">IF(T95=0,0,X95/T95)</f>
        <v>-0.3239649131780169</v>
      </c>
    </row>
    <row r="96" spans="1:26" s="24" customFormat="1" hidden="1" outlineLevel="2" x14ac:dyDescent="0.25">
      <c r="A96" s="26"/>
      <c r="B96" s="11" t="str">
        <f>CONCATENATE("          ", "6258", " - ", "MEMBERSHIP DUES")</f>
        <v xml:space="preserve">          6258 - MEMBERSHIP DUES</v>
      </c>
      <c r="C96" s="11"/>
      <c r="D96" s="6">
        <v>268.55</v>
      </c>
      <c r="E96" s="2"/>
      <c r="F96" s="7">
        <f t="shared" si="56"/>
        <v>8.5445039637844136E-3</v>
      </c>
      <c r="G96" s="2"/>
      <c r="H96" s="6">
        <v>792.02</v>
      </c>
      <c r="I96" s="2"/>
      <c r="J96" s="7">
        <f t="shared" si="57"/>
        <v>1.8204686301181567E-2</v>
      </c>
      <c r="K96" s="2"/>
      <c r="L96" s="6">
        <f t="shared" si="58"/>
        <v>-523.47</v>
      </c>
      <c r="M96" s="2"/>
      <c r="N96" s="7">
        <f t="shared" si="59"/>
        <v>-0.66093027953839556</v>
      </c>
      <c r="O96" s="11"/>
      <c r="P96" s="6">
        <v>1057.4000000000001</v>
      </c>
      <c r="Q96" s="2"/>
      <c r="R96" s="7">
        <f t="shared" si="60"/>
        <v>5.3918451019888103E-4</v>
      </c>
      <c r="S96" s="2"/>
      <c r="T96" s="6">
        <v>1564.12</v>
      </c>
      <c r="U96" s="2"/>
      <c r="V96" s="7">
        <f t="shared" si="61"/>
        <v>6.7777591066669758E-4</v>
      </c>
      <c r="W96" s="2"/>
      <c r="X96" s="6">
        <f t="shared" si="62"/>
        <v>-506.7199999999998</v>
      </c>
      <c r="Y96" s="2"/>
      <c r="Z96" s="7">
        <f t="shared" si="63"/>
        <v>-0.3239649131780169</v>
      </c>
    </row>
    <row r="97" spans="1:26" s="27" customFormat="1" outlineLevel="1" collapsed="1" x14ac:dyDescent="0.25">
      <c r="A97" s="25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SUM(OSRRefD22_11x_0)</f>
        <v>1787.4099999999999</v>
      </c>
      <c r="E97" s="1"/>
      <c r="F97" s="5">
        <f t="shared" si="56"/>
        <v>5.6870347532704882E-2</v>
      </c>
      <c r="G97" s="1"/>
      <c r="H97" s="1">
        <f>SUM(OSRRefH22_11x_0)</f>
        <v>967.08000000000015</v>
      </c>
      <c r="I97" s="1"/>
      <c r="J97" s="5">
        <f t="shared" si="57"/>
        <v>2.2228463963216427E-2</v>
      </c>
      <c r="K97" s="1"/>
      <c r="L97" s="1">
        <f t="shared" si="58"/>
        <v>820.3299999999997</v>
      </c>
      <c r="M97" s="1"/>
      <c r="N97" s="5">
        <f t="shared" si="59"/>
        <v>0.84825453943830864</v>
      </c>
      <c r="O97" s="13"/>
      <c r="P97" s="1">
        <f>SUM(OSRRefP22_11x_0)</f>
        <v>9136.5499999999993</v>
      </c>
      <c r="Q97" s="1"/>
      <c r="R97" s="5">
        <f t="shared" si="60"/>
        <v>4.6588672561543266E-3</v>
      </c>
      <c r="S97" s="1"/>
      <c r="T97" s="1">
        <f>SUM(OSRRefT22_11x_0)</f>
        <v>7177.19</v>
      </c>
      <c r="U97" s="1"/>
      <c r="V97" s="5">
        <f t="shared" si="61"/>
        <v>3.1100724294030606E-3</v>
      </c>
      <c r="W97" s="1"/>
      <c r="X97" s="1">
        <f t="shared" si="62"/>
        <v>1959.3599999999997</v>
      </c>
      <c r="Y97" s="1"/>
      <c r="Z97" s="5">
        <f t="shared" si="63"/>
        <v>0.27299820681910325</v>
      </c>
    </row>
    <row r="98" spans="1:26" s="24" customFormat="1" hidden="1" outlineLevel="2" x14ac:dyDescent="0.25">
      <c r="A98" s="26"/>
      <c r="B98" s="11" t="str">
        <f>CONCATENATE("          ", "6234", " - ", "EXPENDABLE SUPPLIES &amp; EQUIPMEN")</f>
        <v xml:space="preserve">          6234 - EXPENDABLE SUPPLIES &amp; EQUIPMEN</v>
      </c>
      <c r="C98" s="11"/>
      <c r="D98" s="6"/>
      <c r="E98" s="2"/>
      <c r="F98" s="7">
        <f t="shared" si="56"/>
        <v>0</v>
      </c>
      <c r="G98" s="2"/>
      <c r="H98" s="6">
        <v>272.45999999999998</v>
      </c>
      <c r="I98" s="2"/>
      <c r="J98" s="7">
        <f t="shared" si="57"/>
        <v>6.2625297714955811E-3</v>
      </c>
      <c r="K98" s="2"/>
      <c r="L98" s="6">
        <f t="shared" si="58"/>
        <v>-272.45999999999998</v>
      </c>
      <c r="M98" s="2"/>
      <c r="N98" s="7">
        <f t="shared" si="59"/>
        <v>-1</v>
      </c>
      <c r="O98" s="11"/>
      <c r="P98" s="6"/>
      <c r="Q98" s="2"/>
      <c r="R98" s="7">
        <f t="shared" si="60"/>
        <v>0</v>
      </c>
      <c r="S98" s="2"/>
      <c r="T98" s="6">
        <v>272.45999999999998</v>
      </c>
      <c r="U98" s="2"/>
      <c r="V98" s="7">
        <f t="shared" si="61"/>
        <v>1.1806435862993148E-4</v>
      </c>
      <c r="W98" s="2"/>
      <c r="X98" s="6">
        <f t="shared" si="62"/>
        <v>-272.45999999999998</v>
      </c>
      <c r="Y98" s="2"/>
      <c r="Z98" s="7">
        <f t="shared" si="63"/>
        <v>-1</v>
      </c>
    </row>
    <row r="99" spans="1:26" s="24" customFormat="1" hidden="1" outlineLevel="2" x14ac:dyDescent="0.25">
      <c r="A99" s="26"/>
      <c r="B99" s="11" t="str">
        <f>CONCATENATE("          ", "6241", " - ", "OFFICE EXPENSE")</f>
        <v xml:space="preserve">          6241 - OFFICE EXPENSE</v>
      </c>
      <c r="C99" s="11"/>
      <c r="D99" s="6">
        <v>959.61</v>
      </c>
      <c r="E99" s="2"/>
      <c r="F99" s="7">
        <f t="shared" si="56"/>
        <v>3.0532085081687432E-2</v>
      </c>
      <c r="G99" s="2"/>
      <c r="H99" s="6">
        <v>577.44000000000005</v>
      </c>
      <c r="I99" s="2"/>
      <c r="J99" s="7">
        <f t="shared" si="57"/>
        <v>1.3272536119989756E-2</v>
      </c>
      <c r="K99" s="2"/>
      <c r="L99" s="6">
        <f t="shared" si="58"/>
        <v>382.16999999999996</v>
      </c>
      <c r="M99" s="2"/>
      <c r="N99" s="7">
        <f t="shared" si="59"/>
        <v>0.66183499584372385</v>
      </c>
      <c r="O99" s="11"/>
      <c r="P99" s="6">
        <v>3297.43</v>
      </c>
      <c r="Q99" s="2"/>
      <c r="R99" s="7">
        <f t="shared" si="60"/>
        <v>1.6814102321402458E-3</v>
      </c>
      <c r="S99" s="2"/>
      <c r="T99" s="6">
        <v>969.57</v>
      </c>
      <c r="U99" s="2"/>
      <c r="V99" s="7">
        <f t="shared" si="61"/>
        <v>4.2014115905755956E-4</v>
      </c>
      <c r="W99" s="2"/>
      <c r="X99" s="6">
        <f t="shared" si="62"/>
        <v>2327.8599999999997</v>
      </c>
      <c r="Y99" s="2"/>
      <c r="Z99" s="7">
        <f t="shared" si="63"/>
        <v>2.4009199954619054</v>
      </c>
    </row>
    <row r="100" spans="1:26" s="24" customFormat="1" hidden="1" outlineLevel="2" x14ac:dyDescent="0.25">
      <c r="A100" s="26"/>
      <c r="B100" s="11" t="str">
        <f>CONCATENATE("          ", "6245", " - ", "PRINTING")</f>
        <v xml:space="preserve">          6245 - PRINTING</v>
      </c>
      <c r="C100" s="11"/>
      <c r="D100" s="6"/>
      <c r="E100" s="2"/>
      <c r="F100" s="7">
        <f t="shared" si="56"/>
        <v>0</v>
      </c>
      <c r="G100" s="2"/>
      <c r="H100" s="6"/>
      <c r="I100" s="2"/>
      <c r="J100" s="7">
        <f t="shared" si="57"/>
        <v>0</v>
      </c>
      <c r="K100" s="2"/>
      <c r="L100" s="6">
        <f t="shared" si="58"/>
        <v>0</v>
      </c>
      <c r="M100" s="2"/>
      <c r="N100" s="7">
        <f t="shared" si="59"/>
        <v>0</v>
      </c>
      <c r="O100" s="11"/>
      <c r="P100" s="6">
        <v>4978.08</v>
      </c>
      <c r="Q100" s="2"/>
      <c r="R100" s="7">
        <f t="shared" si="60"/>
        <v>2.5383994954897345E-3</v>
      </c>
      <c r="S100" s="2"/>
      <c r="T100" s="6">
        <v>509.8</v>
      </c>
      <c r="U100" s="2"/>
      <c r="V100" s="7">
        <f t="shared" si="61"/>
        <v>2.2091026216523185E-4</v>
      </c>
      <c r="W100" s="2"/>
      <c r="X100" s="6">
        <f t="shared" si="62"/>
        <v>4468.28</v>
      </c>
      <c r="Y100" s="2"/>
      <c r="Z100" s="7">
        <f t="shared" si="63"/>
        <v>8.7647704982346006</v>
      </c>
    </row>
    <row r="101" spans="1:26" s="24" customFormat="1" hidden="1" outlineLevel="2" x14ac:dyDescent="0.25">
      <c r="A101" s="26"/>
      <c r="B101" s="11" t="str">
        <f>CONCATENATE("          ", "6247", " - ", "STORE SUPPLIES")</f>
        <v xml:space="preserve">          6247 - STORE SUPPLIES</v>
      </c>
      <c r="C101" s="11"/>
      <c r="D101" s="6">
        <v>827.8</v>
      </c>
      <c r="E101" s="2"/>
      <c r="F101" s="7">
        <f t="shared" si="56"/>
        <v>2.633826245101745E-2</v>
      </c>
      <c r="G101" s="2"/>
      <c r="H101" s="6">
        <v>117.18</v>
      </c>
      <c r="I101" s="2"/>
      <c r="J101" s="7">
        <f t="shared" si="57"/>
        <v>2.6933980717310881E-3</v>
      </c>
      <c r="K101" s="2"/>
      <c r="L101" s="6">
        <f t="shared" si="58"/>
        <v>710.61999999999989</v>
      </c>
      <c r="M101" s="2"/>
      <c r="N101" s="7">
        <f t="shared" si="59"/>
        <v>6.0643454514422244</v>
      </c>
      <c r="O101" s="11"/>
      <c r="P101" s="6">
        <v>861.04</v>
      </c>
      <c r="Q101" s="2"/>
      <c r="R101" s="7">
        <f t="shared" si="60"/>
        <v>4.3905752852434692E-4</v>
      </c>
      <c r="S101" s="2"/>
      <c r="T101" s="6">
        <v>5425.36</v>
      </c>
      <c r="U101" s="2"/>
      <c r="V101" s="7">
        <f t="shared" si="61"/>
        <v>2.350956649550338E-3</v>
      </c>
      <c r="W101" s="2"/>
      <c r="X101" s="6">
        <f t="shared" si="62"/>
        <v>-4564.32</v>
      </c>
      <c r="Y101" s="2"/>
      <c r="Z101" s="7">
        <f t="shared" si="63"/>
        <v>-0.84129348098559353</v>
      </c>
    </row>
    <row r="102" spans="1:26" s="27" customFormat="1" outlineLevel="1" collapsed="1" x14ac:dyDescent="0.25">
      <c r="A102" s="25"/>
      <c r="B102" s="13" t="str">
        <f>CONCATENATE("     ","Telephone/Data Lines                              ")</f>
        <v xml:space="preserve">     Telephone/Data Lines                              </v>
      </c>
      <c r="C102" s="13"/>
      <c r="D102" s="1">
        <f>SUM(OSRRefD22_12x_0)</f>
        <v>-300.89999999999998</v>
      </c>
      <c r="E102" s="1"/>
      <c r="F102" s="5">
        <f t="shared" ref="F102:F104" si="64">IF(D$12=0,0,D102/D$12)</f>
        <v>-9.5737897698854203E-3</v>
      </c>
      <c r="G102" s="1"/>
      <c r="H102" s="1">
        <f>SUM(OSRRefH22_12x_0)</f>
        <v>-0.45</v>
      </c>
      <c r="I102" s="1"/>
      <c r="J102" s="5">
        <f t="shared" ref="J102:J104" si="65">IF(H$12=0,0,H102/H$12)</f>
        <v>-1.0343310567323686E-5</v>
      </c>
      <c r="K102" s="1"/>
      <c r="L102" s="1">
        <f t="shared" ref="L102:L104" si="66">+D102-H102</f>
        <v>-300.45</v>
      </c>
      <c r="M102" s="1"/>
      <c r="N102" s="5">
        <f t="shared" ref="N102:N104" si="67">IF(H102=0,0,L102/H102)</f>
        <v>667.66666666666663</v>
      </c>
      <c r="O102" s="13"/>
      <c r="P102" s="1">
        <f>SUM(OSRRefP22_12x_0)</f>
        <v>3098.6</v>
      </c>
      <c r="Q102" s="1"/>
      <c r="R102" s="5">
        <f t="shared" ref="R102:R104" si="68">IF(P$12=0,0,P102/P$12)</f>
        <v>1.5800237595065751E-3</v>
      </c>
      <c r="S102" s="1"/>
      <c r="T102" s="1">
        <f>SUM(OSRRefT22_12x_0)</f>
        <v>2609.75</v>
      </c>
      <c r="U102" s="1"/>
      <c r="V102" s="5">
        <f t="shared" ref="V102:V104" si="69">IF(T$12=0,0,T102/T$12)</f>
        <v>1.1308759448523222E-3</v>
      </c>
      <c r="W102" s="1"/>
      <c r="X102" s="1">
        <f t="shared" ref="X102:X104" si="70">+P102-T102</f>
        <v>488.84999999999991</v>
      </c>
      <c r="Y102" s="1"/>
      <c r="Z102" s="5">
        <f t="shared" ref="Z102:Z104" si="71">IF(T102=0,0,X102/T102)</f>
        <v>0.18731679279624483</v>
      </c>
    </row>
    <row r="103" spans="1:26" s="24" customFormat="1" hidden="1" outlineLevel="2" x14ac:dyDescent="0.25">
      <c r="A103" s="26"/>
      <c r="B103" s="11" t="str">
        <f>CONCATENATE("          ", "6303", " - ", "DATA PHONE LINES")</f>
        <v xml:space="preserve">          6303 - DATA PHONE LINES</v>
      </c>
      <c r="C103" s="11"/>
      <c r="D103" s="6">
        <v>295</v>
      </c>
      <c r="E103" s="2"/>
      <c r="F103" s="7">
        <f t="shared" si="64"/>
        <v>9.3860684018484512E-3</v>
      </c>
      <c r="G103" s="2"/>
      <c r="H103" s="6"/>
      <c r="I103" s="2"/>
      <c r="J103" s="7">
        <f t="shared" si="65"/>
        <v>0</v>
      </c>
      <c r="K103" s="2"/>
      <c r="L103" s="6">
        <f t="shared" si="66"/>
        <v>295</v>
      </c>
      <c r="M103" s="2"/>
      <c r="N103" s="7">
        <f t="shared" si="67"/>
        <v>0</v>
      </c>
      <c r="O103" s="11"/>
      <c r="P103" s="6">
        <v>1180</v>
      </c>
      <c r="Q103" s="2"/>
      <c r="R103" s="7">
        <f t="shared" si="68"/>
        <v>6.0170013432445579E-4</v>
      </c>
      <c r="S103" s="2"/>
      <c r="T103" s="6">
        <v>590</v>
      </c>
      <c r="U103" s="2"/>
      <c r="V103" s="7">
        <f t="shared" si="69"/>
        <v>2.5566311235285759E-4</v>
      </c>
      <c r="W103" s="2"/>
      <c r="X103" s="6">
        <f t="shared" si="70"/>
        <v>590</v>
      </c>
      <c r="Y103" s="2"/>
      <c r="Z103" s="7">
        <f t="shared" si="71"/>
        <v>1</v>
      </c>
    </row>
    <row r="104" spans="1:26" s="24" customFormat="1" hidden="1" outlineLevel="2" x14ac:dyDescent="0.25">
      <c r="A104" s="26"/>
      <c r="B104" s="11" t="str">
        <f>CONCATENATE("          ", "6309", " - ", "TELEPHONE")</f>
        <v xml:space="preserve">          6309 - TELEPHONE</v>
      </c>
      <c r="C104" s="11"/>
      <c r="D104" s="6">
        <v>-595.9</v>
      </c>
      <c r="E104" s="2"/>
      <c r="F104" s="7">
        <f t="shared" si="64"/>
        <v>-1.8959858171733873E-2</v>
      </c>
      <c r="G104" s="2"/>
      <c r="H104" s="6">
        <v>-0.45</v>
      </c>
      <c r="I104" s="2"/>
      <c r="J104" s="7">
        <f t="shared" si="65"/>
        <v>-1.0343310567323686E-5</v>
      </c>
      <c r="K104" s="2"/>
      <c r="L104" s="6">
        <f t="shared" si="66"/>
        <v>-595.44999999999993</v>
      </c>
      <c r="M104" s="2"/>
      <c r="N104" s="7">
        <f t="shared" si="67"/>
        <v>1323.2222222222219</v>
      </c>
      <c r="O104" s="11"/>
      <c r="P104" s="6">
        <v>1918.6</v>
      </c>
      <c r="Q104" s="2"/>
      <c r="R104" s="7">
        <f t="shared" si="68"/>
        <v>9.7832362518211931E-4</v>
      </c>
      <c r="S104" s="2"/>
      <c r="T104" s="6">
        <v>2019.75</v>
      </c>
      <c r="U104" s="2"/>
      <c r="V104" s="7">
        <f t="shared" si="69"/>
        <v>8.7521283249946454E-4</v>
      </c>
      <c r="W104" s="2"/>
      <c r="X104" s="6">
        <f t="shared" si="70"/>
        <v>-101.15000000000009</v>
      </c>
      <c r="Y104" s="2"/>
      <c r="Z104" s="7">
        <f t="shared" si="71"/>
        <v>-5.00804555019186E-2</v>
      </c>
    </row>
    <row r="105" spans="1:26" s="27" customFormat="1" outlineLevel="1" collapsed="1" x14ac:dyDescent="0.25">
      <c r="A105" s="25"/>
      <c r="B105" s="13" t="str">
        <f>CONCATENATE("     ","Training                                          ")</f>
        <v xml:space="preserve">     Training                                          </v>
      </c>
      <c r="C105" s="13"/>
      <c r="D105" s="1">
        <f>SUM(OSRRefD22_13x_0)</f>
        <v>0</v>
      </c>
      <c r="E105" s="1"/>
      <c r="F105" s="5">
        <f t="shared" ref="F105:F108" si="72">IF(D$12=0,0,D105/D$12)</f>
        <v>0</v>
      </c>
      <c r="G105" s="1"/>
      <c r="H105" s="1">
        <f>SUM(OSRRefH22_13x_0)</f>
        <v>241.4</v>
      </c>
      <c r="I105" s="1"/>
      <c r="J105" s="5">
        <f t="shared" ref="J105:J108" si="73">IF(H$12=0,0,H105/H$12)</f>
        <v>5.5486114910043068E-3</v>
      </c>
      <c r="K105" s="1"/>
      <c r="L105" s="1">
        <f t="shared" ref="L105:L108" si="74">+D105-H105</f>
        <v>-241.4</v>
      </c>
      <c r="M105" s="1"/>
      <c r="N105" s="5">
        <f t="shared" ref="N105:N108" si="75">IF(H105=0,0,L105/H105)</f>
        <v>-1</v>
      </c>
      <c r="O105" s="13"/>
      <c r="P105" s="1">
        <f>SUM(OSRRefP22_13x_0)</f>
        <v>547.47</v>
      </c>
      <c r="Q105" s="1"/>
      <c r="R105" s="5">
        <f t="shared" ref="R105:R108" si="76">IF(P$12=0,0,P105/P$12)</f>
        <v>2.7916336655814389E-4</v>
      </c>
      <c r="S105" s="1"/>
      <c r="T105" s="1">
        <f>SUM(OSRRefT22_13x_0)</f>
        <v>-1024.26</v>
      </c>
      <c r="U105" s="1"/>
      <c r="V105" s="5">
        <f t="shared" ref="V105:V108" si="77">IF(T$12=0,0,T105/T$12)</f>
        <v>-4.438398295907422E-4</v>
      </c>
      <c r="W105" s="1"/>
      <c r="X105" s="1">
        <f t="shared" ref="X105:X108" si="78">+P105-T105</f>
        <v>1571.73</v>
      </c>
      <c r="Y105" s="1"/>
      <c r="Z105" s="5">
        <f t="shared" ref="Z105:Z108" si="79">IF(T105=0,0,X105/T105)</f>
        <v>-1.5345029582332612</v>
      </c>
    </row>
    <row r="106" spans="1:26" s="24" customFormat="1" hidden="1" outlineLevel="2" x14ac:dyDescent="0.25">
      <c r="A106" s="26"/>
      <c r="B106" s="11" t="str">
        <f>CONCATENATE("          ", "6376", " - ", "TRAINING")</f>
        <v xml:space="preserve">          6376 - TRAINING</v>
      </c>
      <c r="C106" s="11"/>
      <c r="D106" s="6"/>
      <c r="E106" s="2"/>
      <c r="F106" s="7">
        <f t="shared" si="72"/>
        <v>0</v>
      </c>
      <c r="G106" s="2"/>
      <c r="H106" s="6">
        <v>241.4</v>
      </c>
      <c r="I106" s="2"/>
      <c r="J106" s="7">
        <f t="shared" si="73"/>
        <v>5.5486114910043068E-3</v>
      </c>
      <c r="K106" s="2"/>
      <c r="L106" s="6">
        <f t="shared" si="74"/>
        <v>-241.4</v>
      </c>
      <c r="M106" s="2"/>
      <c r="N106" s="7">
        <f t="shared" si="75"/>
        <v>-1</v>
      </c>
      <c r="O106" s="11"/>
      <c r="P106" s="6">
        <v>547.47</v>
      </c>
      <c r="Q106" s="2"/>
      <c r="R106" s="7">
        <f t="shared" si="76"/>
        <v>2.7916336655814389E-4</v>
      </c>
      <c r="S106" s="2"/>
      <c r="T106" s="6">
        <v>-1024.26</v>
      </c>
      <c r="U106" s="2"/>
      <c r="V106" s="7">
        <f t="shared" si="77"/>
        <v>-4.438398295907422E-4</v>
      </c>
      <c r="W106" s="2"/>
      <c r="X106" s="6">
        <f t="shared" si="78"/>
        <v>1571.73</v>
      </c>
      <c r="Y106" s="2"/>
      <c r="Z106" s="7">
        <f t="shared" si="79"/>
        <v>-1.5345029582332612</v>
      </c>
    </row>
    <row r="107" spans="1:26" s="27" customFormat="1" outlineLevel="1" collapsed="1" x14ac:dyDescent="0.25">
      <c r="A107" s="25"/>
      <c r="B107" s="13" t="str">
        <f>CONCATENATE("     ","Travel                                            ")</f>
        <v xml:space="preserve">     Travel                                            </v>
      </c>
      <c r="C107" s="13"/>
      <c r="D107" s="1">
        <f>SUM(OSRRefD22_14x_0)</f>
        <v>83.93</v>
      </c>
      <c r="E107" s="1"/>
      <c r="F107" s="5">
        <f t="shared" si="72"/>
        <v>2.6704160032784427E-3</v>
      </c>
      <c r="G107" s="1"/>
      <c r="H107" s="1">
        <f>SUM(OSRRefH22_14x_0)</f>
        <v>0</v>
      </c>
      <c r="I107" s="1"/>
      <c r="J107" s="5">
        <f t="shared" si="73"/>
        <v>0</v>
      </c>
      <c r="K107" s="1"/>
      <c r="L107" s="1">
        <f t="shared" si="74"/>
        <v>83.93</v>
      </c>
      <c r="M107" s="1"/>
      <c r="N107" s="5">
        <f t="shared" si="75"/>
        <v>0</v>
      </c>
      <c r="O107" s="13"/>
      <c r="P107" s="1">
        <f>SUM(OSRRefP22_14x_0)</f>
        <v>83.93</v>
      </c>
      <c r="Q107" s="1"/>
      <c r="R107" s="5">
        <f t="shared" si="76"/>
        <v>4.2797196842247096E-5</v>
      </c>
      <c r="S107" s="1"/>
      <c r="T107" s="1">
        <f>SUM(OSRRefT22_14x_0)</f>
        <v>68.27</v>
      </c>
      <c r="U107" s="1"/>
      <c r="V107" s="5">
        <f t="shared" si="77"/>
        <v>2.9583255390389129E-5</v>
      </c>
      <c r="W107" s="1"/>
      <c r="X107" s="1">
        <f t="shared" si="78"/>
        <v>15.660000000000011</v>
      </c>
      <c r="Y107" s="1"/>
      <c r="Z107" s="5">
        <f t="shared" si="79"/>
        <v>0.22938333089204646</v>
      </c>
    </row>
    <row r="108" spans="1:26" s="24" customFormat="1" hidden="1" outlineLevel="2" x14ac:dyDescent="0.25">
      <c r="A108" s="26"/>
      <c r="B108" s="11" t="str">
        <f>CONCATENATE("          ", "6292", " - ", "TRAVEL/CONFERENCE")</f>
        <v xml:space="preserve">          6292 - TRAVEL/CONFERENCE</v>
      </c>
      <c r="C108" s="11"/>
      <c r="D108" s="6">
        <v>83.93</v>
      </c>
      <c r="E108" s="2"/>
      <c r="F108" s="7">
        <f t="shared" si="72"/>
        <v>2.6704160032784427E-3</v>
      </c>
      <c r="G108" s="2"/>
      <c r="H108" s="6"/>
      <c r="I108" s="2"/>
      <c r="J108" s="7">
        <f t="shared" si="73"/>
        <v>0</v>
      </c>
      <c r="K108" s="2"/>
      <c r="L108" s="6">
        <f t="shared" si="74"/>
        <v>83.93</v>
      </c>
      <c r="M108" s="2"/>
      <c r="N108" s="7">
        <f t="shared" si="75"/>
        <v>0</v>
      </c>
      <c r="O108" s="11"/>
      <c r="P108" s="6">
        <v>83.93</v>
      </c>
      <c r="Q108" s="2"/>
      <c r="R108" s="7">
        <f t="shared" si="76"/>
        <v>4.2797196842247096E-5</v>
      </c>
      <c r="S108" s="2"/>
      <c r="T108" s="6">
        <v>68.27</v>
      </c>
      <c r="U108" s="2"/>
      <c r="V108" s="7">
        <f t="shared" si="77"/>
        <v>2.9583255390389129E-5</v>
      </c>
      <c r="W108" s="2"/>
      <c r="X108" s="6">
        <f t="shared" si="78"/>
        <v>15.660000000000011</v>
      </c>
      <c r="Y108" s="2"/>
      <c r="Z108" s="7">
        <f t="shared" si="79"/>
        <v>0.22938333089204646</v>
      </c>
    </row>
    <row r="109" spans="1:26" s="55" customFormat="1" x14ac:dyDescent="0.25">
      <c r="A109" s="37"/>
      <c r="B109" s="37"/>
      <c r="C109" s="37"/>
      <c r="D109" s="1"/>
      <c r="E109" s="1"/>
      <c r="F109" s="5"/>
      <c r="G109" s="1"/>
      <c r="H109" s="1"/>
      <c r="I109" s="1"/>
      <c r="J109" s="5"/>
      <c r="K109" s="1"/>
      <c r="L109" s="1"/>
      <c r="M109" s="1"/>
      <c r="N109" s="5"/>
      <c r="O109" s="37"/>
      <c r="P109" s="1"/>
      <c r="Q109" s="1"/>
      <c r="R109" s="5"/>
      <c r="S109" s="1"/>
      <c r="T109" s="1"/>
      <c r="U109" s="1"/>
      <c r="V109" s="5"/>
      <c r="W109" s="1"/>
      <c r="X109" s="1"/>
      <c r="Y109" s="1"/>
      <c r="Z109" s="5"/>
    </row>
    <row r="110" spans="1:26" s="23" customFormat="1" collapsed="1" x14ac:dyDescent="0.25">
      <c r="A110" s="10"/>
      <c r="B110" s="29" t="s">
        <v>0</v>
      </c>
      <c r="C110" s="10"/>
      <c r="D110" s="4">
        <f>SUM(OSRRefD25x_0)</f>
        <v>44861.23</v>
      </c>
      <c r="E110" s="4"/>
      <c r="F110" s="12">
        <f t="shared" ref="F110:F113" si="80">IF(D$12=0,0,D110/D$12)</f>
        <v>1.4273578758340877</v>
      </c>
      <c r="G110" s="4"/>
      <c r="H110" s="4">
        <f>SUM(OSRRefH25x_0)</f>
        <v>1854.96</v>
      </c>
      <c r="I110" s="4"/>
      <c r="J110" s="12">
        <f t="shared" ref="J110:J113" si="81">IF(H$12=0,0,H110/H$12)</f>
        <v>4.2636505266583878E-2</v>
      </c>
      <c r="K110" s="4"/>
      <c r="L110" s="4">
        <f t="shared" ref="L110:L113" si="82">+D110-H110</f>
        <v>43006.270000000004</v>
      </c>
      <c r="M110" s="4"/>
      <c r="N110" s="12">
        <f t="shared" ref="N110:N113" si="83">IF(H110=0,0,L110/H110)</f>
        <v>23.184472980549447</v>
      </c>
      <c r="O110" s="10"/>
      <c r="P110" s="4">
        <f>SUM(OSRRefP25x_0)</f>
        <v>142244.4</v>
      </c>
      <c r="Q110" s="4"/>
      <c r="R110" s="12">
        <f t="shared" ref="R110:R113" si="84">IF(P$12=0,0,P110/P$12)</f>
        <v>7.2532605582120005E-2</v>
      </c>
      <c r="S110" s="4"/>
      <c r="T110" s="4">
        <f>SUM(OSRRefT25x_0)</f>
        <v>43924.79</v>
      </c>
      <c r="U110" s="4"/>
      <c r="V110" s="12">
        <f t="shared" ref="V110:V113" si="85">IF(T$12=0,0,T110/T$12)</f>
        <v>1.9033811052280806E-2</v>
      </c>
      <c r="W110" s="4"/>
      <c r="X110" s="4">
        <f t="shared" ref="X110:X113" si="86">+P110-T110</f>
        <v>98319.609999999986</v>
      </c>
      <c r="Y110" s="4"/>
      <c r="Z110" s="12">
        <f t="shared" ref="Z110:Z113" si="87">IF(T110=0,0,X110/T110)</f>
        <v>2.2383626649097237</v>
      </c>
    </row>
    <row r="111" spans="1:26" s="24" customFormat="1" hidden="1" outlineLevel="1" x14ac:dyDescent="0.25">
      <c r="A111" s="44"/>
      <c r="B111" s="11" t="str">
        <f>CONCATENATE("          ", "9150", " - ", "MISC. INCOME")</f>
        <v xml:space="preserve">          9150 - MISC. INCOME</v>
      </c>
      <c r="C111" s="11"/>
      <c r="D111" s="2">
        <f>--44808.15</f>
        <v>44808.15</v>
      </c>
      <c r="E111" s="2"/>
      <c r="F111" s="19">
        <f t="shared" si="80"/>
        <v>1.4256690198653752</v>
      </c>
      <c r="G111" s="2"/>
      <c r="H111" s="2">
        <f>--147.17</f>
        <v>147.16999999999999</v>
      </c>
      <c r="I111" s="2"/>
      <c r="J111" s="19">
        <f t="shared" si="81"/>
        <v>3.3827222582067263E-3</v>
      </c>
      <c r="K111" s="2"/>
      <c r="L111" s="2">
        <f t="shared" si="82"/>
        <v>44660.98</v>
      </c>
      <c r="M111" s="2"/>
      <c r="N111" s="19">
        <f t="shared" si="83"/>
        <v>303.4652442753279</v>
      </c>
      <c r="O111" s="11"/>
      <c r="P111" s="2">
        <f>--53874.1</f>
        <v>53874.1</v>
      </c>
      <c r="Q111" s="2"/>
      <c r="R111" s="19">
        <f t="shared" si="84"/>
        <v>2.7471231531024713E-2</v>
      </c>
      <c r="S111" s="2"/>
      <c r="T111" s="2">
        <f>--40707.67</f>
        <v>40707.67</v>
      </c>
      <c r="U111" s="2"/>
      <c r="V111" s="19">
        <f t="shared" si="85"/>
        <v>1.7639745099717032E-2</v>
      </c>
      <c r="W111" s="2"/>
      <c r="X111" s="2">
        <f t="shared" si="86"/>
        <v>13166.43</v>
      </c>
      <c r="Y111" s="2"/>
      <c r="Z111" s="19">
        <f t="shared" si="87"/>
        <v>0.32343855592815801</v>
      </c>
    </row>
    <row r="112" spans="1:26" s="24" customFormat="1" hidden="1" outlineLevel="1" x14ac:dyDescent="0.25">
      <c r="A112" s="44"/>
      <c r="B112" s="11" t="str">
        <f>CONCATENATE("          ", "9151", " - ", "MISC. INCOME")</f>
        <v xml:space="preserve">          9151 - MISC. INCOME</v>
      </c>
      <c r="C112" s="11"/>
      <c r="D112" s="2">
        <f>0</f>
        <v>0</v>
      </c>
      <c r="E112" s="2"/>
      <c r="F112" s="19">
        <f t="shared" si="80"/>
        <v>0</v>
      </c>
      <c r="G112" s="2"/>
      <c r="H112" s="2">
        <f>0</f>
        <v>0</v>
      </c>
      <c r="I112" s="2"/>
      <c r="J112" s="19">
        <f t="shared" si="81"/>
        <v>0</v>
      </c>
      <c r="K112" s="2"/>
      <c r="L112" s="2">
        <f t="shared" si="82"/>
        <v>0</v>
      </c>
      <c r="M112" s="2"/>
      <c r="N112" s="19">
        <f t="shared" si="83"/>
        <v>0</v>
      </c>
      <c r="O112" s="11"/>
      <c r="P112" s="2">
        <f>--87676.2</f>
        <v>87676.2</v>
      </c>
      <c r="Q112" s="2"/>
      <c r="R112" s="19">
        <f t="shared" si="84"/>
        <v>4.4707441794116821E-2</v>
      </c>
      <c r="S112" s="2"/>
      <c r="T112" s="2">
        <f>0</f>
        <v>0</v>
      </c>
      <c r="U112" s="2"/>
      <c r="V112" s="19">
        <f t="shared" si="85"/>
        <v>0</v>
      </c>
      <c r="W112" s="2"/>
      <c r="X112" s="2">
        <f t="shared" si="86"/>
        <v>87676.2</v>
      </c>
      <c r="Y112" s="2"/>
      <c r="Z112" s="19">
        <f t="shared" si="87"/>
        <v>0</v>
      </c>
    </row>
    <row r="113" spans="1:26" s="24" customFormat="1" hidden="1" outlineLevel="1" x14ac:dyDescent="0.25">
      <c r="A113" s="44"/>
      <c r="B113" s="11" t="str">
        <f>CONCATENATE("          ", "9152", " - ", "MISC. INCOME")</f>
        <v xml:space="preserve">          9152 - MISC. INCOME</v>
      </c>
      <c r="C113" s="11"/>
      <c r="D113" s="2">
        <f>--53.08</f>
        <v>53.08</v>
      </c>
      <c r="E113" s="2"/>
      <c r="F113" s="19">
        <f t="shared" si="80"/>
        <v>1.6888559687122569E-3</v>
      </c>
      <c r="G113" s="2"/>
      <c r="H113" s="2">
        <f>--1707.79</f>
        <v>1707.79</v>
      </c>
      <c r="I113" s="2"/>
      <c r="J113" s="19">
        <f t="shared" si="81"/>
        <v>3.9253783008377154E-2</v>
      </c>
      <c r="K113" s="2"/>
      <c r="L113" s="2">
        <f t="shared" si="82"/>
        <v>-1654.71</v>
      </c>
      <c r="M113" s="2"/>
      <c r="N113" s="19">
        <f t="shared" si="83"/>
        <v>-0.96891889518032082</v>
      </c>
      <c r="O113" s="11"/>
      <c r="P113" s="2">
        <f>--694.1</f>
        <v>694.1</v>
      </c>
      <c r="Q113" s="2"/>
      <c r="R113" s="19">
        <f t="shared" si="84"/>
        <v>3.5393225697847859E-4</v>
      </c>
      <c r="S113" s="2"/>
      <c r="T113" s="2">
        <f>--3217.12</f>
        <v>3217.12</v>
      </c>
      <c r="U113" s="2"/>
      <c r="V113" s="19">
        <f t="shared" si="85"/>
        <v>1.3940659525637715E-3</v>
      </c>
      <c r="W113" s="2"/>
      <c r="X113" s="2">
        <f t="shared" si="86"/>
        <v>-2523.02</v>
      </c>
      <c r="Y113" s="2"/>
      <c r="Z113" s="19">
        <f t="shared" si="87"/>
        <v>-0.78424802307654051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8" t="s">
        <v>3</v>
      </c>
      <c r="C115" s="28"/>
      <c r="D115" s="21">
        <f>+D57-D59+D110</f>
        <v>8254.9099999999671</v>
      </c>
      <c r="E115" s="14"/>
      <c r="F115" s="22">
        <f>IF(D$12=0,0,D115/D$12)</f>
        <v>0.26264796580034744</v>
      </c>
      <c r="G115" s="14"/>
      <c r="H115" s="21">
        <f>+H57-H59+H110</f>
        <v>-45736.829999999958</v>
      </c>
      <c r="I115" s="14"/>
      <c r="J115" s="22">
        <f>IF(H$12=0,0,H115/H$12)</f>
        <v>-1.0512671934553035</v>
      </c>
      <c r="K115" s="16"/>
      <c r="L115" s="21">
        <f>+D115-H115</f>
        <v>53991.739999999925</v>
      </c>
      <c r="M115" s="16"/>
      <c r="N115" s="22">
        <f>IF(H115=0,0,L115/H115)</f>
        <v>-1.1804871478849752</v>
      </c>
      <c r="O115" s="29"/>
      <c r="P115" s="21">
        <f>+P57-P59+P110</f>
        <v>524445.6</v>
      </c>
      <c r="Q115" s="14"/>
      <c r="R115" s="22">
        <f>IF(P$12=0,0,P115/P$12)</f>
        <v>0.26742287115751678</v>
      </c>
      <c r="S115" s="14"/>
      <c r="T115" s="21">
        <f>+T57-T59+T110</f>
        <v>426044.68000000081</v>
      </c>
      <c r="U115" s="14"/>
      <c r="V115" s="22">
        <f>IF(T$12=0,0,T115/T$12)</f>
        <v>0.18461679472911435</v>
      </c>
      <c r="W115" s="16"/>
      <c r="X115" s="21">
        <f>+P115-T115</f>
        <v>98400.919999999169</v>
      </c>
      <c r="Y115" s="16"/>
      <c r="Z115" s="22">
        <f>IF(T115=0,0,X115/T115)</f>
        <v>0.23096385102144448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1"/>
      <c r="B117" s="10" t="s">
        <v>13</v>
      </c>
      <c r="C117" s="10"/>
      <c r="D117" s="4">
        <v>-9862.91</v>
      </c>
      <c r="E117" s="4"/>
      <c r="F117" s="12">
        <f>IF(D$12=0,0,D117/D$12)</f>
        <v>-0.31380999288567835</v>
      </c>
      <c r="G117" s="4"/>
      <c r="H117" s="4">
        <v>10771.69</v>
      </c>
      <c r="I117" s="4"/>
      <c r="J117" s="12">
        <f>IF(H$12=0,0,H117/H$12)</f>
        <v>0.24758874445541085</v>
      </c>
      <c r="K117" s="4"/>
      <c r="L117" s="4">
        <f>+D117-H117</f>
        <v>-20634.599999999999</v>
      </c>
      <c r="M117" s="4"/>
      <c r="N117" s="12">
        <f>IF(H117=0,0,L117/H117)</f>
        <v>-1.9156325516237469</v>
      </c>
      <c r="O117" s="10"/>
      <c r="P117" s="4">
        <v>197410.31</v>
      </c>
      <c r="Q117" s="4"/>
      <c r="R117" s="12">
        <f>IF(P$12=0,0,P117/P$12)</f>
        <v>0.10066255088477326</v>
      </c>
      <c r="S117" s="4"/>
      <c r="T117" s="4">
        <v>211940.91</v>
      </c>
      <c r="U117" s="4"/>
      <c r="V117" s="12">
        <f>IF(T$12=0,0,T117/T$12)</f>
        <v>9.1839784212706568E-2</v>
      </c>
      <c r="W117" s="4"/>
      <c r="X117" s="4">
        <f>+P117-T117</f>
        <v>-14530.600000000006</v>
      </c>
      <c r="Y117" s="4"/>
      <c r="Z117" s="12">
        <f>IF(T117=0,0,X117/T117)</f>
        <v>-6.8559675430288597E-2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8" t="s">
        <v>4</v>
      </c>
      <c r="C119" s="28"/>
      <c r="D119" s="31">
        <f>+D115-D117</f>
        <v>18117.819999999967</v>
      </c>
      <c r="E119" s="14"/>
      <c r="F119" s="34">
        <f>IF(D$12=0,0,D119/D$12)</f>
        <v>0.57645795868602578</v>
      </c>
      <c r="G119" s="14"/>
      <c r="H119" s="31">
        <f>+H115-H117</f>
        <v>-56508.51999999996</v>
      </c>
      <c r="I119" s="14"/>
      <c r="J119" s="34">
        <f>IF(H$12=0,0,H119/H$12)</f>
        <v>-1.2988559379107143</v>
      </c>
      <c r="K119" s="16"/>
      <c r="L119" s="31">
        <f>D119-H119</f>
        <v>74626.339999999924</v>
      </c>
      <c r="M119" s="16"/>
      <c r="N119" s="34">
        <f>IF(H119=0,0,L119/H119)</f>
        <v>-1.320621032014287</v>
      </c>
      <c r="O119" s="29"/>
      <c r="P119" s="31">
        <f>+P115-P117</f>
        <v>327035.28999999998</v>
      </c>
      <c r="Q119" s="14"/>
      <c r="R119" s="34">
        <f>IF(P$12=0,0,P119/P$12)</f>
        <v>0.16676032027274351</v>
      </c>
      <c r="S119" s="14"/>
      <c r="T119" s="31">
        <f>+T115-T117</f>
        <v>214103.7700000008</v>
      </c>
      <c r="U119" s="14"/>
      <c r="V119" s="34">
        <f>IF(T$12=0,0,T119/T$12)</f>
        <v>9.2777010516407771E-2</v>
      </c>
      <c r="W119" s="16"/>
      <c r="X119" s="31">
        <f>P119-T119</f>
        <v>112931.51999999917</v>
      </c>
      <c r="Y119" s="16"/>
      <c r="Z119" s="34">
        <f>IF(T119=0,0,X119/T119)</f>
        <v>0.52746161359045074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8" t="s">
        <v>5</v>
      </c>
      <c r="C122" s="28"/>
      <c r="D122" s="36">
        <f>SUM(D119:D121)</f>
        <v>18117.819999999967</v>
      </c>
      <c r="E122" s="14"/>
      <c r="F122" s="33">
        <f>IF(D$12=0,0,D122/D$12)</f>
        <v>0.57645795868602578</v>
      </c>
      <c r="G122" s="14"/>
      <c r="H122" s="36">
        <f>SUM(H119:H121)</f>
        <v>-56508.51999999996</v>
      </c>
      <c r="I122" s="14"/>
      <c r="J122" s="33">
        <f>IF(H$12=0,0,H122/H$12)</f>
        <v>-1.2988559379107143</v>
      </c>
      <c r="K122" s="16"/>
      <c r="L122" s="36">
        <f>+D122-H122</f>
        <v>74626.339999999924</v>
      </c>
      <c r="M122" s="16"/>
      <c r="N122" s="33">
        <f>IF(H122=0,0,L122/H122)</f>
        <v>-1.320621032014287</v>
      </c>
      <c r="O122" s="29"/>
      <c r="P122" s="36">
        <f>SUM(P119:P121)</f>
        <v>327035.28999999998</v>
      </c>
      <c r="Q122" s="14"/>
      <c r="R122" s="33">
        <f>IF(P$12=0,0,P122/P$12)</f>
        <v>0.16676032027274351</v>
      </c>
      <c r="S122" s="14"/>
      <c r="T122" s="36">
        <f>SUM(T119:T121)</f>
        <v>214103.7700000008</v>
      </c>
      <c r="U122" s="14"/>
      <c r="V122" s="33">
        <f>IF(T$12=0,0,T122/T$12)</f>
        <v>9.2777010516407771E-2</v>
      </c>
      <c r="W122" s="16"/>
      <c r="X122" s="36">
        <f>+P122-T122</f>
        <v>112931.51999999917</v>
      </c>
      <c r="Y122" s="16"/>
      <c r="Z122" s="33">
        <f>IF(T122=0,0,X122/T122)</f>
        <v>0.52746161359045074</v>
      </c>
    </row>
    <row r="123" spans="1:26" ht="15.75" thickTop="1" x14ac:dyDescent="0.25">
      <c r="A123" s="9"/>
      <c r="C123" s="9"/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61">
        <v>43791.355272418979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6" t="s">
        <v>313</v>
      </c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57"/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","314", " - ", "Supplies")</f>
        <v>Department 314 - Supplies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43050.419999999991</v>
      </c>
      <c r="E12" s="4"/>
      <c r="F12" s="12"/>
      <c r="G12" s="4"/>
      <c r="H12" s="4">
        <f>SUM(OSRRefH13x_0)</f>
        <v>41680.870000000003</v>
      </c>
      <c r="I12" s="4"/>
      <c r="J12" s="12"/>
      <c r="K12" s="4"/>
      <c r="L12" s="4">
        <f t="shared" ref="L12:L33" si="0">+D12-H12</f>
        <v>1369.5499999999884</v>
      </c>
      <c r="M12" s="4"/>
      <c r="N12" s="12">
        <f t="shared" ref="N12:N33" si="1">IF(H12=0,0,L12/H12)</f>
        <v>3.2857999365176117E-2</v>
      </c>
      <c r="O12" s="10"/>
      <c r="P12" s="4">
        <f>SUM(OSRRefP13x_0)</f>
        <v>205420.35</v>
      </c>
      <c r="Q12" s="4"/>
      <c r="R12" s="12"/>
      <c r="S12" s="4"/>
      <c r="T12" s="4">
        <f>SUM(OSRRefT13x_0)</f>
        <v>200592.46</v>
      </c>
      <c r="U12" s="4"/>
      <c r="V12" s="12"/>
      <c r="W12" s="4"/>
      <c r="X12" s="4">
        <f t="shared" ref="X12:X33" si="2">+P12-T12</f>
        <v>4827.890000000014</v>
      </c>
      <c r="Y12" s="4"/>
      <c r="Z12" s="12">
        <f t="shared" ref="Z12:Z33" si="3">IF(T12=0,0,X12/T12)</f>
        <v>2.4068152910632901E-2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--2.98</f>
        <v>2.98</v>
      </c>
      <c r="E13" s="2"/>
      <c r="F13" s="19"/>
      <c r="G13" s="2"/>
      <c r="H13" s="2">
        <f>--23.84</f>
        <v>23.84</v>
      </c>
      <c r="I13" s="2"/>
      <c r="J13" s="19"/>
      <c r="K13" s="2"/>
      <c r="L13" s="2">
        <f t="shared" si="0"/>
        <v>-20.86</v>
      </c>
      <c r="M13" s="2"/>
      <c r="N13" s="19">
        <f t="shared" si="1"/>
        <v>-0.875</v>
      </c>
      <c r="O13" s="11"/>
      <c r="P13" s="2">
        <f>--209.2</f>
        <v>209.2</v>
      </c>
      <c r="Q13" s="2"/>
      <c r="R13" s="19"/>
      <c r="S13" s="2"/>
      <c r="T13" s="2">
        <f>--633.13</f>
        <v>633.13</v>
      </c>
      <c r="U13" s="2"/>
      <c r="V13" s="19"/>
      <c r="W13" s="2"/>
      <c r="X13" s="2">
        <f t="shared" si="2"/>
        <v>-423.93</v>
      </c>
      <c r="Y13" s="2"/>
      <c r="Z13" s="19">
        <f t="shared" si="3"/>
        <v>-0.66957812771468739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>--14.95</f>
        <v>14.95</v>
      </c>
      <c r="E14" s="2"/>
      <c r="F14" s="19"/>
      <c r="G14" s="2"/>
      <c r="H14" s="2">
        <f>--14.58</f>
        <v>14.58</v>
      </c>
      <c r="I14" s="2"/>
      <c r="J14" s="19"/>
      <c r="K14" s="2"/>
      <c r="L14" s="2">
        <f t="shared" si="0"/>
        <v>0.36999999999999922</v>
      </c>
      <c r="M14" s="2"/>
      <c r="N14" s="19">
        <f t="shared" si="1"/>
        <v>2.537722908093273E-2</v>
      </c>
      <c r="O14" s="11"/>
      <c r="P14" s="2">
        <f>--29.9</f>
        <v>29.9</v>
      </c>
      <c r="Q14" s="2"/>
      <c r="R14" s="19"/>
      <c r="S14" s="2"/>
      <c r="T14" s="2">
        <f>--14.58</f>
        <v>14.58</v>
      </c>
      <c r="U14" s="2"/>
      <c r="V14" s="19"/>
      <c r="W14" s="2"/>
      <c r="X14" s="2">
        <f t="shared" si="2"/>
        <v>15.319999999999999</v>
      </c>
      <c r="Y14" s="2"/>
      <c r="Z14" s="19">
        <f t="shared" si="3"/>
        <v>1.0507544581618655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--9414.57</f>
        <v>9414.57</v>
      </c>
      <c r="E15" s="2"/>
      <c r="F15" s="19"/>
      <c r="G15" s="2"/>
      <c r="H15" s="2">
        <f>--8380.46</f>
        <v>8380.4599999999991</v>
      </c>
      <c r="I15" s="2"/>
      <c r="J15" s="19"/>
      <c r="K15" s="2"/>
      <c r="L15" s="2">
        <f t="shared" si="0"/>
        <v>1034.1100000000006</v>
      </c>
      <c r="M15" s="2"/>
      <c r="N15" s="19">
        <f t="shared" si="1"/>
        <v>0.12339537447825068</v>
      </c>
      <c r="O15" s="11"/>
      <c r="P15" s="2">
        <f>--25211.88</f>
        <v>25211.88</v>
      </c>
      <c r="Q15" s="2"/>
      <c r="R15" s="19"/>
      <c r="S15" s="2"/>
      <c r="T15" s="2">
        <f>--24452.77</f>
        <v>24452.77</v>
      </c>
      <c r="U15" s="2"/>
      <c r="V15" s="19"/>
      <c r="W15" s="2"/>
      <c r="X15" s="2">
        <f t="shared" si="2"/>
        <v>759.11000000000058</v>
      </c>
      <c r="Y15" s="2"/>
      <c r="Z15" s="19">
        <f t="shared" si="3"/>
        <v>3.1043926720776441E-2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--11350.78</f>
        <v>11350.78</v>
      </c>
      <c r="E16" s="2"/>
      <c r="F16" s="19"/>
      <c r="G16" s="2"/>
      <c r="H16" s="2">
        <f>--8107.54</f>
        <v>8107.54</v>
      </c>
      <c r="I16" s="2"/>
      <c r="J16" s="19"/>
      <c r="K16" s="2"/>
      <c r="L16" s="2">
        <f t="shared" si="0"/>
        <v>3243.2400000000007</v>
      </c>
      <c r="M16" s="2"/>
      <c r="N16" s="19">
        <f t="shared" si="1"/>
        <v>0.40002762860251084</v>
      </c>
      <c r="O16" s="11"/>
      <c r="P16" s="2">
        <f>--34245.79</f>
        <v>34245.79</v>
      </c>
      <c r="Q16" s="2"/>
      <c r="R16" s="19"/>
      <c r="S16" s="2"/>
      <c r="T16" s="2">
        <f>--29703.46</f>
        <v>29703.46</v>
      </c>
      <c r="U16" s="2"/>
      <c r="V16" s="19"/>
      <c r="W16" s="2"/>
      <c r="X16" s="2">
        <f t="shared" si="2"/>
        <v>4542.3300000000017</v>
      </c>
      <c r="Y16" s="2"/>
      <c r="Z16" s="19">
        <f t="shared" si="3"/>
        <v>0.15292258881625245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--20132.79</f>
        <v>20132.79</v>
      </c>
      <c r="E17" s="2"/>
      <c r="F17" s="19"/>
      <c r="G17" s="2"/>
      <c r="H17" s="2">
        <f>--17311.52</f>
        <v>17311.52</v>
      </c>
      <c r="I17" s="2"/>
      <c r="J17" s="19"/>
      <c r="K17" s="2"/>
      <c r="L17" s="2">
        <f t="shared" si="0"/>
        <v>2821.2700000000004</v>
      </c>
      <c r="M17" s="2"/>
      <c r="N17" s="19">
        <f t="shared" si="1"/>
        <v>0.16297066924221562</v>
      </c>
      <c r="O17" s="11"/>
      <c r="P17" s="2">
        <f>--138983.15</f>
        <v>138983.15</v>
      </c>
      <c r="Q17" s="2"/>
      <c r="R17" s="19"/>
      <c r="S17" s="2"/>
      <c r="T17" s="2">
        <f>--129806.02</f>
        <v>129806.02</v>
      </c>
      <c r="U17" s="2"/>
      <c r="V17" s="19"/>
      <c r="W17" s="2"/>
      <c r="X17" s="2">
        <f t="shared" si="2"/>
        <v>9177.1299999999901</v>
      </c>
      <c r="Y17" s="2"/>
      <c r="Z17" s="19">
        <f t="shared" si="3"/>
        <v>7.0698801180407431E-2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--1708.81</f>
        <v>1708.81</v>
      </c>
      <c r="E18" s="2"/>
      <c r="F18" s="19"/>
      <c r="G18" s="2"/>
      <c r="H18" s="2">
        <f>--3617.51</f>
        <v>3617.51</v>
      </c>
      <c r="I18" s="2"/>
      <c r="J18" s="19"/>
      <c r="K18" s="2"/>
      <c r="L18" s="2">
        <f t="shared" si="0"/>
        <v>-1908.7000000000003</v>
      </c>
      <c r="M18" s="2"/>
      <c r="N18" s="19">
        <f t="shared" si="1"/>
        <v>-0.52762811989462366</v>
      </c>
      <c r="O18" s="11"/>
      <c r="P18" s="2">
        <f>--5839.34</f>
        <v>5839.34</v>
      </c>
      <c r="Q18" s="2"/>
      <c r="R18" s="19"/>
      <c r="S18" s="2"/>
      <c r="T18" s="2">
        <f>--7217.3</f>
        <v>7217.3</v>
      </c>
      <c r="U18" s="2"/>
      <c r="V18" s="19"/>
      <c r="W18" s="2"/>
      <c r="X18" s="2">
        <f t="shared" si="2"/>
        <v>-1377.96</v>
      </c>
      <c r="Y18" s="2"/>
      <c r="Z18" s="19">
        <f t="shared" si="3"/>
        <v>-0.19092458398570103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ref="D19:D20" si="4">0</f>
        <v>0</v>
      </c>
      <c r="E19" s="2"/>
      <c r="F19" s="19"/>
      <c r="G19" s="2"/>
      <c r="H19" s="2">
        <f>--66.28</f>
        <v>66.28</v>
      </c>
      <c r="I19" s="2"/>
      <c r="J19" s="19"/>
      <c r="K19" s="2"/>
      <c r="L19" s="2">
        <f t="shared" si="0"/>
        <v>-66.28</v>
      </c>
      <c r="M19" s="2"/>
      <c r="N19" s="19">
        <f t="shared" si="1"/>
        <v>-1</v>
      </c>
      <c r="O19" s="11"/>
      <c r="P19" s="2">
        <f>--16.2</f>
        <v>16.2</v>
      </c>
      <c r="Q19" s="2"/>
      <c r="R19" s="19"/>
      <c r="S19" s="2"/>
      <c r="T19" s="2">
        <f>--275.09</f>
        <v>275.08999999999997</v>
      </c>
      <c r="U19" s="2"/>
      <c r="V19" s="19"/>
      <c r="W19" s="2"/>
      <c r="X19" s="2">
        <f t="shared" si="2"/>
        <v>-258.89</v>
      </c>
      <c r="Y19" s="2"/>
      <c r="Z19" s="19">
        <f t="shared" si="3"/>
        <v>-0.94111018212221453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4"/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--124.18</f>
        <v>124.18</v>
      </c>
      <c r="Q20" s="2"/>
      <c r="R20" s="19"/>
      <c r="S20" s="2"/>
      <c r="T20" s="2">
        <f>--160.73</f>
        <v>160.72999999999999</v>
      </c>
      <c r="U20" s="2"/>
      <c r="V20" s="19"/>
      <c r="W20" s="2"/>
      <c r="X20" s="2">
        <f t="shared" si="2"/>
        <v>-36.549999999999983</v>
      </c>
      <c r="Y20" s="2"/>
      <c r="Z20" s="19">
        <f t="shared" si="3"/>
        <v>-0.22739998755677213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>--115.27</f>
        <v>115.27</v>
      </c>
      <c r="E21" s="2"/>
      <c r="F21" s="19"/>
      <c r="G21" s="2"/>
      <c r="H21" s="2">
        <f>--96.42</f>
        <v>96.42</v>
      </c>
      <c r="I21" s="2"/>
      <c r="J21" s="19"/>
      <c r="K21" s="2"/>
      <c r="L21" s="2">
        <f t="shared" si="0"/>
        <v>18.849999999999994</v>
      </c>
      <c r="M21" s="2"/>
      <c r="N21" s="19">
        <f t="shared" si="1"/>
        <v>0.19549885915785101</v>
      </c>
      <c r="O21" s="11"/>
      <c r="P21" s="2">
        <f>--1458.53</f>
        <v>1458.53</v>
      </c>
      <c r="Q21" s="2"/>
      <c r="R21" s="19"/>
      <c r="S21" s="2"/>
      <c r="T21" s="2">
        <f>--1790.09</f>
        <v>1790.09</v>
      </c>
      <c r="U21" s="2"/>
      <c r="V21" s="19"/>
      <c r="W21" s="2"/>
      <c r="X21" s="2">
        <f t="shared" si="2"/>
        <v>-331.55999999999995</v>
      </c>
      <c r="Y21" s="2"/>
      <c r="Z21" s="19">
        <f t="shared" si="3"/>
        <v>-0.18521973755509497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>--178.54</f>
        <v>178.54</v>
      </c>
      <c r="E22" s="2"/>
      <c r="F22" s="19"/>
      <c r="G22" s="2"/>
      <c r="H22" s="2">
        <f>--3738.84</f>
        <v>3738.84</v>
      </c>
      <c r="I22" s="2"/>
      <c r="J22" s="19"/>
      <c r="K22" s="2"/>
      <c r="L22" s="2">
        <f t="shared" si="0"/>
        <v>-3560.3</v>
      </c>
      <c r="M22" s="2"/>
      <c r="N22" s="19">
        <f t="shared" si="1"/>
        <v>-0.95224722106321746</v>
      </c>
      <c r="O22" s="11"/>
      <c r="P22" s="2">
        <f>--2584.95</f>
        <v>2584.9499999999998</v>
      </c>
      <c r="Q22" s="2"/>
      <c r="R22" s="19"/>
      <c r="S22" s="2"/>
      <c r="T22" s="2">
        <f>--6265.28</f>
        <v>6265.28</v>
      </c>
      <c r="U22" s="2"/>
      <c r="V22" s="19"/>
      <c r="W22" s="2"/>
      <c r="X22" s="2">
        <f t="shared" si="2"/>
        <v>-3680.33</v>
      </c>
      <c r="Y22" s="2"/>
      <c r="Z22" s="19">
        <f t="shared" si="3"/>
        <v>-0.58741668369171052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>--32.63</f>
        <v>32.630000000000003</v>
      </c>
      <c r="E23" s="2"/>
      <c r="F23" s="19"/>
      <c r="G23" s="2"/>
      <c r="H23" s="2">
        <f>--29.8</f>
        <v>29.8</v>
      </c>
      <c r="I23" s="2"/>
      <c r="J23" s="19"/>
      <c r="K23" s="2"/>
      <c r="L23" s="2">
        <f t="shared" si="0"/>
        <v>2.8300000000000018</v>
      </c>
      <c r="M23" s="2"/>
      <c r="N23" s="19">
        <f t="shared" si="1"/>
        <v>9.4966442953020189E-2</v>
      </c>
      <c r="O23" s="11"/>
      <c r="P23" s="2">
        <f>--253.32</f>
        <v>253.32</v>
      </c>
      <c r="Q23" s="2"/>
      <c r="R23" s="19"/>
      <c r="S23" s="2"/>
      <c r="T23" s="2">
        <f>--339.41</f>
        <v>339.41</v>
      </c>
      <c r="U23" s="2"/>
      <c r="V23" s="19"/>
      <c r="W23" s="2"/>
      <c r="X23" s="2">
        <f t="shared" si="2"/>
        <v>-86.090000000000032</v>
      </c>
      <c r="Y23" s="2"/>
      <c r="Z23" s="19">
        <f t="shared" si="3"/>
        <v>-0.2536460328216612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--198.67</f>
        <v>198.67</v>
      </c>
      <c r="E24" s="2"/>
      <c r="F24" s="19"/>
      <c r="G24" s="2"/>
      <c r="H24" s="2">
        <f>--135.53</f>
        <v>135.53</v>
      </c>
      <c r="I24" s="2"/>
      <c r="J24" s="19"/>
      <c r="K24" s="2"/>
      <c r="L24" s="2">
        <f t="shared" si="0"/>
        <v>63.139999999999986</v>
      </c>
      <c r="M24" s="2"/>
      <c r="N24" s="19">
        <f t="shared" si="1"/>
        <v>0.46587471408544223</v>
      </c>
      <c r="O24" s="11"/>
      <c r="P24" s="2">
        <f>--703.67</f>
        <v>703.67</v>
      </c>
      <c r="Q24" s="2"/>
      <c r="R24" s="19"/>
      <c r="S24" s="2"/>
      <c r="T24" s="2">
        <f>--862.8</f>
        <v>862.8</v>
      </c>
      <c r="U24" s="2"/>
      <c r="V24" s="19"/>
      <c r="W24" s="2"/>
      <c r="X24" s="2">
        <f t="shared" si="2"/>
        <v>-159.13</v>
      </c>
      <c r="Y24" s="2"/>
      <c r="Z24" s="19">
        <f t="shared" si="3"/>
        <v>-0.18443439962911451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>--273.05</f>
        <v>273.05</v>
      </c>
      <c r="E25" s="2"/>
      <c r="F25" s="19"/>
      <c r="G25" s="2"/>
      <c r="H25" s="2">
        <f>--369.61</f>
        <v>369.61</v>
      </c>
      <c r="I25" s="2"/>
      <c r="J25" s="19"/>
      <c r="K25" s="2"/>
      <c r="L25" s="2">
        <f t="shared" si="0"/>
        <v>-96.56</v>
      </c>
      <c r="M25" s="2"/>
      <c r="N25" s="19">
        <f t="shared" si="1"/>
        <v>-0.26124834284786669</v>
      </c>
      <c r="O25" s="11"/>
      <c r="P25" s="2">
        <f>--1145.4</f>
        <v>1145.4000000000001</v>
      </c>
      <c r="Q25" s="2"/>
      <c r="R25" s="19"/>
      <c r="S25" s="2"/>
      <c r="T25" s="2">
        <f>--1313.28</f>
        <v>1313.28</v>
      </c>
      <c r="U25" s="2"/>
      <c r="V25" s="19"/>
      <c r="W25" s="2"/>
      <c r="X25" s="2">
        <f t="shared" si="2"/>
        <v>-167.87999999999988</v>
      </c>
      <c r="Y25" s="2"/>
      <c r="Z25" s="19">
        <f t="shared" si="3"/>
        <v>-0.1278326023391812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>0</f>
        <v>0</v>
      </c>
      <c r="E26" s="2"/>
      <c r="F26" s="19"/>
      <c r="G26" s="2"/>
      <c r="H26" s="2">
        <f>--39.49</f>
        <v>39.49</v>
      </c>
      <c r="I26" s="2"/>
      <c r="J26" s="19"/>
      <c r="K26" s="2"/>
      <c r="L26" s="2">
        <f t="shared" si="0"/>
        <v>-39.49</v>
      </c>
      <c r="M26" s="2"/>
      <c r="N26" s="19">
        <f t="shared" si="1"/>
        <v>-1</v>
      </c>
      <c r="O26" s="11"/>
      <c r="P26" s="2">
        <f>--50.16</f>
        <v>50.16</v>
      </c>
      <c r="Q26" s="2"/>
      <c r="R26" s="19"/>
      <c r="S26" s="2"/>
      <c r="T26" s="2">
        <f>--72.16</f>
        <v>72.16</v>
      </c>
      <c r="U26" s="2"/>
      <c r="V26" s="19"/>
      <c r="W26" s="2"/>
      <c r="X26" s="2">
        <f t="shared" si="2"/>
        <v>-22</v>
      </c>
      <c r="Y26" s="2"/>
      <c r="Z26" s="19">
        <f t="shared" si="3"/>
        <v>-0.3048780487804878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>-2.98</f>
        <v>-2.98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-2.98</v>
      </c>
      <c r="M27" s="2"/>
      <c r="N27" s="19">
        <f t="shared" si="1"/>
        <v>0</v>
      </c>
      <c r="O27" s="11"/>
      <c r="P27" s="2">
        <f>-2.98</f>
        <v>-2.98</v>
      </c>
      <c r="Q27" s="2"/>
      <c r="R27" s="19"/>
      <c r="S27" s="2"/>
      <c r="T27" s="2">
        <f>-1.5</f>
        <v>-1.5</v>
      </c>
      <c r="U27" s="2"/>
      <c r="V27" s="19"/>
      <c r="W27" s="2"/>
      <c r="X27" s="2">
        <f t="shared" si="2"/>
        <v>-1.48</v>
      </c>
      <c r="Y27" s="2"/>
      <c r="Z27" s="19">
        <f t="shared" si="3"/>
        <v>0.98666666666666669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>-7.96</f>
        <v>-7.96</v>
      </c>
      <c r="E28" s="2"/>
      <c r="F28" s="19"/>
      <c r="G28" s="2"/>
      <c r="H28" s="2">
        <f>-23.96</f>
        <v>-23.96</v>
      </c>
      <c r="I28" s="2"/>
      <c r="J28" s="19"/>
      <c r="K28" s="2"/>
      <c r="L28" s="2">
        <f t="shared" si="0"/>
        <v>16</v>
      </c>
      <c r="M28" s="2"/>
      <c r="N28" s="19">
        <f t="shared" si="1"/>
        <v>-0.667779632721202</v>
      </c>
      <c r="O28" s="11"/>
      <c r="P28" s="2">
        <f>-41.06</f>
        <v>-41.06</v>
      </c>
      <c r="Q28" s="2"/>
      <c r="R28" s="19"/>
      <c r="S28" s="2"/>
      <c r="T28" s="2">
        <f>-61.29</f>
        <v>-61.29</v>
      </c>
      <c r="U28" s="2"/>
      <c r="V28" s="19"/>
      <c r="W28" s="2"/>
      <c r="X28" s="2">
        <f t="shared" si="2"/>
        <v>20.229999999999997</v>
      </c>
      <c r="Y28" s="2"/>
      <c r="Z28" s="19">
        <f t="shared" si="3"/>
        <v>-0.33007015826399083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-32.1</f>
        <v>-32.1</v>
      </c>
      <c r="E29" s="2"/>
      <c r="F29" s="19"/>
      <c r="G29" s="2"/>
      <c r="H29" s="2">
        <f>-69.47</f>
        <v>-69.47</v>
      </c>
      <c r="I29" s="2"/>
      <c r="J29" s="19"/>
      <c r="K29" s="2"/>
      <c r="L29" s="2">
        <f t="shared" si="0"/>
        <v>37.369999999999997</v>
      </c>
      <c r="M29" s="2"/>
      <c r="N29" s="19">
        <f t="shared" si="1"/>
        <v>-0.53793004174463799</v>
      </c>
      <c r="O29" s="11"/>
      <c r="P29" s="2">
        <f>-338.18</f>
        <v>-338.18</v>
      </c>
      <c r="Q29" s="2"/>
      <c r="R29" s="19"/>
      <c r="S29" s="2"/>
      <c r="T29" s="2">
        <f>-181.16</f>
        <v>-181.16</v>
      </c>
      <c r="U29" s="2"/>
      <c r="V29" s="19"/>
      <c r="W29" s="2"/>
      <c r="X29" s="2">
        <f t="shared" si="2"/>
        <v>-157.02000000000001</v>
      </c>
      <c r="Y29" s="2"/>
      <c r="Z29" s="19">
        <f t="shared" si="3"/>
        <v>0.86674762640759562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-324.85</f>
        <v>-324.85000000000002</v>
      </c>
      <c r="E30" s="2"/>
      <c r="F30" s="19"/>
      <c r="G30" s="2"/>
      <c r="H30" s="2">
        <f>-154.62</f>
        <v>-154.62</v>
      </c>
      <c r="I30" s="2"/>
      <c r="J30" s="19"/>
      <c r="K30" s="2"/>
      <c r="L30" s="2">
        <f t="shared" si="0"/>
        <v>-170.23000000000002</v>
      </c>
      <c r="M30" s="2"/>
      <c r="N30" s="19">
        <f t="shared" si="1"/>
        <v>1.1009571853576512</v>
      </c>
      <c r="O30" s="11"/>
      <c r="P30" s="2">
        <f>-4804.26</f>
        <v>-4804.26</v>
      </c>
      <c r="Q30" s="2"/>
      <c r="R30" s="19"/>
      <c r="S30" s="2"/>
      <c r="T30" s="2">
        <f>-2055.85</f>
        <v>-2055.85</v>
      </c>
      <c r="U30" s="2"/>
      <c r="V30" s="19"/>
      <c r="W30" s="2"/>
      <c r="X30" s="2">
        <f t="shared" si="2"/>
        <v>-2748.4100000000003</v>
      </c>
      <c r="Y30" s="2"/>
      <c r="Z30" s="19">
        <f t="shared" si="3"/>
        <v>1.3368728263248779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>-4.73</f>
        <v>-4.7300000000000004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-4.7300000000000004</v>
      </c>
      <c r="M31" s="2"/>
      <c r="N31" s="19">
        <f t="shared" si="1"/>
        <v>0</v>
      </c>
      <c r="O31" s="11"/>
      <c r="P31" s="2">
        <f>-226.97</f>
        <v>-226.97</v>
      </c>
      <c r="Q31" s="2"/>
      <c r="R31" s="19"/>
      <c r="S31" s="2"/>
      <c r="T31" s="2">
        <f>-5.76</f>
        <v>-5.76</v>
      </c>
      <c r="U31" s="2"/>
      <c r="V31" s="19"/>
      <c r="W31" s="2"/>
      <c r="X31" s="2">
        <f t="shared" si="2"/>
        <v>-221.21</v>
      </c>
      <c r="Y31" s="2"/>
      <c r="Z31" s="19">
        <f t="shared" si="3"/>
        <v>38.404513888888893</v>
      </c>
    </row>
    <row r="32" spans="1:26" s="24" customFormat="1" hidden="1" outlineLevel="1" x14ac:dyDescent="0.25">
      <c r="A32" s="44"/>
      <c r="B32" s="11" t="str">
        <f>CONCATENATE("          ", "4326", " - ", "SALES RETURN NON TAXABLE-WRITI")</f>
        <v xml:space="preserve">          4326 - SALES RETURN NON TAXABLE-WRITI</v>
      </c>
      <c r="C32" s="11"/>
      <c r="D32" s="2">
        <f t="shared" ref="D32:D33" si="5">0</f>
        <v>0</v>
      </c>
      <c r="E32" s="2"/>
      <c r="F32" s="19"/>
      <c r="G32" s="2"/>
      <c r="H32" s="2">
        <f>-2.5</f>
        <v>-2.5</v>
      </c>
      <c r="I32" s="2"/>
      <c r="J32" s="19"/>
      <c r="K32" s="2"/>
      <c r="L32" s="2">
        <f t="shared" si="0"/>
        <v>2.5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f>-8.08</f>
        <v>-8.08</v>
      </c>
      <c r="U32" s="2"/>
      <c r="V32" s="19"/>
      <c r="W32" s="2"/>
      <c r="X32" s="2">
        <f t="shared" si="2"/>
        <v>8.08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 t="shared" si="5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-21.87</f>
        <v>-21.87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-21.87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8</v>
      </c>
      <c r="C35" s="10"/>
      <c r="D35" s="4">
        <f>SUM(OSRRefD16x_0)</f>
        <v>20551.25</v>
      </c>
      <c r="E35" s="4"/>
      <c r="F35" s="12">
        <f t="shared" ref="F35:F50" si="6">IF(D$12=0,0,D35/D$12)</f>
        <v>0.47737629505124468</v>
      </c>
      <c r="G35" s="4"/>
      <c r="H35" s="4">
        <f>SUM(OSRRefH16x_0)</f>
        <v>20409.37</v>
      </c>
      <c r="I35" s="4"/>
      <c r="J35" s="12">
        <f t="shared" ref="J35:J50" si="7">IF(H$12=0,0,H35/H$12)</f>
        <v>0.48965796539275686</v>
      </c>
      <c r="K35" s="4"/>
      <c r="L35" s="4">
        <f t="shared" ref="L35:L50" si="8">+D35-H35</f>
        <v>141.88000000000102</v>
      </c>
      <c r="M35" s="4"/>
      <c r="N35" s="12">
        <f t="shared" ref="N35:N50" si="9">IF(H35=0,0,L35/H35)</f>
        <v>6.9517089454501054E-3</v>
      </c>
      <c r="O35" s="10"/>
      <c r="P35" s="4">
        <f>SUM(OSRRefP16x_0)</f>
        <v>95179.010000000024</v>
      </c>
      <c r="Q35" s="4"/>
      <c r="R35" s="12">
        <f t="shared" ref="R35:R50" si="10">IF(P$12=0,0,P35/P$12)</f>
        <v>0.46333778518048491</v>
      </c>
      <c r="S35" s="4"/>
      <c r="T35" s="4">
        <f>SUM(OSRRefT16x_0)</f>
        <v>100608.85999999997</v>
      </c>
      <c r="U35" s="4"/>
      <c r="V35" s="12">
        <f t="shared" ref="V35:V50" si="11">IF(T$12=0,0,T35/T$12)</f>
        <v>0.5015585331572282</v>
      </c>
      <c r="W35" s="4"/>
      <c r="X35" s="4">
        <f t="shared" ref="X35:X50" si="12">+P35-T35</f>
        <v>-5429.8499999999476</v>
      </c>
      <c r="Y35" s="4"/>
      <c r="Z35" s="12">
        <f t="shared" ref="Z35:Z50" si="13">IF(T35=0,0,X35/T35)</f>
        <v>-5.3969898873716976E-2</v>
      </c>
    </row>
    <row r="36" spans="1:26" s="24" customFormat="1" hidden="1" outlineLevel="1" x14ac:dyDescent="0.25">
      <c r="A36" s="44"/>
      <c r="B36" s="11" t="str">
        <f>CONCATENATE("          ", "5017", " - ", "PURCHASES @ COST-DORM/HOUSEWAR")</f>
        <v xml:space="preserve">          5017 - PURCHASES @ COST-DORM/HOUSEWAR</v>
      </c>
      <c r="C36" s="11"/>
      <c r="D36" s="2"/>
      <c r="E36" s="2"/>
      <c r="F36" s="19">
        <f t="shared" si="6"/>
        <v>0</v>
      </c>
      <c r="G36" s="2"/>
      <c r="H36" s="2">
        <v>239.9</v>
      </c>
      <c r="I36" s="2"/>
      <c r="J36" s="19">
        <f t="shared" si="7"/>
        <v>5.7556380181123853E-3</v>
      </c>
      <c r="K36" s="2"/>
      <c r="L36" s="2">
        <f t="shared" si="8"/>
        <v>-239.9</v>
      </c>
      <c r="M36" s="2"/>
      <c r="N36" s="19">
        <f t="shared" si="9"/>
        <v>-1</v>
      </c>
      <c r="O36" s="11"/>
      <c r="P36" s="2">
        <v>0</v>
      </c>
      <c r="Q36" s="2"/>
      <c r="R36" s="19">
        <f t="shared" si="10"/>
        <v>0</v>
      </c>
      <c r="S36" s="2"/>
      <c r="T36" s="2">
        <v>239.9</v>
      </c>
      <c r="U36" s="2"/>
      <c r="V36" s="19">
        <f t="shared" si="11"/>
        <v>1.1959572159392234E-3</v>
      </c>
      <c r="W36" s="2"/>
      <c r="X36" s="2">
        <f t="shared" si="12"/>
        <v>-239.9</v>
      </c>
      <c r="Y36" s="2"/>
      <c r="Z36" s="19">
        <f t="shared" si="13"/>
        <v>-1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>
        <v>-294.16000000000003</v>
      </c>
      <c r="E37" s="2"/>
      <c r="F37" s="19">
        <f t="shared" si="6"/>
        <v>-6.8329182386606237E-3</v>
      </c>
      <c r="G37" s="2"/>
      <c r="H37" s="2">
        <v>-60</v>
      </c>
      <c r="I37" s="2"/>
      <c r="J37" s="19">
        <f t="shared" si="7"/>
        <v>-1.4395093000697922E-3</v>
      </c>
      <c r="K37" s="2"/>
      <c r="L37" s="2">
        <f t="shared" si="8"/>
        <v>-234.16000000000003</v>
      </c>
      <c r="M37" s="2"/>
      <c r="N37" s="19">
        <f t="shared" si="9"/>
        <v>3.9026666666666672</v>
      </c>
      <c r="O37" s="11"/>
      <c r="P37" s="2">
        <v>2814.01</v>
      </c>
      <c r="Q37" s="2"/>
      <c r="R37" s="19">
        <f t="shared" si="10"/>
        <v>1.3698788849303393E-2</v>
      </c>
      <c r="S37" s="2"/>
      <c r="T37" s="2">
        <v>916.8</v>
      </c>
      <c r="U37" s="2"/>
      <c r="V37" s="19">
        <f t="shared" si="11"/>
        <v>4.5704609236060017E-3</v>
      </c>
      <c r="W37" s="2"/>
      <c r="X37" s="2">
        <f t="shared" si="12"/>
        <v>1897.2100000000003</v>
      </c>
      <c r="Y37" s="2"/>
      <c r="Z37" s="19">
        <f t="shared" si="13"/>
        <v>2.0693826352530547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9210.39</v>
      </c>
      <c r="E38" s="2"/>
      <c r="F38" s="19">
        <f t="shared" si="6"/>
        <v>0.21394425420239804</v>
      </c>
      <c r="G38" s="2"/>
      <c r="H38" s="2">
        <v>3700.45</v>
      </c>
      <c r="I38" s="2"/>
      <c r="J38" s="19">
        <f t="shared" si="7"/>
        <v>8.8780536490721026E-2</v>
      </c>
      <c r="K38" s="2"/>
      <c r="L38" s="2">
        <f t="shared" si="8"/>
        <v>5509.94</v>
      </c>
      <c r="M38" s="2"/>
      <c r="N38" s="19">
        <f t="shared" si="9"/>
        <v>1.4889918793660231</v>
      </c>
      <c r="O38" s="11"/>
      <c r="P38" s="2">
        <v>23500.1</v>
      </c>
      <c r="Q38" s="2"/>
      <c r="R38" s="19">
        <f t="shared" si="10"/>
        <v>0.11440005822207974</v>
      </c>
      <c r="S38" s="2"/>
      <c r="T38" s="2">
        <v>25490.17</v>
      </c>
      <c r="U38" s="2"/>
      <c r="V38" s="19">
        <f t="shared" si="11"/>
        <v>0.12707441745317843</v>
      </c>
      <c r="W38" s="2"/>
      <c r="X38" s="2">
        <f t="shared" si="12"/>
        <v>-1990.0699999999997</v>
      </c>
      <c r="Y38" s="2"/>
      <c r="Z38" s="19">
        <f t="shared" si="13"/>
        <v>-7.807205679679656E-2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8821.99</v>
      </c>
      <c r="E39" s="2"/>
      <c r="F39" s="19">
        <f t="shared" si="6"/>
        <v>0.20492227485817796</v>
      </c>
      <c r="G39" s="2"/>
      <c r="H39" s="2">
        <v>15379.350000000002</v>
      </c>
      <c r="I39" s="2"/>
      <c r="J39" s="19">
        <f t="shared" si="7"/>
        <v>0.36897862256713937</v>
      </c>
      <c r="K39" s="2"/>
      <c r="L39" s="2">
        <f t="shared" si="8"/>
        <v>-6557.3600000000024</v>
      </c>
      <c r="M39" s="2"/>
      <c r="N39" s="19">
        <f t="shared" si="9"/>
        <v>-0.42637432661328351</v>
      </c>
      <c r="O39" s="11"/>
      <c r="P39" s="2">
        <v>70213.02</v>
      </c>
      <c r="Q39" s="2"/>
      <c r="R39" s="19">
        <f t="shared" si="10"/>
        <v>0.34180167641618758</v>
      </c>
      <c r="S39" s="2"/>
      <c r="T39" s="2">
        <v>72495.37999999999</v>
      </c>
      <c r="U39" s="2"/>
      <c r="V39" s="19">
        <f t="shared" si="11"/>
        <v>0.36140630609944158</v>
      </c>
      <c r="W39" s="2"/>
      <c r="X39" s="2">
        <f t="shared" si="12"/>
        <v>-2282.359999999986</v>
      </c>
      <c r="Y39" s="2"/>
      <c r="Z39" s="19">
        <f t="shared" si="13"/>
        <v>-3.1482833802650406E-2</v>
      </c>
    </row>
    <row r="40" spans="1:26" s="24" customFormat="1" hidden="1" outlineLevel="1" x14ac:dyDescent="0.25">
      <c r="A40" s="44"/>
      <c r="B40" s="11" t="str">
        <f>CONCATENATE("          ", "5028", " - ", "PURCHASES @ COST-ART/TECH")</f>
        <v xml:space="preserve">          5028 - PURCHASES @ COST-ART/TECH</v>
      </c>
      <c r="C40" s="11"/>
      <c r="D40" s="2">
        <v>194.51</v>
      </c>
      <c r="E40" s="2"/>
      <c r="F40" s="19">
        <f t="shared" si="6"/>
        <v>4.5181905310099192E-3</v>
      </c>
      <c r="G40" s="2"/>
      <c r="H40" s="2">
        <v>1309.04</v>
      </c>
      <c r="I40" s="2"/>
      <c r="J40" s="19">
        <f t="shared" si="7"/>
        <v>3.140625423605601E-2</v>
      </c>
      <c r="K40" s="2"/>
      <c r="L40" s="2">
        <f t="shared" si="8"/>
        <v>-1114.53</v>
      </c>
      <c r="M40" s="2"/>
      <c r="N40" s="19">
        <f t="shared" si="9"/>
        <v>-0.85141019372975613</v>
      </c>
      <c r="O40" s="11"/>
      <c r="P40" s="2">
        <v>3273.34</v>
      </c>
      <c r="Q40" s="2"/>
      <c r="R40" s="19">
        <f t="shared" si="10"/>
        <v>1.5934838004121793E-2</v>
      </c>
      <c r="S40" s="2"/>
      <c r="T40" s="2">
        <v>2978.54</v>
      </c>
      <c r="U40" s="2"/>
      <c r="V40" s="19">
        <f t="shared" si="11"/>
        <v>1.48487136555382E-2</v>
      </c>
      <c r="W40" s="2"/>
      <c r="X40" s="2">
        <f t="shared" si="12"/>
        <v>294.80000000000018</v>
      </c>
      <c r="Y40" s="2"/>
      <c r="Z40" s="19">
        <f t="shared" si="13"/>
        <v>9.8974665440115017E-2</v>
      </c>
    </row>
    <row r="41" spans="1:26" s="24" customFormat="1" hidden="1" outlineLevel="1" x14ac:dyDescent="0.25">
      <c r="A41" s="44"/>
      <c r="B41" s="11" t="str">
        <f>CONCATENATE("          ", "5031", " - ", "PURCHASES @ COST-FOOD")</f>
        <v xml:space="preserve">          5031 - PURCHASES @ COST-FOOD</v>
      </c>
      <c r="C41" s="11"/>
      <c r="D41" s="2">
        <v>18.190000000000001</v>
      </c>
      <c r="E41" s="2"/>
      <c r="F41" s="19">
        <f t="shared" si="6"/>
        <v>4.2252781738250187E-4</v>
      </c>
      <c r="G41" s="2"/>
      <c r="H41" s="2">
        <v>109.87</v>
      </c>
      <c r="I41" s="2"/>
      <c r="J41" s="19">
        <f t="shared" si="7"/>
        <v>2.6359814466444679E-3</v>
      </c>
      <c r="K41" s="2"/>
      <c r="L41" s="2">
        <f t="shared" si="8"/>
        <v>-91.68</v>
      </c>
      <c r="M41" s="2"/>
      <c r="N41" s="19">
        <f t="shared" si="9"/>
        <v>-0.83444070264858472</v>
      </c>
      <c r="O41" s="11"/>
      <c r="P41" s="2">
        <v>167.3</v>
      </c>
      <c r="Q41" s="2"/>
      <c r="R41" s="19">
        <f t="shared" si="10"/>
        <v>8.1442758714022245E-4</v>
      </c>
      <c r="S41" s="2"/>
      <c r="T41" s="2">
        <v>397.52</v>
      </c>
      <c r="U41" s="2"/>
      <c r="V41" s="19">
        <f t="shared" si="11"/>
        <v>1.9817295226350982E-3</v>
      </c>
      <c r="W41" s="2"/>
      <c r="X41" s="2">
        <f t="shared" si="12"/>
        <v>-230.21999999999997</v>
      </c>
      <c r="Y41" s="2"/>
      <c r="Z41" s="19">
        <f t="shared" si="13"/>
        <v>-0.57914067216743803</v>
      </c>
    </row>
    <row r="42" spans="1:26" s="24" customFormat="1" hidden="1" outlineLevel="1" x14ac:dyDescent="0.25">
      <c r="A42" s="44"/>
      <c r="B42" s="11" t="str">
        <f>CONCATENATE("          ", "5033", " - ", "PURCHASES @ COST-CANDY")</f>
        <v xml:space="preserve">          5033 - PURCHASES @ COST-CANDY</v>
      </c>
      <c r="C42" s="11"/>
      <c r="D42" s="2">
        <v>73.040000000000006</v>
      </c>
      <c r="E42" s="2"/>
      <c r="F42" s="19">
        <f t="shared" si="6"/>
        <v>1.6966152711169837E-3</v>
      </c>
      <c r="G42" s="2"/>
      <c r="H42" s="2">
        <v>304.92</v>
      </c>
      <c r="I42" s="2"/>
      <c r="J42" s="19">
        <f t="shared" si="7"/>
        <v>7.3155862629546839E-3</v>
      </c>
      <c r="K42" s="2"/>
      <c r="L42" s="2">
        <f t="shared" si="8"/>
        <v>-231.88</v>
      </c>
      <c r="M42" s="2"/>
      <c r="N42" s="19">
        <f t="shared" si="9"/>
        <v>-0.76046176046176039</v>
      </c>
      <c r="O42" s="11"/>
      <c r="P42" s="2">
        <v>153.99</v>
      </c>
      <c r="Q42" s="2"/>
      <c r="R42" s="19">
        <f t="shared" si="10"/>
        <v>7.496336171172915E-4</v>
      </c>
      <c r="S42" s="2"/>
      <c r="T42" s="2">
        <v>599.97</v>
      </c>
      <c r="U42" s="2"/>
      <c r="V42" s="19">
        <f t="shared" si="11"/>
        <v>2.990989790942292E-3</v>
      </c>
      <c r="W42" s="2"/>
      <c r="X42" s="2">
        <f t="shared" si="12"/>
        <v>-445.98</v>
      </c>
      <c r="Y42" s="2"/>
      <c r="Z42" s="19">
        <f t="shared" si="13"/>
        <v>-0.74333716685834295</v>
      </c>
    </row>
    <row r="43" spans="1:26" s="24" customFormat="1" hidden="1" outlineLevel="1" x14ac:dyDescent="0.25">
      <c r="A43" s="44"/>
      <c r="B43" s="11" t="str">
        <f>CONCATENATE("          ", "5035", " - ", "PURCHASES @ COST-HEALTH &amp; BEAU")</f>
        <v xml:space="preserve">          5035 - PURCHASES @ COST-HEALTH &amp; BEAU</v>
      </c>
      <c r="C43" s="11"/>
      <c r="D43" s="2"/>
      <c r="E43" s="2"/>
      <c r="F43" s="19">
        <f t="shared" si="6"/>
        <v>0</v>
      </c>
      <c r="G43" s="2"/>
      <c r="H43" s="2">
        <v>78.180000000000007</v>
      </c>
      <c r="I43" s="2"/>
      <c r="J43" s="19">
        <f t="shared" si="7"/>
        <v>1.8756806179909393E-3</v>
      </c>
      <c r="K43" s="2"/>
      <c r="L43" s="2">
        <f t="shared" si="8"/>
        <v>-78.180000000000007</v>
      </c>
      <c r="M43" s="2"/>
      <c r="N43" s="19">
        <f t="shared" si="9"/>
        <v>-1</v>
      </c>
      <c r="O43" s="11"/>
      <c r="P43" s="2">
        <v>34.49</v>
      </c>
      <c r="Q43" s="2"/>
      <c r="R43" s="19">
        <f t="shared" si="10"/>
        <v>1.6789962630284682E-4</v>
      </c>
      <c r="S43" s="2"/>
      <c r="T43" s="2">
        <v>78.180000000000007</v>
      </c>
      <c r="U43" s="2"/>
      <c r="V43" s="19">
        <f t="shared" si="11"/>
        <v>3.8974545703263227E-4</v>
      </c>
      <c r="W43" s="2"/>
      <c r="X43" s="2">
        <f t="shared" si="12"/>
        <v>-43.690000000000005</v>
      </c>
      <c r="Y43" s="2"/>
      <c r="Z43" s="19">
        <f t="shared" si="13"/>
        <v>-0.55883857764134048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-18395</v>
      </c>
      <c r="E44" s="2"/>
      <c r="F44" s="19">
        <f t="shared" si="6"/>
        <v>-0.4272896756872524</v>
      </c>
      <c r="G44" s="2"/>
      <c r="H44" s="2">
        <v>-21351</v>
      </c>
      <c r="I44" s="2"/>
      <c r="J44" s="19">
        <f t="shared" si="7"/>
        <v>-0.51224938442983547</v>
      </c>
      <c r="K44" s="2"/>
      <c r="L44" s="2">
        <f t="shared" si="8"/>
        <v>2956</v>
      </c>
      <c r="M44" s="2"/>
      <c r="N44" s="19">
        <f t="shared" si="9"/>
        <v>-0.13844784787597772</v>
      </c>
      <c r="O44" s="11"/>
      <c r="P44" s="2">
        <v>-101022</v>
      </c>
      <c r="Q44" s="2"/>
      <c r="R44" s="19">
        <f t="shared" si="10"/>
        <v>-0.49178185121386464</v>
      </c>
      <c r="S44" s="2"/>
      <c r="T44" s="2">
        <v>-104175</v>
      </c>
      <c r="U44" s="2"/>
      <c r="V44" s="19">
        <f t="shared" si="11"/>
        <v>-0.5193365692808195</v>
      </c>
      <c r="W44" s="2"/>
      <c r="X44" s="2">
        <f t="shared" si="12"/>
        <v>3153</v>
      </c>
      <c r="Y44" s="2"/>
      <c r="Z44" s="19">
        <f t="shared" si="13"/>
        <v>-3.0266378689704825E-2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20545</v>
      </c>
      <c r="E45" s="2"/>
      <c r="F45" s="19">
        <f t="shared" si="6"/>
        <v>0.47723111644439253</v>
      </c>
      <c r="G45" s="2"/>
      <c r="H45" s="2">
        <v>20409</v>
      </c>
      <c r="I45" s="2"/>
      <c r="J45" s="19">
        <f t="shared" si="7"/>
        <v>0.48964908841873978</v>
      </c>
      <c r="K45" s="2"/>
      <c r="L45" s="2">
        <f t="shared" si="8"/>
        <v>136</v>
      </c>
      <c r="M45" s="2"/>
      <c r="N45" s="19">
        <f t="shared" si="9"/>
        <v>6.6637267872017248E-3</v>
      </c>
      <c r="O45" s="11"/>
      <c r="P45" s="2">
        <v>95173</v>
      </c>
      <c r="Q45" s="2"/>
      <c r="R45" s="19">
        <f t="shared" si="10"/>
        <v>0.46330852809860368</v>
      </c>
      <c r="S45" s="2"/>
      <c r="T45" s="2">
        <v>100610</v>
      </c>
      <c r="U45" s="2"/>
      <c r="V45" s="19">
        <f t="shared" si="11"/>
        <v>0.50156421632198944</v>
      </c>
      <c r="W45" s="2"/>
      <c r="X45" s="2">
        <f t="shared" si="12"/>
        <v>-5437</v>
      </c>
      <c r="Y45" s="2"/>
      <c r="Z45" s="19">
        <f t="shared" si="13"/>
        <v>-5.4040353841566448E-2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>
        <v>6</v>
      </c>
      <c r="E46" s="2"/>
      <c r="F46" s="19">
        <f t="shared" si="6"/>
        <v>1.3937146257806546E-4</v>
      </c>
      <c r="G46" s="2"/>
      <c r="H46" s="2"/>
      <c r="I46" s="2"/>
      <c r="J46" s="19">
        <f t="shared" si="7"/>
        <v>0</v>
      </c>
      <c r="K46" s="2"/>
      <c r="L46" s="2">
        <f t="shared" si="8"/>
        <v>6</v>
      </c>
      <c r="M46" s="2"/>
      <c r="N46" s="19">
        <f t="shared" si="9"/>
        <v>0</v>
      </c>
      <c r="O46" s="11"/>
      <c r="P46" s="2">
        <v>6</v>
      </c>
      <c r="Q46" s="2"/>
      <c r="R46" s="19">
        <f t="shared" si="10"/>
        <v>2.9208401212440734E-5</v>
      </c>
      <c r="S46" s="2"/>
      <c r="T46" s="2"/>
      <c r="U46" s="2"/>
      <c r="V46" s="19">
        <f t="shared" si="11"/>
        <v>0</v>
      </c>
      <c r="W46" s="2"/>
      <c r="X46" s="2">
        <f t="shared" si="12"/>
        <v>6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"5525", " - ", "FREIGHT-IN-TEST FORMS")</f>
        <v xml:space="preserve">          5525 - FREIGHT-IN-TEST FORMS</v>
      </c>
      <c r="C47" s="11"/>
      <c r="D47" s="2">
        <v>39.22</v>
      </c>
      <c r="E47" s="2"/>
      <c r="F47" s="19">
        <f t="shared" si="6"/>
        <v>9.1102479371862129E-4</v>
      </c>
      <c r="G47" s="2"/>
      <c r="H47" s="2">
        <v>50.92</v>
      </c>
      <c r="I47" s="2"/>
      <c r="J47" s="19">
        <f t="shared" si="7"/>
        <v>1.221663559325897E-3</v>
      </c>
      <c r="K47" s="2"/>
      <c r="L47" s="2">
        <f t="shared" si="8"/>
        <v>-11.700000000000003</v>
      </c>
      <c r="M47" s="2"/>
      <c r="N47" s="19">
        <f t="shared" si="9"/>
        <v>-0.22977219167321294</v>
      </c>
      <c r="O47" s="11"/>
      <c r="P47" s="2">
        <v>39.22</v>
      </c>
      <c r="Q47" s="2"/>
      <c r="R47" s="19">
        <f t="shared" si="10"/>
        <v>1.9092558259198758E-4</v>
      </c>
      <c r="S47" s="2"/>
      <c r="T47" s="2">
        <v>50.92</v>
      </c>
      <c r="U47" s="2"/>
      <c r="V47" s="19">
        <f t="shared" si="11"/>
        <v>2.5384802599260215E-4</v>
      </c>
      <c r="W47" s="2"/>
      <c r="X47" s="2">
        <f t="shared" si="12"/>
        <v>-11.700000000000003</v>
      </c>
      <c r="Y47" s="2"/>
      <c r="Z47" s="19">
        <f t="shared" si="13"/>
        <v>-0.22977219167321294</v>
      </c>
    </row>
    <row r="48" spans="1:26" s="24" customFormat="1" hidden="1" outlineLevel="1" x14ac:dyDescent="0.25">
      <c r="A48" s="44"/>
      <c r="B48" s="11" t="str">
        <f>CONCATENATE("          ", "5526", " - ", "FREIGHT-IN-WRITING INSTRUMENTS")</f>
        <v xml:space="preserve">          5526 - FREIGHT-IN-WRITING INSTRUMENTS</v>
      </c>
      <c r="C48" s="11"/>
      <c r="D48" s="2"/>
      <c r="E48" s="2"/>
      <c r="F48" s="19">
        <f t="shared" si="6"/>
        <v>0</v>
      </c>
      <c r="G48" s="2"/>
      <c r="H48" s="2">
        <v>23.74</v>
      </c>
      <c r="I48" s="2"/>
      <c r="J48" s="19">
        <f t="shared" si="7"/>
        <v>5.6956584639428101E-4</v>
      </c>
      <c r="K48" s="2"/>
      <c r="L48" s="2">
        <f t="shared" si="8"/>
        <v>-23.74</v>
      </c>
      <c r="M48" s="2"/>
      <c r="N48" s="19">
        <f t="shared" si="9"/>
        <v>-1</v>
      </c>
      <c r="O48" s="11"/>
      <c r="P48" s="2">
        <v>56.57</v>
      </c>
      <c r="Q48" s="2"/>
      <c r="R48" s="19">
        <f t="shared" si="10"/>
        <v>2.7538654276462873E-4</v>
      </c>
      <c r="S48" s="2"/>
      <c r="T48" s="2">
        <v>66.48</v>
      </c>
      <c r="U48" s="2"/>
      <c r="V48" s="19">
        <f t="shared" si="11"/>
        <v>3.3141823974839338E-4</v>
      </c>
      <c r="W48" s="2"/>
      <c r="X48" s="2">
        <f t="shared" si="12"/>
        <v>-9.9100000000000037</v>
      </c>
      <c r="Y48" s="2"/>
      <c r="Z48" s="19">
        <f t="shared" si="13"/>
        <v>-0.14906738868832736</v>
      </c>
    </row>
    <row r="49" spans="1:26" s="24" customFormat="1" hidden="1" outlineLevel="1" x14ac:dyDescent="0.25">
      <c r="A49" s="44"/>
      <c r="B49" s="11" t="str">
        <f>CONCATENATE("          ", "5527", " - ", "FREIGHT-IN-SCHOOL SUPPLIES")</f>
        <v xml:space="preserve">          5527 - FREIGHT-IN-SCHOOL SUPPLIES</v>
      </c>
      <c r="C49" s="11"/>
      <c r="D49" s="2">
        <v>332.07</v>
      </c>
      <c r="E49" s="2"/>
      <c r="F49" s="19">
        <f t="shared" si="6"/>
        <v>7.7135135963830332E-3</v>
      </c>
      <c r="G49" s="2"/>
      <c r="H49" s="2">
        <v>207.6</v>
      </c>
      <c r="I49" s="2"/>
      <c r="J49" s="19">
        <f t="shared" si="7"/>
        <v>4.9807021782414806E-3</v>
      </c>
      <c r="K49" s="2"/>
      <c r="L49" s="2">
        <f t="shared" si="8"/>
        <v>124.47</v>
      </c>
      <c r="M49" s="2"/>
      <c r="N49" s="19">
        <f t="shared" si="9"/>
        <v>0.59956647398843932</v>
      </c>
      <c r="O49" s="11"/>
      <c r="P49" s="2">
        <v>725.97</v>
      </c>
      <c r="Q49" s="2"/>
      <c r="R49" s="19">
        <f t="shared" si="10"/>
        <v>3.5340705046992666E-3</v>
      </c>
      <c r="S49" s="2"/>
      <c r="T49" s="2">
        <v>844.22</v>
      </c>
      <c r="U49" s="2"/>
      <c r="V49" s="19">
        <f t="shared" si="11"/>
        <v>4.2086327671538607E-3</v>
      </c>
      <c r="W49" s="2"/>
      <c r="X49" s="2">
        <f t="shared" si="12"/>
        <v>-118.25</v>
      </c>
      <c r="Y49" s="2"/>
      <c r="Z49" s="19">
        <f t="shared" si="13"/>
        <v>-0.14007012390135273</v>
      </c>
    </row>
    <row r="50" spans="1:26" s="24" customFormat="1" hidden="1" outlineLevel="1" x14ac:dyDescent="0.25">
      <c r="A50" s="44"/>
      <c r="B50" s="11" t="str">
        <f>CONCATENATE("          ", "5528", " - ", "FREIGHT-IN-ART/TECH")</f>
        <v xml:space="preserve">          5528 - FREIGHT-IN-ART/TECH</v>
      </c>
      <c r="C50" s="11"/>
      <c r="D50" s="2"/>
      <c r="E50" s="2"/>
      <c r="F50" s="19">
        <f t="shared" si="6"/>
        <v>0</v>
      </c>
      <c r="G50" s="2"/>
      <c r="H50" s="2">
        <v>7.4</v>
      </c>
      <c r="I50" s="2"/>
      <c r="J50" s="19">
        <f t="shared" si="7"/>
        <v>1.7753948034194105E-4</v>
      </c>
      <c r="K50" s="2"/>
      <c r="L50" s="2">
        <f t="shared" si="8"/>
        <v>-7.4</v>
      </c>
      <c r="M50" s="2"/>
      <c r="N50" s="19">
        <f t="shared" si="9"/>
        <v>-1</v>
      </c>
      <c r="O50" s="11"/>
      <c r="P50" s="2">
        <v>44</v>
      </c>
      <c r="Q50" s="2"/>
      <c r="R50" s="19">
        <f t="shared" si="10"/>
        <v>2.1419494222456537E-4</v>
      </c>
      <c r="S50" s="2"/>
      <c r="T50" s="2">
        <v>15.78</v>
      </c>
      <c r="U50" s="2"/>
      <c r="V50" s="19">
        <f t="shared" si="11"/>
        <v>7.8666964850024768E-5</v>
      </c>
      <c r="W50" s="2"/>
      <c r="X50" s="2">
        <f t="shared" si="12"/>
        <v>28.22</v>
      </c>
      <c r="Y50" s="2"/>
      <c r="Z50" s="19">
        <f t="shared" si="13"/>
        <v>1.788339670468948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8" t="s">
        <v>6</v>
      </c>
      <c r="C52" s="28"/>
      <c r="D52" s="21">
        <f>D12-D35</f>
        <v>22499.169999999991</v>
      </c>
      <c r="E52" s="14"/>
      <c r="F52" s="22">
        <f>IF(D$12=0,0,D52/D$12)</f>
        <v>0.52262370494875532</v>
      </c>
      <c r="G52" s="14"/>
      <c r="H52" s="21">
        <f>H12-H35</f>
        <v>21271.500000000004</v>
      </c>
      <c r="I52" s="14"/>
      <c r="J52" s="22">
        <f>IF(H$12=0,0,H52/H$12)</f>
        <v>0.51034203460724314</v>
      </c>
      <c r="K52" s="16"/>
      <c r="L52" s="21">
        <f>+D52-H52</f>
        <v>1227.6699999999873</v>
      </c>
      <c r="M52" s="16"/>
      <c r="N52" s="22">
        <f>IF(H52=0,0,L52/H52)</f>
        <v>5.771431257786179E-2</v>
      </c>
      <c r="O52" s="29"/>
      <c r="P52" s="21">
        <f>P12-P35</f>
        <v>110241.33999999998</v>
      </c>
      <c r="Q52" s="14"/>
      <c r="R52" s="22">
        <f>IF(P$12=0,0,P52/P$12)</f>
        <v>0.53666221481951515</v>
      </c>
      <c r="S52" s="14"/>
      <c r="T52" s="21">
        <f>T12-T35</f>
        <v>99983.60000000002</v>
      </c>
      <c r="U52" s="14"/>
      <c r="V52" s="22">
        <f>IF(T$12=0,0,T52/T$12)</f>
        <v>0.4984414668427718</v>
      </c>
      <c r="W52" s="16"/>
      <c r="X52" s="21">
        <f>+P52-T52</f>
        <v>10257.739999999962</v>
      </c>
      <c r="Y52" s="16"/>
      <c r="Z52" s="22">
        <f>IF(T52=0,0,X52/T52)</f>
        <v>0.10259422545297388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9" t="s">
        <v>9</v>
      </c>
      <c r="C54" s="10"/>
      <c r="D54" s="20">
        <f>SUM(OSRRefD22x_0)</f>
        <v>9968.7199999999993</v>
      </c>
      <c r="E54" s="20"/>
      <c r="F54" s="35">
        <f t="shared" ref="F54:F62" si="14">IF(D$12=0,0,D54/D$12)</f>
        <v>0.23155918107186879</v>
      </c>
      <c r="G54" s="20"/>
      <c r="H54" s="20">
        <f>SUM(OSRRefH22x_0)</f>
        <v>12032.269999999999</v>
      </c>
      <c r="I54" s="20"/>
      <c r="J54" s="35">
        <f t="shared" ref="J54:J62" si="15">IF(H$12=0,0,H54/H$12)</f>
        <v>0.28867607609917928</v>
      </c>
      <c r="K54" s="4"/>
      <c r="L54" s="20">
        <f t="shared" ref="L54:L62" si="16">+D54-H54</f>
        <v>-2063.5499999999993</v>
      </c>
      <c r="M54" s="4"/>
      <c r="N54" s="35">
        <f t="shared" ref="N54:N62" si="17">IF(H54=0,0,L54/H54)</f>
        <v>-0.17150130440889372</v>
      </c>
      <c r="O54" s="10"/>
      <c r="P54" s="20">
        <f>SUM(OSRRefP22x_0)</f>
        <v>40971.119999999995</v>
      </c>
      <c r="Q54" s="20"/>
      <c r="R54" s="35">
        <f t="shared" ref="R54:R62" si="18">IF(P$12=0,0,P54/P$12)</f>
        <v>0.19945015184717577</v>
      </c>
      <c r="S54" s="20"/>
      <c r="T54" s="20">
        <f>SUM(OSRRefT22x_0)</f>
        <v>37330.28</v>
      </c>
      <c r="U54" s="20"/>
      <c r="V54" s="35">
        <f t="shared" ref="V54:V62" si="19">IF(T$12=0,0,T54/T$12)</f>
        <v>0.18610011562747672</v>
      </c>
      <c r="W54" s="4"/>
      <c r="X54" s="20">
        <f t="shared" ref="X54:X62" si="20">+P54-T54</f>
        <v>3640.8399999999965</v>
      </c>
      <c r="Y54" s="4"/>
      <c r="Z54" s="35">
        <f t="shared" ref="Z54:Z62" si="21">IF(T54=0,0,X54/T54)</f>
        <v>9.7530476599693244E-2</v>
      </c>
    </row>
    <row r="55" spans="1:26" s="27" customFormat="1" outlineLevel="1" collapsed="1" x14ac:dyDescent="0.25">
      <c r="A55" s="25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1001.9300000000001</v>
      </c>
      <c r="E55" s="1"/>
      <c r="F55" s="5">
        <f t="shared" si="14"/>
        <v>2.3273408250140192E-2</v>
      </c>
      <c r="G55" s="1"/>
      <c r="H55" s="1">
        <f>SUM(OSRRefH22_0x_0)</f>
        <v>2182.94</v>
      </c>
      <c r="I55" s="1"/>
      <c r="J55" s="5">
        <f t="shared" si="15"/>
        <v>5.2372707191572533E-2</v>
      </c>
      <c r="K55" s="1"/>
      <c r="L55" s="1">
        <f t="shared" si="16"/>
        <v>-1181.01</v>
      </c>
      <c r="M55" s="1"/>
      <c r="N55" s="5">
        <f t="shared" si="17"/>
        <v>-0.54101807653897949</v>
      </c>
      <c r="O55" s="13"/>
      <c r="P55" s="1">
        <f>SUM(OSRRefP22_0x_0)</f>
        <v>6796.5599999999995</v>
      </c>
      <c r="Q55" s="1"/>
      <c r="R55" s="5">
        <f t="shared" si="18"/>
        <v>3.3086108557404362E-2</v>
      </c>
      <c r="S55" s="1"/>
      <c r="T55" s="1">
        <f>SUM(OSRRefT22_0x_0)</f>
        <v>7323.4</v>
      </c>
      <c r="U55" s="1"/>
      <c r="V55" s="5">
        <f t="shared" si="19"/>
        <v>3.6508849834136339E-2</v>
      </c>
      <c r="W55" s="1"/>
      <c r="X55" s="1">
        <f t="shared" si="20"/>
        <v>-526.84000000000015</v>
      </c>
      <c r="Y55" s="1"/>
      <c r="Z55" s="5">
        <f t="shared" si="21"/>
        <v>-7.193926318376713E-2</v>
      </c>
    </row>
    <row r="56" spans="1:26" s="24" customFormat="1" hidden="1" outlineLevel="2" x14ac:dyDescent="0.25">
      <c r="A56" s="26"/>
      <c r="B56" s="11" t="str">
        <f>CONCATENATE("          ", "6111", " - ", "F.I.C.A.")</f>
        <v xml:space="preserve">          6111 - F.I.C.A.</v>
      </c>
      <c r="C56" s="11"/>
      <c r="D56" s="6">
        <v>161.19</v>
      </c>
      <c r="E56" s="2"/>
      <c r="F56" s="7">
        <f t="shared" si="14"/>
        <v>3.744214342159729E-3</v>
      </c>
      <c r="G56" s="2"/>
      <c r="H56" s="6">
        <v>277.92</v>
      </c>
      <c r="I56" s="2"/>
      <c r="J56" s="7">
        <f t="shared" si="15"/>
        <v>6.6678070779232776E-3</v>
      </c>
      <c r="K56" s="2"/>
      <c r="L56" s="6">
        <f t="shared" si="16"/>
        <v>-116.73000000000002</v>
      </c>
      <c r="M56" s="2"/>
      <c r="N56" s="7">
        <f t="shared" si="17"/>
        <v>-0.4200129533678757</v>
      </c>
      <c r="O56" s="11"/>
      <c r="P56" s="6">
        <v>1234.27</v>
      </c>
      <c r="Q56" s="2"/>
      <c r="R56" s="7">
        <f t="shared" si="18"/>
        <v>6.008508894079871E-3</v>
      </c>
      <c r="S56" s="2"/>
      <c r="T56" s="6">
        <v>1202.8599999999999</v>
      </c>
      <c r="U56" s="2"/>
      <c r="V56" s="7">
        <f t="shared" si="19"/>
        <v>5.9965364600444099E-3</v>
      </c>
      <c r="W56" s="2"/>
      <c r="X56" s="6">
        <f t="shared" si="20"/>
        <v>31.410000000000082</v>
      </c>
      <c r="Y56" s="2"/>
      <c r="Z56" s="7">
        <f t="shared" si="21"/>
        <v>2.6112764577756419E-2</v>
      </c>
    </row>
    <row r="57" spans="1:26" s="24" customFormat="1" hidden="1" outlineLevel="2" x14ac:dyDescent="0.25">
      <c r="A57" s="26"/>
      <c r="B57" s="11" t="str">
        <f>CONCATENATE("          ", "6112", " - ", "COMPENSATION INSURANCE")</f>
        <v xml:space="preserve">          6112 - COMPENSATION INSURANCE</v>
      </c>
      <c r="C57" s="11"/>
      <c r="D57" s="6">
        <v>33.31</v>
      </c>
      <c r="E57" s="2"/>
      <c r="F57" s="7">
        <f t="shared" si="14"/>
        <v>7.7374390307922687E-4</v>
      </c>
      <c r="G57" s="2"/>
      <c r="H57" s="6">
        <v>206.12</v>
      </c>
      <c r="I57" s="2"/>
      <c r="J57" s="7">
        <f t="shared" si="15"/>
        <v>4.945194282173093E-3</v>
      </c>
      <c r="K57" s="2"/>
      <c r="L57" s="6">
        <f t="shared" si="16"/>
        <v>-172.81</v>
      </c>
      <c r="M57" s="2"/>
      <c r="N57" s="7">
        <f t="shared" si="17"/>
        <v>-0.83839510964486708</v>
      </c>
      <c r="O57" s="11"/>
      <c r="P57" s="6">
        <v>409.06</v>
      </c>
      <c r="Q57" s="2"/>
      <c r="R57" s="7">
        <f t="shared" si="18"/>
        <v>1.9913314333268343E-3</v>
      </c>
      <c r="S57" s="2"/>
      <c r="T57" s="6">
        <v>332.55</v>
      </c>
      <c r="U57" s="2"/>
      <c r="V57" s="7">
        <f t="shared" si="19"/>
        <v>1.6578389835789442E-3</v>
      </c>
      <c r="W57" s="2"/>
      <c r="X57" s="6">
        <f t="shared" si="20"/>
        <v>76.509999999999991</v>
      </c>
      <c r="Y57" s="2"/>
      <c r="Z57" s="7">
        <f t="shared" si="21"/>
        <v>0.23007066606525331</v>
      </c>
    </row>
    <row r="58" spans="1:26" s="24" customFormat="1" hidden="1" outlineLevel="2" x14ac:dyDescent="0.25">
      <c r="A58" s="26"/>
      <c r="B58" s="11" t="str">
        <f>CONCATENATE("          ", "6113", " - ", "GROUP INSURANCE")</f>
        <v xml:space="preserve">          6113 - GROUP INSURANCE</v>
      </c>
      <c r="C58" s="11"/>
      <c r="D58" s="6">
        <v>462.13</v>
      </c>
      <c r="E58" s="2"/>
      <c r="F58" s="7">
        <f t="shared" si="14"/>
        <v>1.0734622333533566E-2</v>
      </c>
      <c r="G58" s="2"/>
      <c r="H58" s="6">
        <v>988.44</v>
      </c>
      <c r="I58" s="2"/>
      <c r="J58" s="7">
        <f t="shared" si="15"/>
        <v>2.3714476209349758E-2</v>
      </c>
      <c r="K58" s="2"/>
      <c r="L58" s="6">
        <f t="shared" si="16"/>
        <v>-526.31000000000006</v>
      </c>
      <c r="M58" s="2"/>
      <c r="N58" s="7">
        <f t="shared" si="17"/>
        <v>-0.53246529885476102</v>
      </c>
      <c r="O58" s="11"/>
      <c r="P58" s="6">
        <v>2772.76</v>
      </c>
      <c r="Q58" s="2"/>
      <c r="R58" s="7">
        <f t="shared" si="18"/>
        <v>1.3497981090967863E-2</v>
      </c>
      <c r="S58" s="2"/>
      <c r="T58" s="6">
        <v>3319.12</v>
      </c>
      <c r="U58" s="2"/>
      <c r="V58" s="7">
        <f t="shared" si="19"/>
        <v>1.6546584054056668E-2</v>
      </c>
      <c r="W58" s="2"/>
      <c r="X58" s="6">
        <f t="shared" si="20"/>
        <v>-546.35999999999967</v>
      </c>
      <c r="Y58" s="2"/>
      <c r="Z58" s="7">
        <f t="shared" si="21"/>
        <v>-0.16460989659909847</v>
      </c>
    </row>
    <row r="59" spans="1:26" s="24" customFormat="1" hidden="1" outlineLevel="2" x14ac:dyDescent="0.25">
      <c r="A59" s="26"/>
      <c r="B59" s="11" t="str">
        <f>CONCATENATE("          ", "6114", " - ", "STATE UNEMPLOYMENT INSURANCE")</f>
        <v xml:space="preserve">          6114 - STATE UNEMPLOYMENT INSURANCE</v>
      </c>
      <c r="C59" s="11"/>
      <c r="D59" s="6">
        <v>23.11</v>
      </c>
      <c r="E59" s="2"/>
      <c r="F59" s="7">
        <f t="shared" si="14"/>
        <v>5.3681241669651552E-4</v>
      </c>
      <c r="G59" s="2"/>
      <c r="H59" s="6">
        <v>33.630000000000003</v>
      </c>
      <c r="I59" s="2"/>
      <c r="J59" s="7">
        <f t="shared" si="15"/>
        <v>8.0684496268911856E-4</v>
      </c>
      <c r="K59" s="2"/>
      <c r="L59" s="6">
        <f t="shared" si="16"/>
        <v>-10.520000000000003</v>
      </c>
      <c r="M59" s="2"/>
      <c r="N59" s="7">
        <f t="shared" si="17"/>
        <v>-0.31281593815046099</v>
      </c>
      <c r="O59" s="11"/>
      <c r="P59" s="6">
        <v>74.53</v>
      </c>
      <c r="Q59" s="2"/>
      <c r="R59" s="7">
        <f t="shared" si="18"/>
        <v>3.6281702372720133E-4</v>
      </c>
      <c r="S59" s="2"/>
      <c r="T59" s="6">
        <v>72.67</v>
      </c>
      <c r="U59" s="2"/>
      <c r="V59" s="7">
        <f t="shared" si="19"/>
        <v>3.622768273543283E-4</v>
      </c>
      <c r="W59" s="2"/>
      <c r="X59" s="6">
        <f t="shared" si="20"/>
        <v>1.8599999999999994</v>
      </c>
      <c r="Y59" s="2"/>
      <c r="Z59" s="7">
        <f t="shared" si="21"/>
        <v>2.5595156185496071E-2</v>
      </c>
    </row>
    <row r="60" spans="1:26" s="24" customFormat="1" hidden="1" outlineLevel="2" x14ac:dyDescent="0.25">
      <c r="A60" s="26"/>
      <c r="B60" s="11" t="str">
        <f>CONCATENATE("          ", "6115", " - ", "P.E.R.S.")</f>
        <v xml:space="preserve">          6115 - P.E.R.S.</v>
      </c>
      <c r="C60" s="11"/>
      <c r="D60" s="6">
        <v>98.12</v>
      </c>
      <c r="E60" s="2"/>
      <c r="F60" s="7">
        <f t="shared" si="14"/>
        <v>2.2791879846932976E-3</v>
      </c>
      <c r="G60" s="2"/>
      <c r="H60" s="6">
        <v>174.42</v>
      </c>
      <c r="I60" s="2"/>
      <c r="J60" s="7">
        <f t="shared" si="15"/>
        <v>4.1846535353028853E-3</v>
      </c>
      <c r="K60" s="2"/>
      <c r="L60" s="6">
        <f t="shared" si="16"/>
        <v>-76.299999999999983</v>
      </c>
      <c r="M60" s="2"/>
      <c r="N60" s="7">
        <f t="shared" si="17"/>
        <v>-0.4374498337346634</v>
      </c>
      <c r="O60" s="11"/>
      <c r="P60" s="6">
        <v>563.04</v>
      </c>
      <c r="Q60" s="2"/>
      <c r="R60" s="7">
        <f t="shared" si="18"/>
        <v>2.7409163697754381E-3</v>
      </c>
      <c r="S60" s="2"/>
      <c r="T60" s="6">
        <v>782.34</v>
      </c>
      <c r="U60" s="2"/>
      <c r="V60" s="7">
        <f t="shared" si="19"/>
        <v>3.9001465957394415E-3</v>
      </c>
      <c r="W60" s="2"/>
      <c r="X60" s="6">
        <f t="shared" si="20"/>
        <v>-219.30000000000007</v>
      </c>
      <c r="Y60" s="2"/>
      <c r="Z60" s="7">
        <f t="shared" si="21"/>
        <v>-0.28031290743155157</v>
      </c>
    </row>
    <row r="61" spans="1:26" s="24" customFormat="1" hidden="1" outlineLevel="2" x14ac:dyDescent="0.25">
      <c r="A61" s="26"/>
      <c r="B61" s="11" t="str">
        <f>CONCATENATE("          ", "6118", " - ", "VACATION")</f>
        <v xml:space="preserve">          6118 - VACATION</v>
      </c>
      <c r="C61" s="11"/>
      <c r="D61" s="6">
        <v>126.87</v>
      </c>
      <c r="E61" s="2"/>
      <c r="F61" s="7">
        <f t="shared" si="14"/>
        <v>2.9470095762131943E-3</v>
      </c>
      <c r="G61" s="2"/>
      <c r="H61" s="6">
        <v>326.04000000000002</v>
      </c>
      <c r="I61" s="2"/>
      <c r="J61" s="7">
        <f t="shared" si="15"/>
        <v>7.8222935365792508E-3</v>
      </c>
      <c r="K61" s="2"/>
      <c r="L61" s="6">
        <f t="shared" si="16"/>
        <v>-199.17000000000002</v>
      </c>
      <c r="M61" s="2"/>
      <c r="N61" s="7">
        <f t="shared" si="17"/>
        <v>-0.61087596613912409</v>
      </c>
      <c r="O61" s="11"/>
      <c r="P61" s="6">
        <v>877.82</v>
      </c>
      <c r="Q61" s="2"/>
      <c r="R61" s="7">
        <f t="shared" si="18"/>
        <v>4.2732864587174541E-3</v>
      </c>
      <c r="S61" s="2"/>
      <c r="T61" s="6">
        <v>916.67</v>
      </c>
      <c r="U61" s="2"/>
      <c r="V61" s="7">
        <f t="shared" si="19"/>
        <v>4.5698128434139545E-3</v>
      </c>
      <c r="W61" s="2"/>
      <c r="X61" s="6">
        <f t="shared" si="20"/>
        <v>-38.849999999999909</v>
      </c>
      <c r="Y61" s="2"/>
      <c r="Z61" s="7">
        <f t="shared" si="21"/>
        <v>-4.2381664066676025E-2</v>
      </c>
    </row>
    <row r="62" spans="1:26" s="24" customFormat="1" hidden="1" outlineLevel="2" x14ac:dyDescent="0.25">
      <c r="A62" s="26"/>
      <c r="B62" s="11" t="str">
        <f>CONCATENATE("          ", "6119", " - ", "SICK LEAVE")</f>
        <v xml:space="preserve">          6119 - SICK LEAVE</v>
      </c>
      <c r="C62" s="11"/>
      <c r="D62" s="6">
        <v>97.2</v>
      </c>
      <c r="E62" s="2"/>
      <c r="F62" s="7">
        <f t="shared" si="14"/>
        <v>2.2578176937646608E-3</v>
      </c>
      <c r="G62" s="2"/>
      <c r="H62" s="6">
        <v>176.37</v>
      </c>
      <c r="I62" s="2"/>
      <c r="J62" s="7">
        <f t="shared" si="15"/>
        <v>4.2314375875551541E-3</v>
      </c>
      <c r="K62" s="2"/>
      <c r="L62" s="6">
        <f t="shared" si="16"/>
        <v>-79.17</v>
      </c>
      <c r="M62" s="2"/>
      <c r="N62" s="7">
        <f t="shared" si="17"/>
        <v>-0.44888586494301752</v>
      </c>
      <c r="O62" s="11"/>
      <c r="P62" s="6">
        <v>865.08</v>
      </c>
      <c r="Q62" s="2"/>
      <c r="R62" s="7">
        <f t="shared" si="18"/>
        <v>4.2112672868097048E-3</v>
      </c>
      <c r="S62" s="2"/>
      <c r="T62" s="6">
        <v>697.19</v>
      </c>
      <c r="U62" s="2"/>
      <c r="V62" s="7">
        <f t="shared" si="19"/>
        <v>3.4756540699485915E-3</v>
      </c>
      <c r="W62" s="2"/>
      <c r="X62" s="6">
        <f t="shared" si="20"/>
        <v>167.89</v>
      </c>
      <c r="Y62" s="2"/>
      <c r="Z62" s="7">
        <f t="shared" si="21"/>
        <v>0.24080953542076045</v>
      </c>
    </row>
    <row r="63" spans="1:26" s="27" customFormat="1" outlineLevel="1" collapsed="1" x14ac:dyDescent="0.25">
      <c r="A63" s="25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8318.8000000000011</v>
      </c>
      <c r="E63" s="1"/>
      <c r="F63" s="5">
        <f t="shared" ref="F63:F66" si="22">IF(D$12=0,0,D63/D$12)</f>
        <v>0.19323388714906853</v>
      </c>
      <c r="G63" s="1"/>
      <c r="H63" s="1">
        <f>SUM(OSRRefH22_1x_0)</f>
        <v>6868.85</v>
      </c>
      <c r="I63" s="1"/>
      <c r="J63" s="5">
        <f t="shared" ref="J63:J66" si="23">IF(H$12=0,0,H63/H$12)</f>
        <v>0.16479622426307319</v>
      </c>
      <c r="K63" s="1"/>
      <c r="L63" s="1">
        <f t="shared" ref="L63:L66" si="24">+D63-H63</f>
        <v>1449.9500000000007</v>
      </c>
      <c r="M63" s="1"/>
      <c r="N63" s="5">
        <f t="shared" ref="N63:N66" si="25">IF(H63=0,0,L63/H63)</f>
        <v>0.21109064836180738</v>
      </c>
      <c r="O63" s="13"/>
      <c r="P63" s="1">
        <f>SUM(OSRRefP22_1x_0)</f>
        <v>29779.97</v>
      </c>
      <c r="Q63" s="1"/>
      <c r="R63" s="5">
        <f t="shared" ref="R63:R66" si="26">IF(P$12=0,0,P63/P$12)</f>
        <v>0.14497088530907479</v>
      </c>
      <c r="S63" s="1"/>
      <c r="T63" s="1">
        <f>SUM(OSRRefT22_1x_0)</f>
        <v>22465.39</v>
      </c>
      <c r="U63" s="1"/>
      <c r="V63" s="5">
        <f t="shared" ref="V63:V66" si="27">IF(T$12=0,0,T63/T$12)</f>
        <v>0.11199518665856134</v>
      </c>
      <c r="W63" s="1"/>
      <c r="X63" s="1">
        <f t="shared" ref="X63:X66" si="28">+P63-T63</f>
        <v>7314.5800000000017</v>
      </c>
      <c r="Y63" s="1"/>
      <c r="Z63" s="5">
        <f t="shared" ref="Z63:Z66" si="29">IF(T63=0,0,X63/T63)</f>
        <v>0.32559327926201154</v>
      </c>
    </row>
    <row r="64" spans="1:26" s="24" customFormat="1" hidden="1" outlineLevel="2" x14ac:dyDescent="0.25">
      <c r="A64" s="26"/>
      <c r="B64" s="11" t="str">
        <f>CONCATENATE("          ", "6002", " - ", "STAFF SALARIES")</f>
        <v xml:space="preserve">          6002 - STAFF SALARIES</v>
      </c>
      <c r="C64" s="11"/>
      <c r="D64" s="6">
        <v>1756.2</v>
      </c>
      <c r="E64" s="2"/>
      <c r="F64" s="7">
        <f t="shared" si="22"/>
        <v>4.0794027096599766E-2</v>
      </c>
      <c r="G64" s="2"/>
      <c r="H64" s="6">
        <v>3185.83</v>
      </c>
      <c r="I64" s="2"/>
      <c r="J64" s="7">
        <f t="shared" si="23"/>
        <v>7.6433865224022429E-2</v>
      </c>
      <c r="K64" s="2"/>
      <c r="L64" s="6">
        <f t="shared" si="24"/>
        <v>-1429.6299999999999</v>
      </c>
      <c r="M64" s="2"/>
      <c r="N64" s="7">
        <f t="shared" si="25"/>
        <v>-0.4487464805090039</v>
      </c>
      <c r="O64" s="11"/>
      <c r="P64" s="6">
        <v>8632.11</v>
      </c>
      <c r="Q64" s="2"/>
      <c r="R64" s="7">
        <f t="shared" si="26"/>
        <v>4.2021688698320299E-2</v>
      </c>
      <c r="S64" s="2"/>
      <c r="T64" s="6">
        <v>10834.18</v>
      </c>
      <c r="U64" s="2"/>
      <c r="V64" s="7">
        <f t="shared" si="27"/>
        <v>5.4010903500560294E-2</v>
      </c>
      <c r="W64" s="2"/>
      <c r="X64" s="6">
        <f t="shared" si="28"/>
        <v>-2202.0699999999997</v>
      </c>
      <c r="Y64" s="2"/>
      <c r="Z64" s="7">
        <f t="shared" si="29"/>
        <v>-0.2032521150654687</v>
      </c>
    </row>
    <row r="65" spans="1:26" s="24" customFormat="1" hidden="1" outlineLevel="2" x14ac:dyDescent="0.25">
      <c r="A65" s="26"/>
      <c r="B65" s="11" t="str">
        <f>CONCATENATE("          ", "6006", " - ", "TEMPORARY PART TIME")</f>
        <v xml:space="preserve">          6006 - TEMPORARY PART TIME</v>
      </c>
      <c r="C65" s="11"/>
      <c r="D65" s="6"/>
      <c r="E65" s="2"/>
      <c r="F65" s="7">
        <f t="shared" si="22"/>
        <v>0</v>
      </c>
      <c r="G65" s="2"/>
      <c r="H65" s="6"/>
      <c r="I65" s="2"/>
      <c r="J65" s="7">
        <f t="shared" si="23"/>
        <v>0</v>
      </c>
      <c r="K65" s="2"/>
      <c r="L65" s="6">
        <f t="shared" si="24"/>
        <v>0</v>
      </c>
      <c r="M65" s="2"/>
      <c r="N65" s="7">
        <f t="shared" si="25"/>
        <v>0</v>
      </c>
      <c r="O65" s="11"/>
      <c r="P65" s="6"/>
      <c r="Q65" s="2"/>
      <c r="R65" s="7">
        <f t="shared" si="26"/>
        <v>0</v>
      </c>
      <c r="S65" s="2"/>
      <c r="T65" s="6">
        <v>58.75</v>
      </c>
      <c r="U65" s="2"/>
      <c r="V65" s="7">
        <f t="shared" si="27"/>
        <v>2.9288239448282353E-4</v>
      </c>
      <c r="W65" s="2"/>
      <c r="X65" s="6">
        <f t="shared" si="28"/>
        <v>-58.75</v>
      </c>
      <c r="Y65" s="2"/>
      <c r="Z65" s="7">
        <f t="shared" si="29"/>
        <v>-1</v>
      </c>
    </row>
    <row r="66" spans="1:26" s="24" customFormat="1" hidden="1" outlineLevel="2" x14ac:dyDescent="0.25">
      <c r="A66" s="26"/>
      <c r="B66" s="11" t="str">
        <f>CONCATENATE("          ", "6007", " - ", "STUDENT HOURLY")</f>
        <v xml:space="preserve">          6007 - STUDENT HOURLY</v>
      </c>
      <c r="C66" s="11"/>
      <c r="D66" s="6">
        <v>6562.6</v>
      </c>
      <c r="E66" s="2"/>
      <c r="F66" s="7">
        <f t="shared" si="22"/>
        <v>0.15243986005246876</v>
      </c>
      <c r="G66" s="2"/>
      <c r="H66" s="6">
        <v>3683.02</v>
      </c>
      <c r="I66" s="2"/>
      <c r="J66" s="7">
        <f t="shared" si="23"/>
        <v>8.8362359039050764E-2</v>
      </c>
      <c r="K66" s="2"/>
      <c r="L66" s="6">
        <f t="shared" si="24"/>
        <v>2879.5800000000004</v>
      </c>
      <c r="M66" s="2"/>
      <c r="N66" s="7">
        <f t="shared" si="25"/>
        <v>0.78185293590586002</v>
      </c>
      <c r="O66" s="11"/>
      <c r="P66" s="6">
        <v>21147.86</v>
      </c>
      <c r="Q66" s="2"/>
      <c r="R66" s="7">
        <f t="shared" si="26"/>
        <v>0.10294919661075448</v>
      </c>
      <c r="S66" s="2"/>
      <c r="T66" s="6">
        <v>11572.46</v>
      </c>
      <c r="U66" s="2"/>
      <c r="V66" s="7">
        <f t="shared" si="27"/>
        <v>5.7691400763518225E-2</v>
      </c>
      <c r="W66" s="2"/>
      <c r="X66" s="6">
        <f t="shared" si="28"/>
        <v>9575.4000000000015</v>
      </c>
      <c r="Y66" s="2"/>
      <c r="Z66" s="7">
        <f t="shared" si="29"/>
        <v>0.8274299500711173</v>
      </c>
    </row>
    <row r="67" spans="1:26" s="27" customFormat="1" outlineLevel="1" collapsed="1" x14ac:dyDescent="0.25">
      <c r="A67" s="25"/>
      <c r="B67" s="13" t="str">
        <f>CONCATENATE("     ","Advertising/Promo                                 ")</f>
        <v xml:space="preserve">     Advertising/Promo                                 </v>
      </c>
      <c r="C67" s="13"/>
      <c r="D67" s="1">
        <f>SUM(OSRRefD22_2x_0)</f>
        <v>291</v>
      </c>
      <c r="E67" s="1"/>
      <c r="F67" s="5">
        <f t="shared" ref="F67:F71" si="30">IF(D$12=0,0,D67/D$12)</f>
        <v>6.759515935036175E-3</v>
      </c>
      <c r="G67" s="1"/>
      <c r="H67" s="1">
        <f>SUM(OSRRefH22_2x_0)</f>
        <v>743</v>
      </c>
      <c r="I67" s="1"/>
      <c r="J67" s="5">
        <f t="shared" ref="J67:J71" si="31">IF(H$12=0,0,H67/H$12)</f>
        <v>1.7825923499197593E-2</v>
      </c>
      <c r="K67" s="1"/>
      <c r="L67" s="1">
        <f t="shared" ref="L67:L71" si="32">+D67-H67</f>
        <v>-452</v>
      </c>
      <c r="M67" s="1"/>
      <c r="N67" s="5">
        <f t="shared" ref="N67:N71" si="33">IF(H67=0,0,L67/H67)</f>
        <v>-0.60834454912516822</v>
      </c>
      <c r="O67" s="13"/>
      <c r="P67" s="1">
        <f>SUM(OSRRefP22_2x_0)</f>
        <v>336.86</v>
      </c>
      <c r="Q67" s="1"/>
      <c r="R67" s="5">
        <f t="shared" ref="R67:R71" si="34">IF(P$12=0,0,P67/P$12)</f>
        <v>1.6398570054037976E-3</v>
      </c>
      <c r="S67" s="1"/>
      <c r="T67" s="1">
        <f>SUM(OSRRefT22_2x_0)</f>
        <v>828.86</v>
      </c>
      <c r="U67" s="1"/>
      <c r="V67" s="5">
        <f t="shared" ref="V67:V71" si="35">IF(T$12=0,0,T67/T$12)</f>
        <v>4.1320595998473727E-3</v>
      </c>
      <c r="W67" s="1"/>
      <c r="X67" s="1">
        <f t="shared" ref="X67:X71" si="36">+P67-T67</f>
        <v>-492</v>
      </c>
      <c r="Y67" s="1"/>
      <c r="Z67" s="5">
        <f t="shared" ref="Z67:Z71" si="37">IF(T67=0,0,X67/T67)</f>
        <v>-0.59358637164297945</v>
      </c>
    </row>
    <row r="68" spans="1:26" s="24" customFormat="1" hidden="1" outlineLevel="2" x14ac:dyDescent="0.25">
      <c r="A68" s="26"/>
      <c r="B68" s="11" t="str">
        <f>CONCATENATE("          ", "6362", " - ", "ADVERTISING EXPENSE")</f>
        <v xml:space="preserve">          6362 - ADVERTISING EXPENSE</v>
      </c>
      <c r="C68" s="11"/>
      <c r="D68" s="6">
        <v>291</v>
      </c>
      <c r="E68" s="2"/>
      <c r="F68" s="7">
        <f t="shared" si="30"/>
        <v>6.759515935036175E-3</v>
      </c>
      <c r="G68" s="2"/>
      <c r="H68" s="6">
        <v>743</v>
      </c>
      <c r="I68" s="2"/>
      <c r="J68" s="7">
        <f t="shared" si="31"/>
        <v>1.7825923499197593E-2</v>
      </c>
      <c r="K68" s="2"/>
      <c r="L68" s="6">
        <f t="shared" si="32"/>
        <v>-452</v>
      </c>
      <c r="M68" s="2"/>
      <c r="N68" s="7">
        <f t="shared" si="33"/>
        <v>-0.60834454912516822</v>
      </c>
      <c r="O68" s="11"/>
      <c r="P68" s="6">
        <v>336.86</v>
      </c>
      <c r="Q68" s="2"/>
      <c r="R68" s="7">
        <f t="shared" si="34"/>
        <v>1.6398570054037976E-3</v>
      </c>
      <c r="S68" s="2"/>
      <c r="T68" s="6">
        <v>828.86</v>
      </c>
      <c r="U68" s="2"/>
      <c r="V68" s="7">
        <f t="shared" si="35"/>
        <v>4.1320595998473727E-3</v>
      </c>
      <c r="W68" s="2"/>
      <c r="X68" s="6">
        <f t="shared" si="36"/>
        <v>-492</v>
      </c>
      <c r="Y68" s="2"/>
      <c r="Z68" s="7">
        <f t="shared" si="37"/>
        <v>-0.59358637164297945</v>
      </c>
    </row>
    <row r="69" spans="1:26" s="27" customFormat="1" outlineLevel="1" collapsed="1" x14ac:dyDescent="0.25">
      <c r="A69" s="25"/>
      <c r="B69" s="13" t="str">
        <f>CONCATENATE("     ","Discounts and Markdowns                           ")</f>
        <v xml:space="preserve">     Discounts and Markdowns                           </v>
      </c>
      <c r="C69" s="13"/>
      <c r="D69" s="1">
        <f>SUM(OSRRefD22_3x_0)</f>
        <v>338.11</v>
      </c>
      <c r="E69" s="1"/>
      <c r="F69" s="5">
        <f t="shared" si="30"/>
        <v>7.8538142020449526E-3</v>
      </c>
      <c r="G69" s="1"/>
      <c r="H69" s="1">
        <f>SUM(OSRRefH22_3x_0)</f>
        <v>2072.33</v>
      </c>
      <c r="I69" s="1"/>
      <c r="J69" s="5">
        <f t="shared" si="31"/>
        <v>4.9718971796893871E-2</v>
      </c>
      <c r="K69" s="1"/>
      <c r="L69" s="1">
        <f t="shared" si="32"/>
        <v>-1734.2199999999998</v>
      </c>
      <c r="M69" s="1"/>
      <c r="N69" s="5">
        <f t="shared" si="33"/>
        <v>-0.83684548310355966</v>
      </c>
      <c r="O69" s="13"/>
      <c r="P69" s="1">
        <f>SUM(OSRRefP22_3x_0)</f>
        <v>3720.52</v>
      </c>
      <c r="Q69" s="1"/>
      <c r="R69" s="5">
        <f t="shared" si="34"/>
        <v>1.8111740146484999E-2</v>
      </c>
      <c r="S69" s="1"/>
      <c r="T69" s="1">
        <f>SUM(OSRRefT22_3x_0)</f>
        <v>6141.89</v>
      </c>
      <c r="U69" s="1"/>
      <c r="V69" s="5">
        <f t="shared" si="35"/>
        <v>3.0618748082555051E-2</v>
      </c>
      <c r="W69" s="1"/>
      <c r="X69" s="1">
        <f t="shared" si="36"/>
        <v>-2421.3700000000003</v>
      </c>
      <c r="Y69" s="1"/>
      <c r="Z69" s="5">
        <f t="shared" si="37"/>
        <v>-0.39423858128361144</v>
      </c>
    </row>
    <row r="70" spans="1:26" s="24" customFormat="1" hidden="1" outlineLevel="2" x14ac:dyDescent="0.25">
      <c r="A70" s="26"/>
      <c r="B70" s="11" t="str">
        <f>CONCATENATE("          ", "6382", " - ", "DISCOUNTS/MARK DOWNS")</f>
        <v xml:space="preserve">          6382 - DISCOUNTS/MARK DOWNS</v>
      </c>
      <c r="C70" s="11"/>
      <c r="D70" s="6">
        <v>420.76</v>
      </c>
      <c r="E70" s="2"/>
      <c r="F70" s="7">
        <f t="shared" si="30"/>
        <v>9.773656099057804E-3</v>
      </c>
      <c r="G70" s="2"/>
      <c r="H70" s="6">
        <v>730.71</v>
      </c>
      <c r="I70" s="2"/>
      <c r="J70" s="7">
        <f t="shared" si="31"/>
        <v>1.7531064010899964E-2</v>
      </c>
      <c r="K70" s="2"/>
      <c r="L70" s="6">
        <f t="shared" si="32"/>
        <v>-309.95000000000005</v>
      </c>
      <c r="M70" s="2"/>
      <c r="N70" s="7">
        <f t="shared" si="33"/>
        <v>-0.42417648588359269</v>
      </c>
      <c r="O70" s="11"/>
      <c r="P70" s="6">
        <v>3909.09</v>
      </c>
      <c r="Q70" s="2"/>
      <c r="R70" s="7">
        <f t="shared" si="34"/>
        <v>1.9029711515923326E-2</v>
      </c>
      <c r="S70" s="2"/>
      <c r="T70" s="6">
        <v>5516.55</v>
      </c>
      <c r="U70" s="2"/>
      <c r="V70" s="7">
        <f t="shared" si="35"/>
        <v>2.7501282949518643E-2</v>
      </c>
      <c r="W70" s="2"/>
      <c r="X70" s="6">
        <f t="shared" si="36"/>
        <v>-1607.46</v>
      </c>
      <c r="Y70" s="2"/>
      <c r="Z70" s="7">
        <f t="shared" si="37"/>
        <v>-0.29138863963890477</v>
      </c>
    </row>
    <row r="71" spans="1:26" s="24" customFormat="1" hidden="1" outlineLevel="2" x14ac:dyDescent="0.25">
      <c r="A71" s="26"/>
      <c r="B71" s="11" t="str">
        <f>CONCATENATE("          ", "9175", " - ", "EARNED DISCOUNTS")</f>
        <v xml:space="preserve">          9175 - EARNED DISCOUNTS</v>
      </c>
      <c r="C71" s="11"/>
      <c r="D71" s="6">
        <v>-82.65</v>
      </c>
      <c r="E71" s="2"/>
      <c r="F71" s="7">
        <f t="shared" si="30"/>
        <v>-1.9198418970128521E-3</v>
      </c>
      <c r="G71" s="2"/>
      <c r="H71" s="6">
        <v>1341.62</v>
      </c>
      <c r="I71" s="2"/>
      <c r="J71" s="7">
        <f t="shared" si="31"/>
        <v>3.2187907785993904E-2</v>
      </c>
      <c r="K71" s="2"/>
      <c r="L71" s="6">
        <f t="shared" si="32"/>
        <v>-1424.27</v>
      </c>
      <c r="M71" s="2"/>
      <c r="N71" s="7">
        <f t="shared" si="33"/>
        <v>-1.061604627241693</v>
      </c>
      <c r="O71" s="11"/>
      <c r="P71" s="6">
        <v>-188.57</v>
      </c>
      <c r="Q71" s="2"/>
      <c r="R71" s="7">
        <f t="shared" si="34"/>
        <v>-9.1797136943832483E-4</v>
      </c>
      <c r="S71" s="2"/>
      <c r="T71" s="6">
        <v>625.34</v>
      </c>
      <c r="U71" s="2"/>
      <c r="V71" s="7">
        <f t="shared" si="35"/>
        <v>3.1174651330364064E-3</v>
      </c>
      <c r="W71" s="2"/>
      <c r="X71" s="6">
        <f t="shared" si="36"/>
        <v>-813.91000000000008</v>
      </c>
      <c r="Y71" s="2"/>
      <c r="Z71" s="7">
        <f t="shared" si="37"/>
        <v>-1.3015479579108966</v>
      </c>
    </row>
    <row r="72" spans="1:26" s="27" customFormat="1" outlineLevel="1" collapsed="1" x14ac:dyDescent="0.25">
      <c r="A72" s="25"/>
      <c r="B72" s="13" t="str">
        <f>CONCATENATE("     ","Freight out/Postage                               ")</f>
        <v xml:space="preserve">     Freight out/Postage                               </v>
      </c>
      <c r="C72" s="13"/>
      <c r="D72" s="1">
        <f>SUM(OSRRefD22_4x_0)</f>
        <v>0</v>
      </c>
      <c r="E72" s="1"/>
      <c r="F72" s="5">
        <f t="shared" ref="F72:F78" si="38">IF(D$12=0,0,D72/D$12)</f>
        <v>0</v>
      </c>
      <c r="G72" s="1"/>
      <c r="H72" s="1">
        <f>SUM(OSRRefH22_4x_0)</f>
        <v>5.0999999999999996</v>
      </c>
      <c r="I72" s="1"/>
      <c r="J72" s="5">
        <f t="shared" ref="J72:J78" si="39">IF(H$12=0,0,H72/H$12)</f>
        <v>1.2235829050593231E-4</v>
      </c>
      <c r="K72" s="1"/>
      <c r="L72" s="1">
        <f t="shared" ref="L72:L78" si="40">+D72-H72</f>
        <v>-5.0999999999999996</v>
      </c>
      <c r="M72" s="1"/>
      <c r="N72" s="5">
        <f t="shared" ref="N72:N78" si="41">IF(H72=0,0,L72/H72)</f>
        <v>-1</v>
      </c>
      <c r="O72" s="13"/>
      <c r="P72" s="1">
        <f>SUM(OSRRefP22_4x_0)</f>
        <v>0</v>
      </c>
      <c r="Q72" s="1"/>
      <c r="R72" s="5">
        <f t="shared" ref="R72:R78" si="42">IF(P$12=0,0,P72/P$12)</f>
        <v>0</v>
      </c>
      <c r="S72" s="1"/>
      <c r="T72" s="1">
        <f>SUM(OSRRefT22_4x_0)</f>
        <v>5.0999999999999996</v>
      </c>
      <c r="U72" s="1"/>
      <c r="V72" s="5">
        <f t="shared" ref="V72:V78" si="43">IF(T$12=0,0,T72/T$12)</f>
        <v>2.5424684457232339E-5</v>
      </c>
      <c r="W72" s="1"/>
      <c r="X72" s="1">
        <f t="shared" ref="X72:X78" si="44">+P72-T72</f>
        <v>-5.0999999999999996</v>
      </c>
      <c r="Y72" s="1"/>
      <c r="Z72" s="5">
        <f t="shared" ref="Z72:Z78" si="45">IF(T72=0,0,X72/T72)</f>
        <v>-1</v>
      </c>
    </row>
    <row r="73" spans="1:26" s="24" customFormat="1" hidden="1" outlineLevel="2" x14ac:dyDescent="0.25">
      <c r="A73" s="26"/>
      <c r="B73" s="11" t="str">
        <f>CONCATENATE("          ", "6305", " - ", "FREIGHT OUT")</f>
        <v xml:space="preserve">          6305 - FREIGHT OUT</v>
      </c>
      <c r="C73" s="11"/>
      <c r="D73" s="6"/>
      <c r="E73" s="2"/>
      <c r="F73" s="7">
        <f t="shared" si="38"/>
        <v>0</v>
      </c>
      <c r="G73" s="2"/>
      <c r="H73" s="6">
        <v>5.0999999999999996</v>
      </c>
      <c r="I73" s="2"/>
      <c r="J73" s="7">
        <f t="shared" si="39"/>
        <v>1.2235829050593231E-4</v>
      </c>
      <c r="K73" s="2"/>
      <c r="L73" s="6">
        <f t="shared" si="40"/>
        <v>-5.0999999999999996</v>
      </c>
      <c r="M73" s="2"/>
      <c r="N73" s="7">
        <f t="shared" si="41"/>
        <v>-1</v>
      </c>
      <c r="O73" s="11"/>
      <c r="P73" s="6"/>
      <c r="Q73" s="2"/>
      <c r="R73" s="7">
        <f t="shared" si="42"/>
        <v>0</v>
      </c>
      <c r="S73" s="2"/>
      <c r="T73" s="6">
        <v>5.0999999999999996</v>
      </c>
      <c r="U73" s="2"/>
      <c r="V73" s="7">
        <f t="shared" si="43"/>
        <v>2.5424684457232339E-5</v>
      </c>
      <c r="W73" s="2"/>
      <c r="X73" s="6">
        <f t="shared" si="44"/>
        <v>-5.0999999999999996</v>
      </c>
      <c r="Y73" s="2"/>
      <c r="Z73" s="7">
        <f t="shared" si="45"/>
        <v>-1</v>
      </c>
    </row>
    <row r="74" spans="1:26" s="27" customFormat="1" outlineLevel="1" collapsed="1" x14ac:dyDescent="0.25">
      <c r="A74" s="25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SUM(OSRRefD22_5x_0)</f>
        <v>0</v>
      </c>
      <c r="E74" s="1"/>
      <c r="F74" s="5">
        <f t="shared" si="38"/>
        <v>0</v>
      </c>
      <c r="G74" s="1"/>
      <c r="H74" s="1">
        <f>SUM(OSRRefH22_5x_0)</f>
        <v>0</v>
      </c>
      <c r="I74" s="1"/>
      <c r="J74" s="5">
        <f t="shared" si="39"/>
        <v>0</v>
      </c>
      <c r="K74" s="1"/>
      <c r="L74" s="1">
        <f t="shared" si="40"/>
        <v>0</v>
      </c>
      <c r="M74" s="1"/>
      <c r="N74" s="5">
        <f t="shared" si="41"/>
        <v>0</v>
      </c>
      <c r="O74" s="13"/>
      <c r="P74" s="1">
        <f>SUM(OSRRefP22_5x_0)</f>
        <v>120</v>
      </c>
      <c r="Q74" s="1"/>
      <c r="R74" s="5">
        <f t="shared" si="42"/>
        <v>5.8416802424881469E-4</v>
      </c>
      <c r="S74" s="1"/>
      <c r="T74" s="1">
        <f>SUM(OSRRefT22_5x_0)</f>
        <v>120</v>
      </c>
      <c r="U74" s="1"/>
      <c r="V74" s="5">
        <f t="shared" si="43"/>
        <v>5.9822786958193749E-4</v>
      </c>
      <c r="W74" s="1"/>
      <c r="X74" s="1">
        <f t="shared" si="44"/>
        <v>0</v>
      </c>
      <c r="Y74" s="1"/>
      <c r="Z74" s="5">
        <f t="shared" si="45"/>
        <v>0</v>
      </c>
    </row>
    <row r="75" spans="1:26" s="24" customFormat="1" hidden="1" outlineLevel="2" x14ac:dyDescent="0.25">
      <c r="A75" s="26"/>
      <c r="B75" s="11" t="str">
        <f>CONCATENATE("          ", "6258", " - ", "MEMBERSHIP DUES")</f>
        <v xml:space="preserve">          6258 - MEMBERSHIP DUES</v>
      </c>
      <c r="C75" s="11"/>
      <c r="D75" s="6"/>
      <c r="E75" s="2"/>
      <c r="F75" s="7">
        <f t="shared" si="38"/>
        <v>0</v>
      </c>
      <c r="G75" s="2"/>
      <c r="H75" s="6"/>
      <c r="I75" s="2"/>
      <c r="J75" s="7">
        <f t="shared" si="39"/>
        <v>0</v>
      </c>
      <c r="K75" s="2"/>
      <c r="L75" s="6">
        <f t="shared" si="40"/>
        <v>0</v>
      </c>
      <c r="M75" s="2"/>
      <c r="N75" s="7">
        <f t="shared" si="41"/>
        <v>0</v>
      </c>
      <c r="O75" s="11"/>
      <c r="P75" s="6">
        <v>120</v>
      </c>
      <c r="Q75" s="2"/>
      <c r="R75" s="7">
        <f t="shared" si="42"/>
        <v>5.8416802424881469E-4</v>
      </c>
      <c r="S75" s="2"/>
      <c r="T75" s="6">
        <v>120</v>
      </c>
      <c r="U75" s="2"/>
      <c r="V75" s="7">
        <f t="shared" si="43"/>
        <v>5.9822786958193749E-4</v>
      </c>
      <c r="W75" s="2"/>
      <c r="X75" s="6">
        <f t="shared" si="44"/>
        <v>0</v>
      </c>
      <c r="Y75" s="2"/>
      <c r="Z75" s="7">
        <f t="shared" si="45"/>
        <v>0</v>
      </c>
    </row>
    <row r="76" spans="1:26" s="27" customFormat="1" outlineLevel="1" collapsed="1" x14ac:dyDescent="0.25">
      <c r="A76" s="25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SUM(OSRRefD22_6x_0)</f>
        <v>18.88</v>
      </c>
      <c r="E76" s="1"/>
      <c r="F76" s="5">
        <f t="shared" si="38"/>
        <v>4.3855553557897931E-4</v>
      </c>
      <c r="G76" s="1"/>
      <c r="H76" s="1">
        <f>SUM(OSRRefH22_6x_0)</f>
        <v>120.05</v>
      </c>
      <c r="I76" s="1"/>
      <c r="J76" s="5">
        <f t="shared" si="39"/>
        <v>2.8802181912229757E-3</v>
      </c>
      <c r="K76" s="1"/>
      <c r="L76" s="1">
        <f t="shared" si="40"/>
        <v>-101.17</v>
      </c>
      <c r="M76" s="1"/>
      <c r="N76" s="5">
        <f t="shared" si="41"/>
        <v>-0.84273219491878393</v>
      </c>
      <c r="O76" s="13"/>
      <c r="P76" s="1">
        <f>SUM(OSRRefP22_6x_0)</f>
        <v>217.21</v>
      </c>
      <c r="Q76" s="1"/>
      <c r="R76" s="5">
        <f t="shared" si="42"/>
        <v>1.0573928045590421E-3</v>
      </c>
      <c r="S76" s="1"/>
      <c r="T76" s="1">
        <f>SUM(OSRRefT22_6x_0)</f>
        <v>285.64</v>
      </c>
      <c r="U76" s="1"/>
      <c r="V76" s="5">
        <f t="shared" si="43"/>
        <v>1.4239817388948717E-3</v>
      </c>
      <c r="W76" s="1"/>
      <c r="X76" s="1">
        <f t="shared" si="44"/>
        <v>-68.429999999999978</v>
      </c>
      <c r="Y76" s="1"/>
      <c r="Z76" s="5">
        <f t="shared" si="45"/>
        <v>-0.23956728749474857</v>
      </c>
    </row>
    <row r="77" spans="1:26" s="24" customFormat="1" hidden="1" outlineLevel="2" x14ac:dyDescent="0.25">
      <c r="A77" s="26"/>
      <c r="B77" s="11" t="str">
        <f>CONCATENATE("          ", "6241", " - ", "OFFICE EXPENSE")</f>
        <v xml:space="preserve">          6241 - OFFICE EXPENSE</v>
      </c>
      <c r="C77" s="11"/>
      <c r="D77" s="6">
        <v>18.88</v>
      </c>
      <c r="E77" s="2"/>
      <c r="F77" s="7">
        <f t="shared" si="38"/>
        <v>4.3855553557897931E-4</v>
      </c>
      <c r="G77" s="2"/>
      <c r="H77" s="6">
        <v>120.05</v>
      </c>
      <c r="I77" s="2"/>
      <c r="J77" s="7">
        <f t="shared" si="39"/>
        <v>2.8802181912229757E-3</v>
      </c>
      <c r="K77" s="2"/>
      <c r="L77" s="6">
        <f t="shared" si="40"/>
        <v>-101.17</v>
      </c>
      <c r="M77" s="2"/>
      <c r="N77" s="7">
        <f t="shared" si="41"/>
        <v>-0.84273219491878393</v>
      </c>
      <c r="O77" s="11"/>
      <c r="P77" s="6">
        <v>217.21</v>
      </c>
      <c r="Q77" s="2"/>
      <c r="R77" s="7">
        <f t="shared" si="42"/>
        <v>1.0573928045590421E-3</v>
      </c>
      <c r="S77" s="2"/>
      <c r="T77" s="6">
        <v>282.11</v>
      </c>
      <c r="U77" s="2"/>
      <c r="V77" s="7">
        <f t="shared" si="43"/>
        <v>1.4063838690646698E-3</v>
      </c>
      <c r="W77" s="2"/>
      <c r="X77" s="6">
        <f t="shared" si="44"/>
        <v>-64.900000000000006</v>
      </c>
      <c r="Y77" s="2"/>
      <c r="Z77" s="7">
        <f t="shared" si="45"/>
        <v>-0.23005210733401865</v>
      </c>
    </row>
    <row r="78" spans="1:26" s="24" customFormat="1" hidden="1" outlineLevel="2" x14ac:dyDescent="0.25">
      <c r="A78" s="26"/>
      <c r="B78" s="11" t="str">
        <f>CONCATENATE("          ", "6245", " - ", "PRINTING")</f>
        <v xml:space="preserve">          6245 - PRINTING</v>
      </c>
      <c r="C78" s="11"/>
      <c r="D78" s="6"/>
      <c r="E78" s="2"/>
      <c r="F78" s="7">
        <f t="shared" si="38"/>
        <v>0</v>
      </c>
      <c r="G78" s="2"/>
      <c r="H78" s="6"/>
      <c r="I78" s="2"/>
      <c r="J78" s="7">
        <f t="shared" si="39"/>
        <v>0</v>
      </c>
      <c r="K78" s="2"/>
      <c r="L78" s="6">
        <f t="shared" si="40"/>
        <v>0</v>
      </c>
      <c r="M78" s="2"/>
      <c r="N78" s="7">
        <f t="shared" si="41"/>
        <v>0</v>
      </c>
      <c r="O78" s="11"/>
      <c r="P78" s="6"/>
      <c r="Q78" s="2"/>
      <c r="R78" s="7">
        <f t="shared" si="42"/>
        <v>0</v>
      </c>
      <c r="S78" s="2"/>
      <c r="T78" s="6">
        <v>3.53</v>
      </c>
      <c r="U78" s="2"/>
      <c r="V78" s="7">
        <f t="shared" si="43"/>
        <v>1.7597869830201991E-5</v>
      </c>
      <c r="W78" s="2"/>
      <c r="X78" s="6">
        <f t="shared" si="44"/>
        <v>-3.53</v>
      </c>
      <c r="Y78" s="2"/>
      <c r="Z78" s="7">
        <f t="shared" si="45"/>
        <v>-1</v>
      </c>
    </row>
    <row r="79" spans="1:26" s="27" customFormat="1" outlineLevel="1" collapsed="1" x14ac:dyDescent="0.25">
      <c r="A79" s="25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SUM(OSRRefD22_7x_0)</f>
        <v>0</v>
      </c>
      <c r="E79" s="1"/>
      <c r="F79" s="5">
        <f t="shared" ref="F79:F80" si="46">IF(D$12=0,0,D79/D$12)</f>
        <v>0</v>
      </c>
      <c r="G79" s="1"/>
      <c r="H79" s="1">
        <f>SUM(OSRRefH22_7x_0)</f>
        <v>40</v>
      </c>
      <c r="I79" s="1"/>
      <c r="J79" s="5">
        <f t="shared" ref="J79:J80" si="47">IF(H$12=0,0,H79/H$12)</f>
        <v>9.5967286671319477E-4</v>
      </c>
      <c r="K79" s="1"/>
      <c r="L79" s="1">
        <f t="shared" ref="L79:L80" si="48">+D79-H79</f>
        <v>-40</v>
      </c>
      <c r="M79" s="1"/>
      <c r="N79" s="5">
        <f t="shared" ref="N79:N80" si="49">IF(H79=0,0,L79/H79)</f>
        <v>-1</v>
      </c>
      <c r="O79" s="13"/>
      <c r="P79" s="1">
        <f>SUM(OSRRefP22_7x_0)</f>
        <v>0</v>
      </c>
      <c r="Q79" s="1"/>
      <c r="R79" s="5">
        <f t="shared" ref="R79:R80" si="50">IF(P$12=0,0,P79/P$12)</f>
        <v>0</v>
      </c>
      <c r="S79" s="1"/>
      <c r="T79" s="1">
        <f>SUM(OSRRefT22_7x_0)</f>
        <v>160</v>
      </c>
      <c r="U79" s="1"/>
      <c r="V79" s="5">
        <f t="shared" ref="V79:V80" si="51">IF(T$12=0,0,T79/T$12)</f>
        <v>7.9763715944258329E-4</v>
      </c>
      <c r="W79" s="1"/>
      <c r="X79" s="1">
        <f t="shared" ref="X79:X80" si="52">+P79-T79</f>
        <v>-160</v>
      </c>
      <c r="Y79" s="1"/>
      <c r="Z79" s="5">
        <f t="shared" ref="Z79:Z80" si="53">IF(T79=0,0,X79/T79)</f>
        <v>-1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6"/>
      <c r="E80" s="2"/>
      <c r="F80" s="7">
        <f t="shared" si="46"/>
        <v>0</v>
      </c>
      <c r="G80" s="2"/>
      <c r="H80" s="6">
        <v>40</v>
      </c>
      <c r="I80" s="2"/>
      <c r="J80" s="7">
        <f t="shared" si="47"/>
        <v>9.5967286671319477E-4</v>
      </c>
      <c r="K80" s="2"/>
      <c r="L80" s="6">
        <f t="shared" si="48"/>
        <v>-40</v>
      </c>
      <c r="M80" s="2"/>
      <c r="N80" s="7">
        <f t="shared" si="49"/>
        <v>-1</v>
      </c>
      <c r="O80" s="11"/>
      <c r="P80" s="6"/>
      <c r="Q80" s="2"/>
      <c r="R80" s="7">
        <f t="shared" si="50"/>
        <v>0</v>
      </c>
      <c r="S80" s="2"/>
      <c r="T80" s="6">
        <v>160</v>
      </c>
      <c r="U80" s="2"/>
      <c r="V80" s="7">
        <f t="shared" si="51"/>
        <v>7.9763715944258329E-4</v>
      </c>
      <c r="W80" s="2"/>
      <c r="X80" s="6">
        <f t="shared" si="52"/>
        <v>-160</v>
      </c>
      <c r="Y80" s="2"/>
      <c r="Z80" s="7">
        <f t="shared" si="53"/>
        <v>-1</v>
      </c>
    </row>
    <row r="81" spans="1:26" s="55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1">
        <f>+D52-D54+D82</f>
        <v>12530.449999999992</v>
      </c>
      <c r="E84" s="14"/>
      <c r="F84" s="22">
        <f>IF(D$12=0,0,D84/D$12)</f>
        <v>0.29106452387688653</v>
      </c>
      <c r="G84" s="14"/>
      <c r="H84" s="21">
        <f>+H52-H54+H82</f>
        <v>9239.230000000005</v>
      </c>
      <c r="I84" s="14"/>
      <c r="J84" s="22">
        <f>IF(H$12=0,0,H84/H$12)</f>
        <v>0.22166595850806387</v>
      </c>
      <c r="K84" s="16"/>
      <c r="L84" s="21">
        <f>+D84-H84</f>
        <v>3291.2199999999866</v>
      </c>
      <c r="M84" s="16"/>
      <c r="N84" s="22">
        <f>IF(H84=0,0,L84/H84)</f>
        <v>0.35622232588646291</v>
      </c>
      <c r="O84" s="29"/>
      <c r="P84" s="21">
        <f>+P52-P54+P82</f>
        <v>69270.219999999987</v>
      </c>
      <c r="Q84" s="14"/>
      <c r="R84" s="22">
        <f>IF(P$12=0,0,P84/P$12)</f>
        <v>0.3372120629723393</v>
      </c>
      <c r="S84" s="14"/>
      <c r="T84" s="21">
        <f>+T52-T54+T82</f>
        <v>62653.320000000022</v>
      </c>
      <c r="U84" s="14"/>
      <c r="V84" s="22">
        <f>IF(T$12=0,0,T84/T$12)</f>
        <v>0.31234135121529505</v>
      </c>
      <c r="W84" s="16"/>
      <c r="X84" s="21">
        <f>+P84-T84</f>
        <v>6616.8999999999651</v>
      </c>
      <c r="Y84" s="16"/>
      <c r="Z84" s="22">
        <f>IF(T84=0,0,X84/T84)</f>
        <v>0.10561132275193019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3237.46</v>
      </c>
      <c r="E86" s="4"/>
      <c r="F86" s="12">
        <f>IF(D$12=0,0,D86/D$12)</f>
        <v>7.5201589206330646E-2</v>
      </c>
      <c r="G86" s="4"/>
      <c r="H86" s="4">
        <v>4303.54</v>
      </c>
      <c r="I86" s="4"/>
      <c r="J86" s="12">
        <f>IF(H$12=0,0,H86/H$12)</f>
        <v>0.10324976422037255</v>
      </c>
      <c r="K86" s="4"/>
      <c r="L86" s="4">
        <f>+D86-H86</f>
        <v>-1066.08</v>
      </c>
      <c r="M86" s="4"/>
      <c r="N86" s="12">
        <f>IF(H86=0,0,L86/H86)</f>
        <v>-0.2477216431124144</v>
      </c>
      <c r="O86" s="10"/>
      <c r="P86" s="4">
        <v>20678.14</v>
      </c>
      <c r="Q86" s="4"/>
      <c r="R86" s="12">
        <f>IF(P$12=0,0,P86/P$12)</f>
        <v>0.10066256824116987</v>
      </c>
      <c r="S86" s="4"/>
      <c r="T86" s="4">
        <v>18422.37</v>
      </c>
      <c r="U86" s="4"/>
      <c r="V86" s="12">
        <f>IF(T$12=0,0,T86/T$12)</f>
        <v>9.1839792981251639E-2</v>
      </c>
      <c r="W86" s="4"/>
      <c r="X86" s="4">
        <f>+P86-T86</f>
        <v>2255.7700000000004</v>
      </c>
      <c r="Y86" s="4"/>
      <c r="Z86" s="12">
        <f>IF(T86=0,0,X86/T86)</f>
        <v>0.12244732898101604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1">
        <f>+D84-D86</f>
        <v>9292.9899999999907</v>
      </c>
      <c r="E88" s="14"/>
      <c r="F88" s="34">
        <f>IF(D$12=0,0,D88/D$12)</f>
        <v>0.21586293467055589</v>
      </c>
      <c r="G88" s="14"/>
      <c r="H88" s="31">
        <f>+H84-H86</f>
        <v>4935.6900000000051</v>
      </c>
      <c r="I88" s="14"/>
      <c r="J88" s="34">
        <f>IF(H$12=0,0,H88/H$12)</f>
        <v>0.11841619428769133</v>
      </c>
      <c r="K88" s="16"/>
      <c r="L88" s="31">
        <f>D88-H88</f>
        <v>4357.2999999999856</v>
      </c>
      <c r="M88" s="16"/>
      <c r="N88" s="34">
        <f>IF(H88=0,0,L88/H88)</f>
        <v>0.8828147634879786</v>
      </c>
      <c r="O88" s="29"/>
      <c r="P88" s="31">
        <f>+P84-P86</f>
        <v>48592.079999999987</v>
      </c>
      <c r="Q88" s="14"/>
      <c r="R88" s="34">
        <f>IF(P$12=0,0,P88/P$12)</f>
        <v>0.23654949473116946</v>
      </c>
      <c r="S88" s="14"/>
      <c r="T88" s="31">
        <f>+T84-T86</f>
        <v>44230.950000000026</v>
      </c>
      <c r="U88" s="14"/>
      <c r="V88" s="34">
        <f>IF(T$12=0,0,T88/T$12)</f>
        <v>0.22050155823404344</v>
      </c>
      <c r="W88" s="16"/>
      <c r="X88" s="31">
        <f>P88-T88</f>
        <v>4361.129999999961</v>
      </c>
      <c r="Y88" s="16"/>
      <c r="Z88" s="34">
        <f>IF(T88=0,0,X88/T88)</f>
        <v>9.859905789950156E-2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6">
        <f>SUM(D88:D90)</f>
        <v>9292.9899999999907</v>
      </c>
      <c r="E91" s="14"/>
      <c r="F91" s="33">
        <f>IF(D$12=0,0,D91/D$12)</f>
        <v>0.21586293467055589</v>
      </c>
      <c r="G91" s="14"/>
      <c r="H91" s="36">
        <f>SUM(H88:H90)</f>
        <v>4935.6900000000051</v>
      </c>
      <c r="I91" s="14"/>
      <c r="J91" s="33">
        <f>IF(H$12=0,0,H91/H$12)</f>
        <v>0.11841619428769133</v>
      </c>
      <c r="K91" s="16"/>
      <c r="L91" s="36">
        <f>+D91-H91</f>
        <v>4357.2999999999856</v>
      </c>
      <c r="M91" s="16"/>
      <c r="N91" s="33">
        <f>IF(H91=0,0,L91/H91)</f>
        <v>0.8828147634879786</v>
      </c>
      <c r="O91" s="29"/>
      <c r="P91" s="36">
        <f>SUM(P88:P90)</f>
        <v>48592.079999999987</v>
      </c>
      <c r="Q91" s="14"/>
      <c r="R91" s="33">
        <f>IF(P$12=0,0,P91/P$12)</f>
        <v>0.23654949473116946</v>
      </c>
      <c r="S91" s="14"/>
      <c r="T91" s="36">
        <f>SUM(T88:T90)</f>
        <v>44230.950000000026</v>
      </c>
      <c r="U91" s="14"/>
      <c r="V91" s="33">
        <f>IF(T$12=0,0,T91/T$12)</f>
        <v>0.22050155823404344</v>
      </c>
      <c r="W91" s="16"/>
      <c r="X91" s="36">
        <f>+P91-T91</f>
        <v>4361.129999999961</v>
      </c>
      <c r="Y91" s="16"/>
      <c r="Z91" s="33">
        <f>IF(T91=0,0,X91/T91)</f>
        <v>9.859905789950156E-2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61">
        <v>43791.355317511574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6" t="s">
        <v>313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7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262812.51999999996</v>
      </c>
      <c r="E12" s="4"/>
      <c r="F12" s="12"/>
      <c r="G12" s="4"/>
      <c r="H12" s="4">
        <f>SUM(OSRRefH13x_0)</f>
        <v>231603.98</v>
      </c>
      <c r="I12" s="4"/>
      <c r="J12" s="12"/>
      <c r="K12" s="4"/>
      <c r="L12" s="4">
        <f t="shared" ref="L12:L42" si="0">+D12-H12</f>
        <v>31208.53999999995</v>
      </c>
      <c r="M12" s="4"/>
      <c r="N12" s="12">
        <f t="shared" ref="N12:N42" si="1">IF(H12=0,0,L12/H12)</f>
        <v>0.13474958418244776</v>
      </c>
      <c r="O12" s="10"/>
      <c r="P12" s="4">
        <f>SUM(OSRRefP13x_0)</f>
        <v>1122395.96</v>
      </c>
      <c r="Q12" s="4"/>
      <c r="R12" s="12"/>
      <c r="S12" s="4"/>
      <c r="T12" s="4">
        <f>SUM(OSRRefT13x_0)</f>
        <v>993125.25999999989</v>
      </c>
      <c r="U12" s="4"/>
      <c r="V12" s="12"/>
      <c r="W12" s="4"/>
      <c r="X12" s="4">
        <f t="shared" ref="X12:X42" si="2">+P12-T12</f>
        <v>129270.70000000007</v>
      </c>
      <c r="Y12" s="4"/>
      <c r="Z12" s="12">
        <f t="shared" ref="Z12:Z42" si="3">IF(T12=0,0,X12/T12)</f>
        <v>0.13016555434306451</v>
      </c>
    </row>
    <row r="13" spans="1:26" s="24" customFormat="1" hidden="1" outlineLevel="1" x14ac:dyDescent="0.25">
      <c r="A13" s="44"/>
      <c r="B13" s="11" t="str">
        <f>CONCATENATE("          ", "4025", " - ", "TAXABLE SALES-TEST FORMS")</f>
        <v xml:space="preserve">          4025 - TAXABLE SALES-TEST FORMS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--14.49</f>
        <v>14.49</v>
      </c>
      <c r="U13" s="2"/>
      <c r="V13" s="19"/>
      <c r="W13" s="2"/>
      <c r="X13" s="2">
        <f t="shared" si="2"/>
        <v>-14.49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--16.56</f>
        <v>16.559999999999999</v>
      </c>
      <c r="E14" s="2"/>
      <c r="F14" s="19"/>
      <c r="G14" s="2"/>
      <c r="H14" s="2">
        <f>--97.58</f>
        <v>97.58</v>
      </c>
      <c r="I14" s="2"/>
      <c r="J14" s="19"/>
      <c r="K14" s="2"/>
      <c r="L14" s="2">
        <f t="shared" si="0"/>
        <v>-81.02</v>
      </c>
      <c r="M14" s="2"/>
      <c r="N14" s="19">
        <f t="shared" si="1"/>
        <v>-0.83029309284689479</v>
      </c>
      <c r="O14" s="11"/>
      <c r="P14" s="2">
        <f>--100.28</f>
        <v>100.28</v>
      </c>
      <c r="Q14" s="2"/>
      <c r="R14" s="19"/>
      <c r="S14" s="2"/>
      <c r="T14" s="2">
        <f>--168.23</f>
        <v>168.23</v>
      </c>
      <c r="U14" s="2"/>
      <c r="V14" s="19"/>
      <c r="W14" s="2"/>
      <c r="X14" s="2">
        <f t="shared" si="2"/>
        <v>-67.949999999999989</v>
      </c>
      <c r="Y14" s="2"/>
      <c r="Z14" s="19">
        <f t="shared" si="3"/>
        <v>-0.40391131189443019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ref="D15:D16" si="4"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>
        <f>--294.47</f>
        <v>294.47000000000003</v>
      </c>
      <c r="U15" s="2"/>
      <c r="V15" s="19"/>
      <c r="W15" s="2"/>
      <c r="X15" s="2">
        <f t="shared" si="2"/>
        <v>-246.56000000000003</v>
      </c>
      <c r="Y15" s="2"/>
      <c r="Z15" s="19">
        <f t="shared" si="3"/>
        <v>-0.8373009135056203</v>
      </c>
    </row>
    <row r="16" spans="1:26" s="24" customFormat="1" hidden="1" outlineLevel="1" x14ac:dyDescent="0.25">
      <c r="A16" s="44"/>
      <c r="B16" s="11" t="str">
        <f>CONCATENATE("          ", "4034", " - ", "TAXABLE SALES-SODA")</f>
        <v xml:space="preserve">          4034 - TAXABLE SALES-SODA</v>
      </c>
      <c r="C16" s="11"/>
      <c r="D16" s="2">
        <f t="shared" si="4"/>
        <v>0</v>
      </c>
      <c r="E16" s="2"/>
      <c r="F16" s="19"/>
      <c r="G16" s="2"/>
      <c r="H16" s="2">
        <f>--11.34</f>
        <v>11.34</v>
      </c>
      <c r="I16" s="2"/>
      <c r="J16" s="19"/>
      <c r="K16" s="2"/>
      <c r="L16" s="2">
        <f t="shared" si="0"/>
        <v>-11.34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--51.59</f>
        <v>51.59</v>
      </c>
      <c r="U16" s="2"/>
      <c r="V16" s="19"/>
      <c r="W16" s="2"/>
      <c r="X16" s="2">
        <f t="shared" si="2"/>
        <v>-51.59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--215340.93</f>
        <v>215340.93</v>
      </c>
      <c r="E17" s="2"/>
      <c r="F17" s="19"/>
      <c r="G17" s="2"/>
      <c r="H17" s="2">
        <f>--174982.98</f>
        <v>174982.98</v>
      </c>
      <c r="I17" s="2"/>
      <c r="J17" s="19"/>
      <c r="K17" s="2"/>
      <c r="L17" s="2">
        <f t="shared" si="0"/>
        <v>40357.949999999983</v>
      </c>
      <c r="M17" s="2"/>
      <c r="N17" s="19">
        <f t="shared" si="1"/>
        <v>0.23063928846108336</v>
      </c>
      <c r="O17" s="11"/>
      <c r="P17" s="2">
        <f>--848240.45</f>
        <v>848240.45</v>
      </c>
      <c r="Q17" s="2"/>
      <c r="R17" s="19"/>
      <c r="S17" s="2"/>
      <c r="T17" s="2">
        <f>--718140.33</f>
        <v>718140.33</v>
      </c>
      <c r="U17" s="2"/>
      <c r="V17" s="19"/>
      <c r="W17" s="2"/>
      <c r="X17" s="2">
        <f t="shared" si="2"/>
        <v>130100.12</v>
      </c>
      <c r="Y17" s="2"/>
      <c r="Z17" s="19">
        <f t="shared" si="3"/>
        <v>0.18116253128410154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--25701.24</f>
        <v>25701.24</v>
      </c>
      <c r="E18" s="2"/>
      <c r="F18" s="19"/>
      <c r="G18" s="2"/>
      <c r="H18" s="2">
        <f>--27523.62</f>
        <v>27523.62</v>
      </c>
      <c r="I18" s="2"/>
      <c r="J18" s="19"/>
      <c r="K18" s="2"/>
      <c r="L18" s="2">
        <f t="shared" si="0"/>
        <v>-1822.3799999999974</v>
      </c>
      <c r="M18" s="2"/>
      <c r="N18" s="19">
        <f t="shared" si="1"/>
        <v>-6.6211493982259506E-2</v>
      </c>
      <c r="O18" s="11"/>
      <c r="P18" s="2">
        <f>--132039.65</f>
        <v>132039.65</v>
      </c>
      <c r="Q18" s="2"/>
      <c r="R18" s="19"/>
      <c r="S18" s="2"/>
      <c r="T18" s="2">
        <f>--129062.88</f>
        <v>129062.88</v>
      </c>
      <c r="U18" s="2"/>
      <c r="V18" s="19"/>
      <c r="W18" s="2"/>
      <c r="X18" s="2">
        <f t="shared" si="2"/>
        <v>2976.7699999999895</v>
      </c>
      <c r="Y18" s="2"/>
      <c r="Z18" s="19">
        <f t="shared" si="3"/>
        <v>2.3064493834323158E-2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--17031.77</f>
        <v>17031.77</v>
      </c>
      <c r="E19" s="2"/>
      <c r="F19" s="19"/>
      <c r="G19" s="2"/>
      <c r="H19" s="2">
        <f>--18751.66</f>
        <v>18751.66</v>
      </c>
      <c r="I19" s="2"/>
      <c r="J19" s="19"/>
      <c r="K19" s="2"/>
      <c r="L19" s="2">
        <f t="shared" si="0"/>
        <v>-1719.8899999999994</v>
      </c>
      <c r="M19" s="2"/>
      <c r="N19" s="19">
        <f t="shared" si="1"/>
        <v>-9.1719346447194511E-2</v>
      </c>
      <c r="O19" s="11"/>
      <c r="P19" s="2">
        <f>--92392.15</f>
        <v>92392.15</v>
      </c>
      <c r="Q19" s="2"/>
      <c r="R19" s="19"/>
      <c r="S19" s="2"/>
      <c r="T19" s="2">
        <f>--71904.66</f>
        <v>71904.66</v>
      </c>
      <c r="U19" s="2"/>
      <c r="V19" s="19"/>
      <c r="W19" s="2"/>
      <c r="X19" s="2">
        <f t="shared" si="2"/>
        <v>20487.489999999991</v>
      </c>
      <c r="Y19" s="2"/>
      <c r="Z19" s="19">
        <f t="shared" si="3"/>
        <v>0.28492576141796638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--60.49</f>
        <v>60.49</v>
      </c>
      <c r="E20" s="2"/>
      <c r="F20" s="19"/>
      <c r="G20" s="2"/>
      <c r="H20" s="2">
        <f>--544.45</f>
        <v>544.45000000000005</v>
      </c>
      <c r="I20" s="2"/>
      <c r="J20" s="19"/>
      <c r="K20" s="2"/>
      <c r="L20" s="2">
        <f t="shared" si="0"/>
        <v>-483.96000000000004</v>
      </c>
      <c r="M20" s="2"/>
      <c r="N20" s="19">
        <f t="shared" si="1"/>
        <v>-0.8888970520708972</v>
      </c>
      <c r="O20" s="11"/>
      <c r="P20" s="2">
        <f>--422.57</f>
        <v>422.57</v>
      </c>
      <c r="Q20" s="2"/>
      <c r="R20" s="19"/>
      <c r="S20" s="2"/>
      <c r="T20" s="2">
        <f>--1006.58</f>
        <v>1006.58</v>
      </c>
      <c r="U20" s="2"/>
      <c r="V20" s="19"/>
      <c r="W20" s="2"/>
      <c r="X20" s="2">
        <f t="shared" si="2"/>
        <v>-584.01</v>
      </c>
      <c r="Y20" s="2"/>
      <c r="Z20" s="19">
        <f t="shared" si="3"/>
        <v>-0.58019233443938878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--4838.74</f>
        <v>4838.74</v>
      </c>
      <c r="E21" s="2"/>
      <c r="F21" s="19"/>
      <c r="G21" s="2"/>
      <c r="H21" s="2">
        <f>--4689.55</f>
        <v>4689.55</v>
      </c>
      <c r="I21" s="2"/>
      <c r="J21" s="19"/>
      <c r="K21" s="2"/>
      <c r="L21" s="2">
        <f t="shared" si="0"/>
        <v>149.1899999999996</v>
      </c>
      <c r="M21" s="2"/>
      <c r="N21" s="19">
        <f t="shared" si="1"/>
        <v>3.1813286989156656E-2</v>
      </c>
      <c r="O21" s="11"/>
      <c r="P21" s="2">
        <f>--33067.15</f>
        <v>33067.15</v>
      </c>
      <c r="Q21" s="2"/>
      <c r="R21" s="19"/>
      <c r="S21" s="2"/>
      <c r="T21" s="2">
        <f>--35499.98</f>
        <v>35499.980000000003</v>
      </c>
      <c r="U21" s="2"/>
      <c r="V21" s="19"/>
      <c r="W21" s="2"/>
      <c r="X21" s="2">
        <f t="shared" si="2"/>
        <v>-2432.8300000000017</v>
      </c>
      <c r="Y21" s="2"/>
      <c r="Z21" s="19">
        <f t="shared" si="3"/>
        <v>-6.853046114392182E-2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--4525.99</f>
        <v>4525.99</v>
      </c>
      <c r="E22" s="2"/>
      <c r="F22" s="19"/>
      <c r="G22" s="2"/>
      <c r="H22" s="2">
        <f>--9608.62</f>
        <v>9608.6200000000008</v>
      </c>
      <c r="I22" s="2"/>
      <c r="J22" s="19"/>
      <c r="K22" s="2"/>
      <c r="L22" s="2">
        <f t="shared" si="0"/>
        <v>-5082.630000000001</v>
      </c>
      <c r="M22" s="2"/>
      <c r="N22" s="19">
        <f t="shared" si="1"/>
        <v>-0.52896565791965966</v>
      </c>
      <c r="O22" s="11"/>
      <c r="P22" s="2">
        <f>--35853.1</f>
        <v>35853.1</v>
      </c>
      <c r="Q22" s="2"/>
      <c r="R22" s="19"/>
      <c r="S22" s="2"/>
      <c r="T22" s="2">
        <f>--58195.46</f>
        <v>58195.46</v>
      </c>
      <c r="U22" s="2"/>
      <c r="V22" s="19"/>
      <c r="W22" s="2"/>
      <c r="X22" s="2">
        <f t="shared" si="2"/>
        <v>-22342.36</v>
      </c>
      <c r="Y22" s="2"/>
      <c r="Z22" s="19">
        <f t="shared" si="3"/>
        <v>-0.38391929542270137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>--2.97</f>
        <v>2.97</v>
      </c>
      <c r="E24" s="2"/>
      <c r="F24" s="19"/>
      <c r="G24" s="2"/>
      <c r="H24" s="2">
        <f>--0.99</f>
        <v>0.99</v>
      </c>
      <c r="I24" s="2"/>
      <c r="J24" s="19"/>
      <c r="K24" s="2"/>
      <c r="L24" s="2">
        <f t="shared" si="0"/>
        <v>1.9800000000000002</v>
      </c>
      <c r="M24" s="2"/>
      <c r="N24" s="19">
        <f t="shared" si="1"/>
        <v>2.0000000000000004</v>
      </c>
      <c r="O24" s="11"/>
      <c r="P24" s="2">
        <f>--26.73</f>
        <v>26.73</v>
      </c>
      <c r="Q24" s="2"/>
      <c r="R24" s="19"/>
      <c r="S24" s="2"/>
      <c r="T24" s="2">
        <f>--11.88</f>
        <v>11.88</v>
      </c>
      <c r="U24" s="2"/>
      <c r="V24" s="19"/>
      <c r="W24" s="2"/>
      <c r="X24" s="2">
        <f t="shared" si="2"/>
        <v>14.85</v>
      </c>
      <c r="Y24" s="2"/>
      <c r="Z24" s="19">
        <f t="shared" si="3"/>
        <v>1.2499999999999998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--12</f>
        <v>12</v>
      </c>
      <c r="E25" s="2"/>
      <c r="F25" s="19"/>
      <c r="G25" s="2"/>
      <c r="H25" s="2">
        <f>--13.5</f>
        <v>13.5</v>
      </c>
      <c r="I25" s="2"/>
      <c r="J25" s="19"/>
      <c r="K25" s="2"/>
      <c r="L25" s="2">
        <f t="shared" si="0"/>
        <v>-1.5</v>
      </c>
      <c r="M25" s="2"/>
      <c r="N25" s="19">
        <f t="shared" si="1"/>
        <v>-0.1111111111111111</v>
      </c>
      <c r="O25" s="11"/>
      <c r="P25" s="2">
        <f>--85.5</f>
        <v>85.5</v>
      </c>
      <c r="Q25" s="2"/>
      <c r="R25" s="19"/>
      <c r="S25" s="2"/>
      <c r="T25" s="2">
        <f>--55.5</f>
        <v>55.5</v>
      </c>
      <c r="U25" s="2"/>
      <c r="V25" s="19"/>
      <c r="W25" s="2"/>
      <c r="X25" s="2">
        <f t="shared" si="2"/>
        <v>30</v>
      </c>
      <c r="Y25" s="2"/>
      <c r="Z25" s="19">
        <f t="shared" si="3"/>
        <v>0.54054054054054057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--4377.82</f>
        <v>4377.82</v>
      </c>
      <c r="E26" s="2"/>
      <c r="F26" s="19"/>
      <c r="G26" s="2"/>
      <c r="H26" s="2">
        <f>--3652.71</f>
        <v>3652.71</v>
      </c>
      <c r="I26" s="2"/>
      <c r="J26" s="19"/>
      <c r="K26" s="2"/>
      <c r="L26" s="2">
        <f t="shared" si="0"/>
        <v>725.10999999999967</v>
      </c>
      <c r="M26" s="2"/>
      <c r="N26" s="19">
        <f t="shared" si="1"/>
        <v>0.19851288495391084</v>
      </c>
      <c r="O26" s="11"/>
      <c r="P26" s="2">
        <f>--12635.52</f>
        <v>12635.52</v>
      </c>
      <c r="Q26" s="2"/>
      <c r="R26" s="19"/>
      <c r="S26" s="2"/>
      <c r="T26" s="2">
        <f>--11557.01</f>
        <v>11557.01</v>
      </c>
      <c r="U26" s="2"/>
      <c r="V26" s="19"/>
      <c r="W26" s="2"/>
      <c r="X26" s="2">
        <f t="shared" si="2"/>
        <v>1078.5100000000002</v>
      </c>
      <c r="Y26" s="2"/>
      <c r="Z26" s="19">
        <f t="shared" si="3"/>
        <v>9.3320850289131896E-2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>--581.29</f>
        <v>581.29</v>
      </c>
      <c r="E27" s="2"/>
      <c r="F27" s="19"/>
      <c r="G27" s="2"/>
      <c r="H27" s="2">
        <f>--741.24</f>
        <v>741.24</v>
      </c>
      <c r="I27" s="2"/>
      <c r="J27" s="19"/>
      <c r="K27" s="2"/>
      <c r="L27" s="2">
        <f t="shared" si="0"/>
        <v>-159.95000000000005</v>
      </c>
      <c r="M27" s="2"/>
      <c r="N27" s="19">
        <f t="shared" si="1"/>
        <v>-0.21578705952188232</v>
      </c>
      <c r="O27" s="11"/>
      <c r="P27" s="2">
        <f>--1243.18</f>
        <v>1243.18</v>
      </c>
      <c r="Q27" s="2"/>
      <c r="R27" s="19"/>
      <c r="S27" s="2"/>
      <c r="T27" s="2">
        <f>--1282.08</f>
        <v>1282.08</v>
      </c>
      <c r="U27" s="2"/>
      <c r="V27" s="19"/>
      <c r="W27" s="2"/>
      <c r="X27" s="2">
        <f t="shared" si="2"/>
        <v>-38.899999999999864</v>
      </c>
      <c r="Y27" s="2"/>
      <c r="Z27" s="19">
        <f t="shared" si="3"/>
        <v>-3.0341320354423957E-2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--636.31</f>
        <v>636.30999999999995</v>
      </c>
      <c r="E28" s="2"/>
      <c r="F28" s="19"/>
      <c r="G28" s="2"/>
      <c r="H28" s="2">
        <f>--425.35</f>
        <v>425.35</v>
      </c>
      <c r="I28" s="2"/>
      <c r="J28" s="19"/>
      <c r="K28" s="2"/>
      <c r="L28" s="2">
        <f t="shared" si="0"/>
        <v>210.95999999999992</v>
      </c>
      <c r="M28" s="2"/>
      <c r="N28" s="19">
        <f t="shared" si="1"/>
        <v>0.49596802633125642</v>
      </c>
      <c r="O28" s="11"/>
      <c r="P28" s="2">
        <f>--1571.31</f>
        <v>1571.31</v>
      </c>
      <c r="Q28" s="2"/>
      <c r="R28" s="19"/>
      <c r="S28" s="2"/>
      <c r="T28" s="2">
        <f>--567.61</f>
        <v>567.61</v>
      </c>
      <c r="U28" s="2"/>
      <c r="V28" s="19"/>
      <c r="W28" s="2"/>
      <c r="X28" s="2">
        <f t="shared" si="2"/>
        <v>1003.6999999999999</v>
      </c>
      <c r="Y28" s="2"/>
      <c r="Z28" s="19">
        <f t="shared" si="3"/>
        <v>1.7682916086749703</v>
      </c>
    </row>
    <row r="29" spans="1:26" s="24" customFormat="1" hidden="1" outlineLevel="1" x14ac:dyDescent="0.25">
      <c r="A29" s="44"/>
      <c r="B29" s="11" t="str">
        <f>CONCATENATE("          ", "4144", " - ", "NON-TAXABLE SALES-ACCESSORIES")</f>
        <v xml:space="preserve">          4144 - NON-TAXABLE SALES-ACCESSORIES</v>
      </c>
      <c r="C29" s="11"/>
      <c r="D29" s="2">
        <f>--71.85</f>
        <v>71.849999999999994</v>
      </c>
      <c r="E29" s="2"/>
      <c r="F29" s="19"/>
      <c r="G29" s="2"/>
      <c r="H29" s="2">
        <f>--165.85</f>
        <v>165.85</v>
      </c>
      <c r="I29" s="2"/>
      <c r="J29" s="19"/>
      <c r="K29" s="2"/>
      <c r="L29" s="2">
        <f t="shared" si="0"/>
        <v>-94</v>
      </c>
      <c r="M29" s="2"/>
      <c r="N29" s="19">
        <f t="shared" si="1"/>
        <v>-0.56677720832077183</v>
      </c>
      <c r="O29" s="11"/>
      <c r="P29" s="2">
        <f>--211.61</f>
        <v>211.61</v>
      </c>
      <c r="Q29" s="2"/>
      <c r="R29" s="19"/>
      <c r="S29" s="2"/>
      <c r="T29" s="2">
        <f>--340.6</f>
        <v>340.6</v>
      </c>
      <c r="U29" s="2"/>
      <c r="V29" s="19"/>
      <c r="W29" s="2"/>
      <c r="X29" s="2">
        <f t="shared" si="2"/>
        <v>-128.99</v>
      </c>
      <c r="Y29" s="2"/>
      <c r="Z29" s="19">
        <f t="shared" si="3"/>
        <v>-0.3787140340575455</v>
      </c>
    </row>
    <row r="30" spans="1:26" s="24" customFormat="1" hidden="1" outlineLevel="1" x14ac:dyDescent="0.25">
      <c r="A30" s="44"/>
      <c r="B30" s="11" t="str">
        <f>CONCATENATE("          ", "4145", " - ", "NON-TAXABLE SALES-SPECIAL ORDE")</f>
        <v xml:space="preserve">          4145 - NON-TAXABLE SALES-SPECIAL ORDE</v>
      </c>
      <c r="C30" s="11"/>
      <c r="D30" s="2">
        <f>0</f>
        <v>0</v>
      </c>
      <c r="E30" s="2"/>
      <c r="F30" s="19"/>
      <c r="G30" s="2"/>
      <c r="H30" s="2">
        <f>--59.85</f>
        <v>59.85</v>
      </c>
      <c r="I30" s="2"/>
      <c r="J30" s="19"/>
      <c r="K30" s="2"/>
      <c r="L30" s="2">
        <f t="shared" si="0"/>
        <v>-59.85</v>
      </c>
      <c r="M30" s="2"/>
      <c r="N30" s="19">
        <f t="shared" si="1"/>
        <v>-1</v>
      </c>
      <c r="O30" s="11"/>
      <c r="P30" s="2">
        <f>--90</f>
        <v>90</v>
      </c>
      <c r="Q30" s="2"/>
      <c r="R30" s="19"/>
      <c r="S30" s="2"/>
      <c r="T30" s="2">
        <f>--261.6</f>
        <v>261.60000000000002</v>
      </c>
      <c r="U30" s="2"/>
      <c r="V30" s="19"/>
      <c r="W30" s="2"/>
      <c r="X30" s="2">
        <f t="shared" si="2"/>
        <v>-171.60000000000002</v>
      </c>
      <c r="Y30" s="2"/>
      <c r="Z30" s="19">
        <f t="shared" si="3"/>
        <v>-0.65596330275229364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>-134.8</f>
        <v>-134.80000000000001</v>
      </c>
      <c r="E31" s="2"/>
      <c r="F31" s="19"/>
      <c r="G31" s="2"/>
      <c r="H31" s="2">
        <f t="shared" ref="H31:H32" si="5">0</f>
        <v>0</v>
      </c>
      <c r="I31" s="2"/>
      <c r="J31" s="19"/>
      <c r="K31" s="2"/>
      <c r="L31" s="2">
        <f t="shared" si="0"/>
        <v>-134.80000000000001</v>
      </c>
      <c r="M31" s="2"/>
      <c r="N31" s="19">
        <f t="shared" si="1"/>
        <v>0</v>
      </c>
      <c r="O31" s="11"/>
      <c r="P31" s="2">
        <f>-134.8</f>
        <v>-134.80000000000001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-134.80000000000001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>0</f>
        <v>0</v>
      </c>
      <c r="E32" s="2"/>
      <c r="F32" s="19"/>
      <c r="G32" s="2"/>
      <c r="H32" s="2">
        <f t="shared" si="5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-4.99</f>
        <v>-4.99</v>
      </c>
      <c r="U32" s="2"/>
      <c r="V32" s="19"/>
      <c r="W32" s="2"/>
      <c r="X32" s="2">
        <f t="shared" si="2"/>
        <v>4.99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"4240", " - ", "SALES RETURN TAXABLE-LOGO CLOT")</f>
        <v xml:space="preserve">          4240 - SALES RETURN TAXABLE-LOGO CLOT</v>
      </c>
      <c r="C33" s="11"/>
      <c r="D33" s="2">
        <f>-9501.82</f>
        <v>-9501.82</v>
      </c>
      <c r="E33" s="2"/>
      <c r="F33" s="19"/>
      <c r="G33" s="2"/>
      <c r="H33" s="2">
        <f>-8092.81</f>
        <v>-8092.81</v>
      </c>
      <c r="I33" s="2"/>
      <c r="J33" s="19"/>
      <c r="K33" s="2"/>
      <c r="L33" s="2">
        <f t="shared" si="0"/>
        <v>-1409.0099999999993</v>
      </c>
      <c r="M33" s="2"/>
      <c r="N33" s="19">
        <f t="shared" si="1"/>
        <v>0.17410639814847986</v>
      </c>
      <c r="O33" s="11"/>
      <c r="P33" s="2">
        <f>-30294.8</f>
        <v>-30294.799999999999</v>
      </c>
      <c r="Q33" s="2"/>
      <c r="R33" s="19"/>
      <c r="S33" s="2"/>
      <c r="T33" s="2">
        <f>-28621.41</f>
        <v>-28621.41</v>
      </c>
      <c r="U33" s="2"/>
      <c r="V33" s="19"/>
      <c r="W33" s="2"/>
      <c r="X33" s="2">
        <f t="shared" si="2"/>
        <v>-1673.3899999999994</v>
      </c>
      <c r="Y33" s="2"/>
      <c r="Z33" s="19">
        <f t="shared" si="3"/>
        <v>5.8466371852399987E-2</v>
      </c>
    </row>
    <row r="34" spans="1:26" s="24" customFormat="1" hidden="1" outlineLevel="1" x14ac:dyDescent="0.25">
      <c r="A34" s="44"/>
      <c r="B34" s="11" t="str">
        <f>CONCATENATE("          ", "4241", " - ", "SALES RETURN TAXABLE-LOGO GIFT")</f>
        <v xml:space="preserve">          4241 - SALES RETURN TAXABLE-LOGO GIFT</v>
      </c>
      <c r="C34" s="11"/>
      <c r="D34" s="2">
        <f>-306.07</f>
        <v>-306.07</v>
      </c>
      <c r="E34" s="2"/>
      <c r="F34" s="19"/>
      <c r="G34" s="2"/>
      <c r="H34" s="2">
        <f>-768.08</f>
        <v>-768.08</v>
      </c>
      <c r="I34" s="2"/>
      <c r="J34" s="19"/>
      <c r="K34" s="2"/>
      <c r="L34" s="2">
        <f t="shared" si="0"/>
        <v>462.01000000000005</v>
      </c>
      <c r="M34" s="2"/>
      <c r="N34" s="19">
        <f t="shared" si="1"/>
        <v>-0.60151286324341213</v>
      </c>
      <c r="O34" s="11"/>
      <c r="P34" s="2">
        <f>-2083.2</f>
        <v>-2083.1999999999998</v>
      </c>
      <c r="Q34" s="2"/>
      <c r="R34" s="19"/>
      <c r="S34" s="2"/>
      <c r="T34" s="2">
        <f>-2642.72</f>
        <v>-2642.72</v>
      </c>
      <c r="U34" s="2"/>
      <c r="V34" s="19"/>
      <c r="W34" s="2"/>
      <c r="X34" s="2">
        <f t="shared" si="2"/>
        <v>559.52</v>
      </c>
      <c r="Y34" s="2"/>
      <c r="Z34" s="19">
        <f t="shared" si="3"/>
        <v>-0.21172125688684387</v>
      </c>
    </row>
    <row r="35" spans="1:26" s="24" customFormat="1" hidden="1" outlineLevel="1" x14ac:dyDescent="0.25">
      <c r="A35" s="44"/>
      <c r="B35" s="11" t="str">
        <f>CONCATENATE("          ", "4242", " - ", "SALES RETURN TAXABLE-EVERYDAY")</f>
        <v xml:space="preserve">          4242 - SALES RETURN TAXABLE-EVERYDAY</v>
      </c>
      <c r="C35" s="11"/>
      <c r="D35" s="2">
        <f>-165.1</f>
        <v>-165.1</v>
      </c>
      <c r="E35" s="2"/>
      <c r="F35" s="19"/>
      <c r="G35" s="2"/>
      <c r="H35" s="2">
        <f>-327.87</f>
        <v>-327.87</v>
      </c>
      <c r="I35" s="2"/>
      <c r="J35" s="19"/>
      <c r="K35" s="2"/>
      <c r="L35" s="2">
        <f t="shared" si="0"/>
        <v>162.77000000000001</v>
      </c>
      <c r="M35" s="2"/>
      <c r="N35" s="19">
        <f t="shared" si="1"/>
        <v>-0.49644676243633151</v>
      </c>
      <c r="O35" s="11"/>
      <c r="P35" s="2">
        <f>-1143.37</f>
        <v>-1143.3699999999999</v>
      </c>
      <c r="Q35" s="2"/>
      <c r="R35" s="19"/>
      <c r="S35" s="2"/>
      <c r="T35" s="2">
        <f>-1066.22</f>
        <v>-1066.22</v>
      </c>
      <c r="U35" s="2"/>
      <c r="V35" s="19"/>
      <c r="W35" s="2"/>
      <c r="X35" s="2">
        <f t="shared" si="2"/>
        <v>-77.149999999999864</v>
      </c>
      <c r="Y35" s="2"/>
      <c r="Z35" s="19">
        <f t="shared" si="3"/>
        <v>7.2358425090506523E-2</v>
      </c>
    </row>
    <row r="36" spans="1:26" s="24" customFormat="1" hidden="1" outlineLevel="1" x14ac:dyDescent="0.25">
      <c r="A36" s="44"/>
      <c r="B36" s="11" t="str">
        <f>CONCATENATE("          ", "4243", " - ", "SALES RETURN TAXABLE-CARDS")</f>
        <v xml:space="preserve">          4243 - SALES RETURN TAXABLE-CARDS</v>
      </c>
      <c r="C36" s="11"/>
      <c r="D36" s="2">
        <f>0</f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-4.5</f>
        <v>-4.5</v>
      </c>
      <c r="Q36" s="2"/>
      <c r="R36" s="19"/>
      <c r="S36" s="2"/>
      <c r="T36" s="2">
        <f>-12.95</f>
        <v>-12.95</v>
      </c>
      <c r="U36" s="2"/>
      <c r="V36" s="19"/>
      <c r="W36" s="2"/>
      <c r="X36" s="2">
        <f t="shared" si="2"/>
        <v>8.4499999999999993</v>
      </c>
      <c r="Y36" s="2"/>
      <c r="Z36" s="19">
        <f t="shared" si="3"/>
        <v>-0.65250965250965254</v>
      </c>
    </row>
    <row r="37" spans="1:26" s="24" customFormat="1" hidden="1" outlineLevel="1" x14ac:dyDescent="0.25">
      <c r="A37" s="44"/>
      <c r="B37" s="11" t="str">
        <f>CONCATENATE("          ", "4244", " - ", "SALES RETURN TAXABLE-ACCESSORI")</f>
        <v xml:space="preserve">          4244 - SALES RETURN TAXABLE-ACCESSORI</v>
      </c>
      <c r="C37" s="11"/>
      <c r="D37" s="2">
        <f>-177.85</f>
        <v>-177.85</v>
      </c>
      <c r="E37" s="2"/>
      <c r="F37" s="19"/>
      <c r="G37" s="2"/>
      <c r="H37" s="2">
        <f>-424.7</f>
        <v>-424.7</v>
      </c>
      <c r="I37" s="2"/>
      <c r="J37" s="19"/>
      <c r="K37" s="2"/>
      <c r="L37" s="2">
        <f t="shared" si="0"/>
        <v>246.85</v>
      </c>
      <c r="M37" s="2"/>
      <c r="N37" s="19">
        <f t="shared" si="1"/>
        <v>-0.58123381210266067</v>
      </c>
      <c r="O37" s="11"/>
      <c r="P37" s="2">
        <f>-1432.36</f>
        <v>-1432.36</v>
      </c>
      <c r="Q37" s="2"/>
      <c r="R37" s="19"/>
      <c r="S37" s="2"/>
      <c r="T37" s="2">
        <f>-2448.06</f>
        <v>-2448.06</v>
      </c>
      <c r="U37" s="2"/>
      <c r="V37" s="19"/>
      <c r="W37" s="2"/>
      <c r="X37" s="2">
        <f t="shared" si="2"/>
        <v>1015.7</v>
      </c>
      <c r="Y37" s="2"/>
      <c r="Z37" s="19">
        <f t="shared" si="3"/>
        <v>-0.41489996160224835</v>
      </c>
    </row>
    <row r="38" spans="1:26" s="24" customFormat="1" hidden="1" outlineLevel="1" x14ac:dyDescent="0.25">
      <c r="A38" s="44"/>
      <c r="B38" s="11" t="str">
        <f>CONCATENATE("          ", "4245", " - ", "SALES RETURN TAXABLE-SPECIAL O")</f>
        <v xml:space="preserve">          4245 - SALES RETURN TAXABLE-SPECIAL O</v>
      </c>
      <c r="C38" s="11"/>
      <c r="D38" s="2">
        <f t="shared" ref="D38:D40" si="6">0</f>
        <v>0</v>
      </c>
      <c r="E38" s="2"/>
      <c r="F38" s="19"/>
      <c r="G38" s="2"/>
      <c r="H38" s="2">
        <f t="shared" ref="H38:H39" si="7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-91.96</f>
        <v>-91.96</v>
      </c>
      <c r="Q38" s="2"/>
      <c r="R38" s="19"/>
      <c r="S38" s="2"/>
      <c r="T38" s="2">
        <f>-174.85</f>
        <v>-174.85</v>
      </c>
      <c r="U38" s="2"/>
      <c r="V38" s="19"/>
      <c r="W38" s="2"/>
      <c r="X38" s="2">
        <f t="shared" si="2"/>
        <v>82.89</v>
      </c>
      <c r="Y38" s="2"/>
      <c r="Z38" s="19">
        <f t="shared" si="3"/>
        <v>-0.47406348298541606</v>
      </c>
    </row>
    <row r="39" spans="1:26" s="24" customFormat="1" hidden="1" outlineLevel="1" x14ac:dyDescent="0.25">
      <c r="A39" s="44"/>
      <c r="B39" s="11" t="str">
        <f>CONCATENATE("          ", "4295", " - ", "SALES RETURN TAXABLE-CUSTOMER")</f>
        <v xml:space="preserve">          4295 - SALES RETURN TAXABLE-CUSTOMER</v>
      </c>
      <c r="C39" s="11"/>
      <c r="D39" s="2">
        <f t="shared" si="6"/>
        <v>0</v>
      </c>
      <c r="E39" s="2"/>
      <c r="F39" s="19"/>
      <c r="G39" s="2"/>
      <c r="H39" s="2">
        <f t="shared" si="7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--0.99</f>
        <v>0.99</v>
      </c>
      <c r="Q39" s="2"/>
      <c r="R39" s="19"/>
      <c r="S39" s="2"/>
      <c r="T39" s="2">
        <f>0</f>
        <v>0</v>
      </c>
      <c r="U39" s="2"/>
      <c r="V39" s="19"/>
      <c r="W39" s="2"/>
      <c r="X39" s="2">
        <f t="shared" si="2"/>
        <v>0.99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"4340", " - ", "SALES RETURN NON TAXABLE-LOGO")</f>
        <v xml:space="preserve">          4340 - SALES RETURN NON TAXABLE-LOGO</v>
      </c>
      <c r="C40" s="11"/>
      <c r="D40" s="2">
        <f t="shared" si="6"/>
        <v>0</v>
      </c>
      <c r="E40" s="2"/>
      <c r="F40" s="19"/>
      <c r="G40" s="2"/>
      <c r="H40" s="2">
        <f>-39.95</f>
        <v>-39.950000000000003</v>
      </c>
      <c r="I40" s="2"/>
      <c r="J40" s="19"/>
      <c r="K40" s="2"/>
      <c r="L40" s="2">
        <f t="shared" si="0"/>
        <v>39.950000000000003</v>
      </c>
      <c r="M40" s="2"/>
      <c r="N40" s="19">
        <f t="shared" si="1"/>
        <v>-1</v>
      </c>
      <c r="O40" s="11"/>
      <c r="P40" s="2">
        <f>-293.45</f>
        <v>-293.45</v>
      </c>
      <c r="Q40" s="2"/>
      <c r="R40" s="19"/>
      <c r="S40" s="2"/>
      <c r="T40" s="2">
        <f>-266.64</f>
        <v>-266.64</v>
      </c>
      <c r="U40" s="2"/>
      <c r="V40" s="19"/>
      <c r="W40" s="2"/>
      <c r="X40" s="2">
        <f t="shared" si="2"/>
        <v>-26.810000000000002</v>
      </c>
      <c r="Y40" s="2"/>
      <c r="Z40" s="19">
        <f t="shared" si="3"/>
        <v>0.10054755475547555</v>
      </c>
    </row>
    <row r="41" spans="1:26" s="24" customFormat="1" hidden="1" outlineLevel="1" x14ac:dyDescent="0.25">
      <c r="A41" s="44"/>
      <c r="B41" s="11" t="str">
        <f>CONCATENATE("          ", "4341", " - ", "SALES RETURN NON TAXABLE-LOGO")</f>
        <v xml:space="preserve">          4341 - SALES RETURN NON TAXABLE-LOGO</v>
      </c>
      <c r="C41" s="11"/>
      <c r="D41" s="2">
        <f>-6.95</f>
        <v>-6.95</v>
      </c>
      <c r="E41" s="2"/>
      <c r="F41" s="19"/>
      <c r="G41" s="2"/>
      <c r="H41" s="2">
        <f>-11.9</f>
        <v>-11.9</v>
      </c>
      <c r="I41" s="2"/>
      <c r="J41" s="19"/>
      <c r="K41" s="2"/>
      <c r="L41" s="2">
        <f t="shared" si="0"/>
        <v>4.95</v>
      </c>
      <c r="M41" s="2"/>
      <c r="N41" s="19">
        <f t="shared" si="1"/>
        <v>-0.41596638655462187</v>
      </c>
      <c r="O41" s="11"/>
      <c r="P41" s="2">
        <f>-10.9</f>
        <v>-10.9</v>
      </c>
      <c r="Q41" s="2"/>
      <c r="R41" s="19"/>
      <c r="S41" s="2"/>
      <c r="T41" s="2">
        <f>-51.85</f>
        <v>-51.85</v>
      </c>
      <c r="U41" s="2"/>
      <c r="V41" s="19"/>
      <c r="W41" s="2"/>
      <c r="X41" s="2">
        <f t="shared" si="2"/>
        <v>40.950000000000003</v>
      </c>
      <c r="Y41" s="2"/>
      <c r="Z41" s="19">
        <f t="shared" si="3"/>
        <v>-0.78977820636451301</v>
      </c>
    </row>
    <row r="42" spans="1:26" s="24" customFormat="1" hidden="1" outlineLevel="1" x14ac:dyDescent="0.25">
      <c r="A42" s="44"/>
      <c r="B42" s="11" t="str">
        <f>CONCATENATE("          ", "4342", " - ", "SALES RETURN NON TAXABLE-EVERY")</f>
        <v xml:space="preserve">          4342 - SALES RETURN NON TAXABLE-EVERY</v>
      </c>
      <c r="C42" s="11"/>
      <c r="D42" s="2">
        <f>-92.85</f>
        <v>-92.85</v>
      </c>
      <c r="E42" s="2"/>
      <c r="F42" s="19"/>
      <c r="G42" s="2"/>
      <c r="H42" s="2">
        <f>0</f>
        <v>0</v>
      </c>
      <c r="I42" s="2"/>
      <c r="J42" s="19"/>
      <c r="K42" s="2"/>
      <c r="L42" s="2">
        <f t="shared" si="0"/>
        <v>-92.85</v>
      </c>
      <c r="M42" s="2"/>
      <c r="N42" s="19">
        <f t="shared" si="1"/>
        <v>0</v>
      </c>
      <c r="O42" s="11"/>
      <c r="P42" s="2">
        <f>-102.85</f>
        <v>-102.85</v>
      </c>
      <c r="Q42" s="2"/>
      <c r="R42" s="19"/>
      <c r="S42" s="2"/>
      <c r="T42" s="2">
        <f>0</f>
        <v>0</v>
      </c>
      <c r="U42" s="2"/>
      <c r="V42" s="19"/>
      <c r="W42" s="2"/>
      <c r="X42" s="2">
        <f t="shared" si="2"/>
        <v>-102.85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9" t="s">
        <v>8</v>
      </c>
      <c r="C44" s="10"/>
      <c r="D44" s="4">
        <f>SUM(OSRRefD16x_0)</f>
        <v>121203.68000000001</v>
      </c>
      <c r="E44" s="4"/>
      <c r="F44" s="12">
        <f t="shared" ref="F44:F67" si="8">IF(D$12=0,0,D44/D$12)</f>
        <v>0.46117924671168642</v>
      </c>
      <c r="G44" s="4"/>
      <c r="H44" s="4">
        <f>SUM(OSRRefH16x_0)</f>
        <v>107914.23000000001</v>
      </c>
      <c r="I44" s="4"/>
      <c r="J44" s="12">
        <f t="shared" ref="J44:J67" si="9">IF(H$12=0,0,H44/H$12)</f>
        <v>0.46594289959956647</v>
      </c>
      <c r="K44" s="4"/>
      <c r="L44" s="4">
        <f t="shared" ref="L44:L67" si="10">+D44-H44</f>
        <v>13289.449999999997</v>
      </c>
      <c r="M44" s="4"/>
      <c r="N44" s="12">
        <f t="shared" ref="N44:N67" si="11">IF(H44=0,0,L44/H44)</f>
        <v>0.12314826320866114</v>
      </c>
      <c r="O44" s="10"/>
      <c r="P44" s="4">
        <f>SUM(OSRRefP16x_0)</f>
        <v>511221.28999999992</v>
      </c>
      <c r="Q44" s="4"/>
      <c r="R44" s="12">
        <f t="shared" ref="R44:R67" si="12">IF(P$12=0,0,P44/P$12)</f>
        <v>0.45547320929416024</v>
      </c>
      <c r="S44" s="4"/>
      <c r="T44" s="4">
        <f>SUM(OSRRefT16x_0)</f>
        <v>463077.42999999993</v>
      </c>
      <c r="U44" s="4"/>
      <c r="V44" s="12">
        <f t="shared" ref="V44:V67" si="13">IF(T$12=0,0,T44/T$12)</f>
        <v>0.46628300442181886</v>
      </c>
      <c r="W44" s="4"/>
      <c r="X44" s="4">
        <f t="shared" ref="X44:X67" si="14">+P44-T44</f>
        <v>48143.859999999986</v>
      </c>
      <c r="Y44" s="4"/>
      <c r="Z44" s="12">
        <f t="shared" ref="Z44:Z67" si="15">IF(T44=0,0,X44/T44)</f>
        <v>0.10396503237050442</v>
      </c>
    </row>
    <row r="45" spans="1:26" s="24" customFormat="1" hidden="1" outlineLevel="1" x14ac:dyDescent="0.25">
      <c r="A45" s="44"/>
      <c r="B45" s="11" t="str">
        <f>CONCATENATE("          ", "5025", " - ", "PURCHASES @ COST-TEST FORMS")</f>
        <v xml:space="preserve">          5025 - PURCHASES @ COST-TEST FORMS</v>
      </c>
      <c r="C45" s="11"/>
      <c r="D45" s="2"/>
      <c r="E45" s="2"/>
      <c r="F45" s="19">
        <f t="shared" si="8"/>
        <v>0</v>
      </c>
      <c r="G45" s="2"/>
      <c r="H45" s="2"/>
      <c r="I45" s="2"/>
      <c r="J45" s="19">
        <f t="shared" si="9"/>
        <v>0</v>
      </c>
      <c r="K45" s="2"/>
      <c r="L45" s="2">
        <f t="shared" si="10"/>
        <v>0</v>
      </c>
      <c r="M45" s="2"/>
      <c r="N45" s="19">
        <f t="shared" si="11"/>
        <v>0</v>
      </c>
      <c r="O45" s="11"/>
      <c r="P45" s="2"/>
      <c r="Q45" s="2"/>
      <c r="R45" s="19">
        <f t="shared" si="12"/>
        <v>0</v>
      </c>
      <c r="S45" s="2"/>
      <c r="T45" s="2">
        <v>13.2</v>
      </c>
      <c r="U45" s="2"/>
      <c r="V45" s="19">
        <f t="shared" si="13"/>
        <v>1.3291374745618695E-5</v>
      </c>
      <c r="W45" s="2"/>
      <c r="X45" s="2">
        <f t="shared" si="14"/>
        <v>-13.2</v>
      </c>
      <c r="Y45" s="2"/>
      <c r="Z45" s="19">
        <f t="shared" si="15"/>
        <v>-1</v>
      </c>
    </row>
    <row r="46" spans="1:26" s="24" customFormat="1" hidden="1" outlineLevel="1" x14ac:dyDescent="0.25">
      <c r="A46" s="44"/>
      <c r="B46" s="11" t="str">
        <f>CONCATENATE("          ", "5026", " - ", "PURCHASES @ COST-WRITING INSTR")</f>
        <v xml:space="preserve">          5026 - PURCHASES @ COST-WRITING INSTR</v>
      </c>
      <c r="C46" s="11"/>
      <c r="D46" s="2">
        <v>28.56</v>
      </c>
      <c r="E46" s="2"/>
      <c r="F46" s="19">
        <f t="shared" si="8"/>
        <v>1.0867062193231892E-4</v>
      </c>
      <c r="G46" s="2"/>
      <c r="H46" s="2">
        <v>92.6</v>
      </c>
      <c r="I46" s="2"/>
      <c r="J46" s="19">
        <f t="shared" si="9"/>
        <v>3.9982041759385994E-4</v>
      </c>
      <c r="K46" s="2"/>
      <c r="L46" s="2">
        <f t="shared" si="10"/>
        <v>-64.039999999999992</v>
      </c>
      <c r="M46" s="2"/>
      <c r="N46" s="19">
        <f t="shared" si="11"/>
        <v>-0.69157667386609067</v>
      </c>
      <c r="O46" s="11"/>
      <c r="P46" s="2">
        <v>-36.369999999999997</v>
      </c>
      <c r="Q46" s="2"/>
      <c r="R46" s="19">
        <f t="shared" si="12"/>
        <v>-3.2403894254929426E-5</v>
      </c>
      <c r="S46" s="2"/>
      <c r="T46" s="2">
        <v>288.36</v>
      </c>
      <c r="U46" s="2"/>
      <c r="V46" s="19">
        <f t="shared" si="13"/>
        <v>2.9035612285201569E-4</v>
      </c>
      <c r="W46" s="2"/>
      <c r="X46" s="2">
        <f t="shared" si="14"/>
        <v>-324.73</v>
      </c>
      <c r="Y46" s="2"/>
      <c r="Z46" s="19">
        <f t="shared" si="15"/>
        <v>-1.126127063392981</v>
      </c>
    </row>
    <row r="47" spans="1:26" s="24" customFormat="1" hidden="1" outlineLevel="1" x14ac:dyDescent="0.25">
      <c r="A47" s="44"/>
      <c r="B47" s="11" t="str">
        <f>CONCATENATE("          ", "5027", " - ", "PURCHASES @ COST-SCHOOL SUPPLI")</f>
        <v xml:space="preserve">          5027 - PURCHASES @ COST-SCHOOL SUPPLI</v>
      </c>
      <c r="C47" s="11"/>
      <c r="D47" s="2">
        <v>18.54</v>
      </c>
      <c r="E47" s="2"/>
      <c r="F47" s="19">
        <f t="shared" si="8"/>
        <v>7.0544584405644002E-5</v>
      </c>
      <c r="G47" s="2"/>
      <c r="H47" s="2"/>
      <c r="I47" s="2"/>
      <c r="J47" s="19">
        <f t="shared" si="9"/>
        <v>0</v>
      </c>
      <c r="K47" s="2"/>
      <c r="L47" s="2">
        <f t="shared" si="10"/>
        <v>18.54</v>
      </c>
      <c r="M47" s="2"/>
      <c r="N47" s="19">
        <f t="shared" si="11"/>
        <v>0</v>
      </c>
      <c r="O47" s="11"/>
      <c r="P47" s="2">
        <v>47</v>
      </c>
      <c r="Q47" s="2"/>
      <c r="R47" s="19">
        <f t="shared" si="12"/>
        <v>4.1874705251077351E-5</v>
      </c>
      <c r="S47" s="2"/>
      <c r="T47" s="2">
        <v>516.53</v>
      </c>
      <c r="U47" s="2"/>
      <c r="V47" s="19">
        <f t="shared" si="13"/>
        <v>5.2010559070866859E-4</v>
      </c>
      <c r="W47" s="2"/>
      <c r="X47" s="2">
        <f t="shared" si="14"/>
        <v>-469.53</v>
      </c>
      <c r="Y47" s="2"/>
      <c r="Z47" s="19">
        <f t="shared" si="15"/>
        <v>-0.90900818926296634</v>
      </c>
    </row>
    <row r="48" spans="1:26" s="24" customFormat="1" hidden="1" outlineLevel="1" x14ac:dyDescent="0.25">
      <c r="A48" s="44"/>
      <c r="B48" s="11" t="str">
        <f>CONCATENATE("          ", "5034", " - ", "PURCHASES @ COST-SODA")</f>
        <v xml:space="preserve">          5034 - PURCHASES @ COST-SODA</v>
      </c>
      <c r="C48" s="11"/>
      <c r="D48" s="2"/>
      <c r="E48" s="2"/>
      <c r="F48" s="19">
        <f t="shared" si="8"/>
        <v>0</v>
      </c>
      <c r="G48" s="2"/>
      <c r="H48" s="2">
        <v>-5.16</v>
      </c>
      <c r="I48" s="2"/>
      <c r="J48" s="19">
        <f t="shared" si="9"/>
        <v>-2.2279409878880319E-5</v>
      </c>
      <c r="K48" s="2"/>
      <c r="L48" s="2">
        <f t="shared" si="10"/>
        <v>5.16</v>
      </c>
      <c r="M48" s="2"/>
      <c r="N48" s="19">
        <f t="shared" si="11"/>
        <v>-1</v>
      </c>
      <c r="O48" s="11"/>
      <c r="P48" s="2"/>
      <c r="Q48" s="2"/>
      <c r="R48" s="19">
        <f t="shared" si="12"/>
        <v>0</v>
      </c>
      <c r="S48" s="2"/>
      <c r="T48" s="2">
        <v>5.64</v>
      </c>
      <c r="U48" s="2"/>
      <c r="V48" s="19">
        <f t="shared" si="13"/>
        <v>5.6790419367643514E-6</v>
      </c>
      <c r="W48" s="2"/>
      <c r="X48" s="2">
        <f t="shared" si="14"/>
        <v>-5.64</v>
      </c>
      <c r="Y48" s="2"/>
      <c r="Z48" s="19">
        <f t="shared" si="15"/>
        <v>-1</v>
      </c>
    </row>
    <row r="49" spans="1:26" s="24" customFormat="1" hidden="1" outlineLevel="1" x14ac:dyDescent="0.25">
      <c r="A49" s="44"/>
      <c r="B49" s="11" t="str">
        <f>CONCATENATE("          ", "5037", " - ", "PURCHASES @ COST-WATER")</f>
        <v xml:space="preserve">          5037 - PURCHASES @ COST-WATER</v>
      </c>
      <c r="C49" s="11"/>
      <c r="D49" s="2"/>
      <c r="E49" s="2"/>
      <c r="F49" s="19">
        <f t="shared" si="8"/>
        <v>0</v>
      </c>
      <c r="G49" s="2"/>
      <c r="H49" s="2"/>
      <c r="I49" s="2"/>
      <c r="J49" s="19">
        <f t="shared" si="9"/>
        <v>0</v>
      </c>
      <c r="K49" s="2"/>
      <c r="L49" s="2">
        <f t="shared" si="10"/>
        <v>0</v>
      </c>
      <c r="M49" s="2"/>
      <c r="N49" s="19">
        <f t="shared" si="11"/>
        <v>0</v>
      </c>
      <c r="O49" s="11"/>
      <c r="P49" s="2">
        <v>29.76</v>
      </c>
      <c r="Q49" s="2"/>
      <c r="R49" s="19">
        <f t="shared" si="12"/>
        <v>2.6514706984511956E-5</v>
      </c>
      <c r="S49" s="2"/>
      <c r="T49" s="2">
        <v>16.64</v>
      </c>
      <c r="U49" s="2"/>
      <c r="V49" s="19">
        <f t="shared" si="13"/>
        <v>1.6755187558113264E-5</v>
      </c>
      <c r="W49" s="2"/>
      <c r="X49" s="2">
        <f t="shared" si="14"/>
        <v>13.120000000000001</v>
      </c>
      <c r="Y49" s="2"/>
      <c r="Z49" s="19">
        <f t="shared" si="15"/>
        <v>0.78846153846153855</v>
      </c>
    </row>
    <row r="50" spans="1:26" s="24" customFormat="1" hidden="1" outlineLevel="1" x14ac:dyDescent="0.25">
      <c r="A50" s="44"/>
      <c r="B50" s="11" t="str">
        <f>CONCATENATE("          ", "5040", " - ", "PURCHASES @ COST-LOGO CLOTHING")</f>
        <v xml:space="preserve">          5040 - PURCHASES @ COST-LOGO CLOTHING</v>
      </c>
      <c r="C50" s="11"/>
      <c r="D50" s="2">
        <v>176749.05</v>
      </c>
      <c r="E50" s="2"/>
      <c r="F50" s="19">
        <f t="shared" si="8"/>
        <v>0.67252903324392621</v>
      </c>
      <c r="G50" s="2"/>
      <c r="H50" s="2">
        <v>148087.87</v>
      </c>
      <c r="I50" s="2"/>
      <c r="J50" s="19">
        <f t="shared" si="9"/>
        <v>0.63940123136053184</v>
      </c>
      <c r="K50" s="2"/>
      <c r="L50" s="2">
        <f t="shared" si="10"/>
        <v>28661.179999999993</v>
      </c>
      <c r="M50" s="2"/>
      <c r="N50" s="19">
        <f t="shared" si="11"/>
        <v>0.19354171276823681</v>
      </c>
      <c r="O50" s="11"/>
      <c r="P50" s="2">
        <v>512600.91000000003</v>
      </c>
      <c r="Q50" s="2"/>
      <c r="R50" s="19">
        <f t="shared" si="12"/>
        <v>0.45670238335497931</v>
      </c>
      <c r="S50" s="2"/>
      <c r="T50" s="2">
        <v>443210.29</v>
      </c>
      <c r="U50" s="2"/>
      <c r="V50" s="19">
        <f t="shared" si="13"/>
        <v>0.44627833753820745</v>
      </c>
      <c r="W50" s="2"/>
      <c r="X50" s="2">
        <f t="shared" si="14"/>
        <v>69390.620000000054</v>
      </c>
      <c r="Y50" s="2"/>
      <c r="Z50" s="19">
        <f t="shared" si="15"/>
        <v>0.15656364837558273</v>
      </c>
    </row>
    <row r="51" spans="1:26" s="24" customFormat="1" hidden="1" outlineLevel="1" x14ac:dyDescent="0.25">
      <c r="A51" s="44"/>
      <c r="B51" s="11" t="str">
        <f>CONCATENATE("          ", "5041", " - ", "PURCHASES @ COST-LOGO GIFTS")</f>
        <v xml:space="preserve">          5041 - PURCHASES @ COST-LOGO GIFTS</v>
      </c>
      <c r="C51" s="11"/>
      <c r="D51" s="2">
        <v>27759.98</v>
      </c>
      <c r="E51" s="2"/>
      <c r="F51" s="19">
        <f t="shared" si="8"/>
        <v>0.10562655082033384</v>
      </c>
      <c r="G51" s="2"/>
      <c r="H51" s="2">
        <v>39602.310000000005</v>
      </c>
      <c r="I51" s="2"/>
      <c r="J51" s="19">
        <f t="shared" si="9"/>
        <v>0.17099149159699242</v>
      </c>
      <c r="K51" s="2"/>
      <c r="L51" s="2">
        <f t="shared" si="10"/>
        <v>-11842.330000000005</v>
      </c>
      <c r="M51" s="2"/>
      <c r="N51" s="19">
        <f t="shared" si="11"/>
        <v>-0.29903129388159438</v>
      </c>
      <c r="O51" s="11"/>
      <c r="P51" s="2">
        <v>70456.460000000006</v>
      </c>
      <c r="Q51" s="2"/>
      <c r="R51" s="19">
        <f t="shared" si="12"/>
        <v>6.277326586243237E-2</v>
      </c>
      <c r="S51" s="2"/>
      <c r="T51" s="2">
        <v>83100.850000000006</v>
      </c>
      <c r="U51" s="2"/>
      <c r="V51" s="19">
        <f t="shared" si="13"/>
        <v>8.3676101441624809E-2</v>
      </c>
      <c r="W51" s="2"/>
      <c r="X51" s="2">
        <f t="shared" si="14"/>
        <v>-12644.39</v>
      </c>
      <c r="Y51" s="2"/>
      <c r="Z51" s="19">
        <f t="shared" si="15"/>
        <v>-0.15215716806747462</v>
      </c>
    </row>
    <row r="52" spans="1:26" s="24" customFormat="1" hidden="1" outlineLevel="1" x14ac:dyDescent="0.25">
      <c r="A52" s="44"/>
      <c r="B52" s="11" t="str">
        <f>CONCATENATE("          ", "5042", " - ", "PURCHASES @ COST-EVERYDAY GIFT")</f>
        <v xml:space="preserve">          5042 - PURCHASES @ COST-EVERYDAY GIFT</v>
      </c>
      <c r="C52" s="11"/>
      <c r="D52" s="2">
        <v>13956.79</v>
      </c>
      <c r="E52" s="2"/>
      <c r="F52" s="19">
        <f t="shared" si="8"/>
        <v>5.3105498931329459E-2</v>
      </c>
      <c r="G52" s="2"/>
      <c r="H52" s="2">
        <v>25064.3</v>
      </c>
      <c r="I52" s="2"/>
      <c r="J52" s="19">
        <f t="shared" si="9"/>
        <v>0.10822050640062403</v>
      </c>
      <c r="K52" s="2"/>
      <c r="L52" s="2">
        <f t="shared" si="10"/>
        <v>-11107.509999999998</v>
      </c>
      <c r="M52" s="2"/>
      <c r="N52" s="19">
        <f t="shared" si="11"/>
        <v>-0.44316059096005067</v>
      </c>
      <c r="O52" s="11"/>
      <c r="P52" s="2">
        <v>49248.47</v>
      </c>
      <c r="Q52" s="2"/>
      <c r="R52" s="19">
        <f t="shared" si="12"/>
        <v>4.3877982240777137E-2</v>
      </c>
      <c r="S52" s="2"/>
      <c r="T52" s="2">
        <v>60335.35</v>
      </c>
      <c r="U52" s="2"/>
      <c r="V52" s="19">
        <f t="shared" si="13"/>
        <v>6.0753011155914013E-2</v>
      </c>
      <c r="W52" s="2"/>
      <c r="X52" s="2">
        <f t="shared" si="14"/>
        <v>-11086.879999999997</v>
      </c>
      <c r="Y52" s="2"/>
      <c r="Z52" s="19">
        <f t="shared" si="15"/>
        <v>-0.18375429992533396</v>
      </c>
    </row>
    <row r="53" spans="1:26" s="24" customFormat="1" hidden="1" outlineLevel="1" x14ac:dyDescent="0.25">
      <c r="A53" s="44"/>
      <c r="B53" s="11" t="str">
        <f>CONCATENATE("          ", "5043", " - ", "PURCHASES @ COST-CARDS")</f>
        <v xml:space="preserve">          5043 - PURCHASES @ COST-CARDS</v>
      </c>
      <c r="C53" s="11"/>
      <c r="D53" s="2">
        <v>331.09</v>
      </c>
      <c r="E53" s="2"/>
      <c r="F53" s="19">
        <f t="shared" si="8"/>
        <v>1.2597953856992811E-3</v>
      </c>
      <c r="G53" s="2"/>
      <c r="H53" s="2">
        <v>670.29</v>
      </c>
      <c r="I53" s="2"/>
      <c r="J53" s="19">
        <f t="shared" si="9"/>
        <v>2.8941212495571102E-3</v>
      </c>
      <c r="K53" s="2"/>
      <c r="L53" s="2">
        <f t="shared" si="10"/>
        <v>-339.2</v>
      </c>
      <c r="M53" s="2"/>
      <c r="N53" s="19">
        <f t="shared" si="11"/>
        <v>-0.50604962031359557</v>
      </c>
      <c r="O53" s="11"/>
      <c r="P53" s="2">
        <v>1340.08</v>
      </c>
      <c r="Q53" s="2"/>
      <c r="R53" s="19">
        <f t="shared" si="12"/>
        <v>1.1939458513375262E-3</v>
      </c>
      <c r="S53" s="2"/>
      <c r="T53" s="2">
        <v>1808.34</v>
      </c>
      <c r="U53" s="2"/>
      <c r="V53" s="19">
        <f t="shared" si="13"/>
        <v>1.8208579248100085E-3</v>
      </c>
      <c r="W53" s="2"/>
      <c r="X53" s="2">
        <f t="shared" si="14"/>
        <v>-468.26</v>
      </c>
      <c r="Y53" s="2"/>
      <c r="Z53" s="19">
        <f t="shared" si="15"/>
        <v>-0.25894466748509681</v>
      </c>
    </row>
    <row r="54" spans="1:26" s="24" customFormat="1" hidden="1" outlineLevel="1" x14ac:dyDescent="0.25">
      <c r="A54" s="44"/>
      <c r="B54" s="11" t="str">
        <f>CONCATENATE("          ", "5044", " - ", "PURCHASES @ COST-ACCESSORIES")</f>
        <v xml:space="preserve">          5044 - PURCHASES @ COST-ACCESSORIES</v>
      </c>
      <c r="C54" s="11"/>
      <c r="D54" s="2">
        <v>3747.48</v>
      </c>
      <c r="E54" s="2"/>
      <c r="F54" s="19">
        <f t="shared" si="8"/>
        <v>1.4259138034976419E-2</v>
      </c>
      <c r="G54" s="2"/>
      <c r="H54" s="2">
        <v>5410.78</v>
      </c>
      <c r="I54" s="2"/>
      <c r="J54" s="19">
        <f t="shared" si="9"/>
        <v>2.3362206469854273E-2</v>
      </c>
      <c r="K54" s="2"/>
      <c r="L54" s="2">
        <f t="shared" si="10"/>
        <v>-1663.2999999999997</v>
      </c>
      <c r="M54" s="2"/>
      <c r="N54" s="19">
        <f t="shared" si="11"/>
        <v>-0.30740484736026963</v>
      </c>
      <c r="O54" s="11"/>
      <c r="P54" s="2">
        <v>24151.129999999997</v>
      </c>
      <c r="Q54" s="2"/>
      <c r="R54" s="19">
        <f t="shared" si="12"/>
        <v>2.1517477664477692E-2</v>
      </c>
      <c r="S54" s="2"/>
      <c r="T54" s="2">
        <v>18947.070000000003</v>
      </c>
      <c r="U54" s="2"/>
      <c r="V54" s="19">
        <f t="shared" si="13"/>
        <v>1.9078227856171946E-2</v>
      </c>
      <c r="W54" s="2"/>
      <c r="X54" s="2">
        <f t="shared" si="14"/>
        <v>5204.059999999994</v>
      </c>
      <c r="Y54" s="2"/>
      <c r="Z54" s="19">
        <f t="shared" si="15"/>
        <v>0.27466304816523046</v>
      </c>
    </row>
    <row r="55" spans="1:26" s="24" customFormat="1" hidden="1" outlineLevel="1" x14ac:dyDescent="0.25">
      <c r="A55" s="44"/>
      <c r="B55" s="11" t="str">
        <f>CONCATENATE("          ", "5045", " - ", "PURCHASES @ COST-SPECIAL ORDER")</f>
        <v xml:space="preserve">          5045 - PURCHASES @ COST-SPECIAL ORDER</v>
      </c>
      <c r="C55" s="11"/>
      <c r="D55" s="2">
        <v>3599.17</v>
      </c>
      <c r="E55" s="2"/>
      <c r="F55" s="19">
        <f t="shared" si="8"/>
        <v>1.3694819409668917E-2</v>
      </c>
      <c r="G55" s="2"/>
      <c r="H55" s="2">
        <v>8833.39</v>
      </c>
      <c r="I55" s="2"/>
      <c r="J55" s="19">
        <f t="shared" si="9"/>
        <v>3.8140061323643913E-2</v>
      </c>
      <c r="K55" s="2"/>
      <c r="L55" s="2">
        <f t="shared" si="10"/>
        <v>-5234.2199999999993</v>
      </c>
      <c r="M55" s="2"/>
      <c r="N55" s="19">
        <f t="shared" si="11"/>
        <v>-0.59254940628682751</v>
      </c>
      <c r="O55" s="11"/>
      <c r="P55" s="2">
        <v>28063.200000000001</v>
      </c>
      <c r="Q55" s="2"/>
      <c r="R55" s="19">
        <f t="shared" si="12"/>
        <v>2.5002941029830507E-2</v>
      </c>
      <c r="S55" s="2"/>
      <c r="T55" s="2">
        <v>41970.42</v>
      </c>
      <c r="U55" s="2"/>
      <c r="V55" s="19">
        <f t="shared" si="13"/>
        <v>4.226095306447044E-2</v>
      </c>
      <c r="W55" s="2"/>
      <c r="X55" s="2">
        <f t="shared" si="14"/>
        <v>-13907.219999999998</v>
      </c>
      <c r="Y55" s="2"/>
      <c r="Z55" s="19">
        <f t="shared" si="15"/>
        <v>-0.3313576561778509</v>
      </c>
    </row>
    <row r="56" spans="1:26" s="24" customFormat="1" hidden="1" outlineLevel="1" x14ac:dyDescent="0.25">
      <c r="A56" s="44"/>
      <c r="B56" s="11" t="str">
        <f>CONCATENATE("          ", "5083", " - ", "PURCHASES @ COST-COMPUTER EQUI")</f>
        <v xml:space="preserve">          5083 - PURCHASES @ COST-COMPUTER EQUI</v>
      </c>
      <c r="C56" s="11"/>
      <c r="D56" s="2"/>
      <c r="E56" s="2"/>
      <c r="F56" s="19">
        <f t="shared" si="8"/>
        <v>0</v>
      </c>
      <c r="G56" s="2"/>
      <c r="H56" s="2"/>
      <c r="I56" s="2"/>
      <c r="J56" s="19">
        <f t="shared" si="9"/>
        <v>0</v>
      </c>
      <c r="K56" s="2"/>
      <c r="L56" s="2">
        <f t="shared" si="10"/>
        <v>0</v>
      </c>
      <c r="M56" s="2"/>
      <c r="N56" s="19">
        <f t="shared" si="11"/>
        <v>0</v>
      </c>
      <c r="O56" s="11"/>
      <c r="P56" s="2">
        <v>39.950000000000003</v>
      </c>
      <c r="Q56" s="2"/>
      <c r="R56" s="19">
        <f t="shared" si="12"/>
        <v>3.5593499463415752E-5</v>
      </c>
      <c r="S56" s="2"/>
      <c r="T56" s="2">
        <v>15.8</v>
      </c>
      <c r="U56" s="2"/>
      <c r="V56" s="19">
        <f t="shared" si="13"/>
        <v>1.5909372801573896E-5</v>
      </c>
      <c r="W56" s="2"/>
      <c r="X56" s="2">
        <f t="shared" si="14"/>
        <v>24.150000000000002</v>
      </c>
      <c r="Y56" s="2"/>
      <c r="Z56" s="19">
        <f t="shared" si="15"/>
        <v>1.528481012658228</v>
      </c>
    </row>
    <row r="57" spans="1:26" s="24" customFormat="1" hidden="1" outlineLevel="1" x14ac:dyDescent="0.25">
      <c r="A57" s="44"/>
      <c r="B57" s="11" t="str">
        <f>CONCATENATE("          ", "5092", " - ", "PURCHASES @ COST-GRAD MERCH")</f>
        <v xml:space="preserve">          5092 - PURCHASES @ COST-GRAD MERCH</v>
      </c>
      <c r="C57" s="11"/>
      <c r="D57" s="2">
        <v>-47.4</v>
      </c>
      <c r="E57" s="2"/>
      <c r="F57" s="19">
        <f t="shared" si="8"/>
        <v>-1.8035670446750409E-4</v>
      </c>
      <c r="G57" s="2"/>
      <c r="H57" s="2"/>
      <c r="I57" s="2"/>
      <c r="J57" s="19">
        <f t="shared" si="9"/>
        <v>0</v>
      </c>
      <c r="K57" s="2"/>
      <c r="L57" s="2">
        <f t="shared" si="10"/>
        <v>-47.4</v>
      </c>
      <c r="M57" s="2"/>
      <c r="N57" s="19">
        <f t="shared" si="11"/>
        <v>0</v>
      </c>
      <c r="O57" s="11"/>
      <c r="P57" s="2">
        <v>-60.35</v>
      </c>
      <c r="Q57" s="2"/>
      <c r="R57" s="19">
        <f t="shared" si="12"/>
        <v>-5.3768903444734426E-5</v>
      </c>
      <c r="S57" s="2"/>
      <c r="T57" s="2"/>
      <c r="U57" s="2"/>
      <c r="V57" s="19">
        <f t="shared" si="13"/>
        <v>0</v>
      </c>
      <c r="W57" s="2"/>
      <c r="X57" s="2">
        <f t="shared" si="14"/>
        <v>-60.35</v>
      </c>
      <c r="Y57" s="2"/>
      <c r="Z57" s="19">
        <f t="shared" si="15"/>
        <v>0</v>
      </c>
    </row>
    <row r="58" spans="1:26" s="24" customFormat="1" hidden="1" outlineLevel="1" x14ac:dyDescent="0.25">
      <c r="A58" s="44"/>
      <c r="B58" s="11" t="str">
        <f>CONCATENATE("          ", "5095", " - ", "PURCHASES @ COST-CUSTOMER SERV")</f>
        <v xml:space="preserve">          5095 - PURCHASES @ COST-CUSTOMER SERV</v>
      </c>
      <c r="C58" s="11"/>
      <c r="D58" s="2"/>
      <c r="E58" s="2"/>
      <c r="F58" s="19">
        <f t="shared" si="8"/>
        <v>0</v>
      </c>
      <c r="G58" s="2"/>
      <c r="H58" s="2">
        <v>54.72</v>
      </c>
      <c r="I58" s="2"/>
      <c r="J58" s="19">
        <f t="shared" si="9"/>
        <v>2.3626536987835872E-4</v>
      </c>
      <c r="K58" s="2"/>
      <c r="L58" s="2">
        <f t="shared" si="10"/>
        <v>-54.72</v>
      </c>
      <c r="M58" s="2"/>
      <c r="N58" s="19">
        <f t="shared" si="11"/>
        <v>-1</v>
      </c>
      <c r="O58" s="11"/>
      <c r="P58" s="2">
        <v>-11.85</v>
      </c>
      <c r="Q58" s="2"/>
      <c r="R58" s="19">
        <f t="shared" si="12"/>
        <v>-1.0557771430324821E-5</v>
      </c>
      <c r="S58" s="2"/>
      <c r="T58" s="2">
        <v>54.72</v>
      </c>
      <c r="U58" s="2"/>
      <c r="V58" s="19">
        <f t="shared" si="13"/>
        <v>5.5098789854564776E-5</v>
      </c>
      <c r="W58" s="2"/>
      <c r="X58" s="2">
        <f t="shared" si="14"/>
        <v>-66.569999999999993</v>
      </c>
      <c r="Y58" s="2"/>
      <c r="Z58" s="19">
        <f t="shared" si="15"/>
        <v>-1.2165570175438596</v>
      </c>
    </row>
    <row r="59" spans="1:26" s="24" customFormat="1" hidden="1" outlineLevel="1" x14ac:dyDescent="0.25">
      <c r="A59" s="44"/>
      <c r="B59" s="11" t="str">
        <f>CONCATENATE("          ", "5200", " - ", "PURCHASES OFFSET")</f>
        <v xml:space="preserve">          5200 - PURCHASES OFFSET</v>
      </c>
      <c r="C59" s="11"/>
      <c r="D59" s="2">
        <v>-236869.00000000003</v>
      </c>
      <c r="E59" s="2"/>
      <c r="F59" s="19">
        <f t="shared" si="8"/>
        <v>-0.90128506815428755</v>
      </c>
      <c r="G59" s="2"/>
      <c r="H59" s="2">
        <v>-233914</v>
      </c>
      <c r="I59" s="2"/>
      <c r="J59" s="19">
        <f t="shared" si="9"/>
        <v>-1.0099740082186843</v>
      </c>
      <c r="K59" s="2"/>
      <c r="L59" s="2">
        <f t="shared" si="10"/>
        <v>-2955.0000000000291</v>
      </c>
      <c r="M59" s="2"/>
      <c r="N59" s="19">
        <f t="shared" si="11"/>
        <v>1.263284796976679E-2</v>
      </c>
      <c r="O59" s="11"/>
      <c r="P59" s="2">
        <v>-702994</v>
      </c>
      <c r="Q59" s="2"/>
      <c r="R59" s="19">
        <f t="shared" si="12"/>
        <v>-0.62633333070799724</v>
      </c>
      <c r="S59" s="2"/>
      <c r="T59" s="2">
        <v>-666386</v>
      </c>
      <c r="U59" s="2"/>
      <c r="V59" s="19">
        <f t="shared" si="13"/>
        <v>-0.67099894327529241</v>
      </c>
      <c r="W59" s="2"/>
      <c r="X59" s="2">
        <f t="shared" si="14"/>
        <v>-36608</v>
      </c>
      <c r="Y59" s="2"/>
      <c r="Z59" s="19">
        <f t="shared" si="15"/>
        <v>5.4935127688756968E-2</v>
      </c>
    </row>
    <row r="60" spans="1:26" s="24" customFormat="1" hidden="1" outlineLevel="1" x14ac:dyDescent="0.25">
      <c r="A60" s="44"/>
      <c r="B60" s="11" t="str">
        <f>CONCATENATE("          ", "5300", " - ", "COG$ OFFSET")</f>
        <v xml:space="preserve">          5300 - COG$ OFFSET</v>
      </c>
      <c r="C60" s="11"/>
      <c r="D60" s="2">
        <v>121175</v>
      </c>
      <c r="E60" s="2"/>
      <c r="F60" s="19">
        <f t="shared" si="8"/>
        <v>0.46107011949050225</v>
      </c>
      <c r="G60" s="2"/>
      <c r="H60" s="2">
        <v>107916</v>
      </c>
      <c r="I60" s="2"/>
      <c r="J60" s="19">
        <f t="shared" si="9"/>
        <v>0.46595054195528074</v>
      </c>
      <c r="K60" s="2"/>
      <c r="L60" s="2">
        <f t="shared" si="10"/>
        <v>13259</v>
      </c>
      <c r="M60" s="2"/>
      <c r="N60" s="19">
        <f t="shared" si="11"/>
        <v>0.12286407946921679</v>
      </c>
      <c r="O60" s="11"/>
      <c r="P60" s="2">
        <v>511195.00000000006</v>
      </c>
      <c r="Q60" s="2"/>
      <c r="R60" s="19">
        <f t="shared" si="12"/>
        <v>0.45544978618775506</v>
      </c>
      <c r="S60" s="2"/>
      <c r="T60" s="2">
        <v>463080</v>
      </c>
      <c r="U60" s="2"/>
      <c r="V60" s="19">
        <f t="shared" si="13"/>
        <v>0.466285592212205</v>
      </c>
      <c r="W60" s="2"/>
      <c r="X60" s="2">
        <f t="shared" si="14"/>
        <v>48115.000000000058</v>
      </c>
      <c r="Y60" s="2"/>
      <c r="Z60" s="19">
        <f t="shared" si="15"/>
        <v>0.10390213354064105</v>
      </c>
    </row>
    <row r="61" spans="1:26" s="24" customFormat="1" hidden="1" outlineLevel="1" x14ac:dyDescent="0.25">
      <c r="A61" s="44"/>
      <c r="B61" s="11" t="str">
        <f>CONCATENATE("          ", "5500", " - ", "FREIGHT-IN")</f>
        <v xml:space="preserve">          5500 - FREIGHT-IN</v>
      </c>
      <c r="C61" s="11"/>
      <c r="D61" s="2">
        <v>29.23</v>
      </c>
      <c r="E61" s="2"/>
      <c r="F61" s="19">
        <f t="shared" si="8"/>
        <v>1.1121996775496085E-4</v>
      </c>
      <c r="G61" s="2"/>
      <c r="H61" s="2"/>
      <c r="I61" s="2"/>
      <c r="J61" s="19">
        <f t="shared" si="9"/>
        <v>0</v>
      </c>
      <c r="K61" s="2"/>
      <c r="L61" s="2">
        <f t="shared" si="10"/>
        <v>29.23</v>
      </c>
      <c r="M61" s="2"/>
      <c r="N61" s="19">
        <f t="shared" si="11"/>
        <v>0</v>
      </c>
      <c r="O61" s="11"/>
      <c r="P61" s="2">
        <v>29.23</v>
      </c>
      <c r="Q61" s="2"/>
      <c r="R61" s="19">
        <f t="shared" si="12"/>
        <v>2.6042502861467892E-5</v>
      </c>
      <c r="S61" s="2"/>
      <c r="T61" s="2"/>
      <c r="U61" s="2"/>
      <c r="V61" s="19">
        <f t="shared" si="13"/>
        <v>0</v>
      </c>
      <c r="W61" s="2"/>
      <c r="X61" s="2">
        <f t="shared" si="14"/>
        <v>29.23</v>
      </c>
      <c r="Y61" s="2"/>
      <c r="Z61" s="19">
        <f t="shared" si="15"/>
        <v>0</v>
      </c>
    </row>
    <row r="62" spans="1:26" s="24" customFormat="1" hidden="1" outlineLevel="1" x14ac:dyDescent="0.25">
      <c r="A62" s="44"/>
      <c r="B62" s="11" t="str">
        <f>CONCATENATE("          ", "5540", " - ", "FREIGHT-IN-LOGO CLOTHING")</f>
        <v xml:space="preserve">          5540 - FREIGHT-IN-LOGO CLOTHING</v>
      </c>
      <c r="C62" s="11"/>
      <c r="D62" s="2">
        <v>9102.58</v>
      </c>
      <c r="E62" s="2"/>
      <c r="F62" s="19">
        <f t="shared" si="8"/>
        <v>3.4635260146662732E-2</v>
      </c>
      <c r="G62" s="2"/>
      <c r="H62" s="2">
        <v>4650.07</v>
      </c>
      <c r="I62" s="2"/>
      <c r="J62" s="19">
        <f t="shared" si="9"/>
        <v>2.0077677421605621E-2</v>
      </c>
      <c r="K62" s="2"/>
      <c r="L62" s="2">
        <f t="shared" si="10"/>
        <v>4452.51</v>
      </c>
      <c r="M62" s="2"/>
      <c r="N62" s="19">
        <f t="shared" si="11"/>
        <v>0.95751461805951321</v>
      </c>
      <c r="O62" s="11"/>
      <c r="P62" s="2">
        <v>14107.44</v>
      </c>
      <c r="Q62" s="2"/>
      <c r="R62" s="19">
        <f t="shared" si="12"/>
        <v>1.2569040252069332E-2</v>
      </c>
      <c r="S62" s="2"/>
      <c r="T62" s="2">
        <v>10343.31</v>
      </c>
      <c r="U62" s="2"/>
      <c r="V62" s="19">
        <f t="shared" si="13"/>
        <v>1.0414909796977675E-2</v>
      </c>
      <c r="W62" s="2"/>
      <c r="X62" s="2">
        <f t="shared" si="14"/>
        <v>3764.130000000001</v>
      </c>
      <c r="Y62" s="2"/>
      <c r="Z62" s="19">
        <f t="shared" si="15"/>
        <v>0.36391928695939707</v>
      </c>
    </row>
    <row r="63" spans="1:26" s="24" customFormat="1" hidden="1" outlineLevel="1" x14ac:dyDescent="0.25">
      <c r="A63" s="44"/>
      <c r="B63" s="11" t="str">
        <f>CONCATENATE("          ", "5541", " - ", "FREIGHT-IN-LOGO GIFTS")</f>
        <v xml:space="preserve">          5541 - FREIGHT-IN-LOGO GIFTS</v>
      </c>
      <c r="C63" s="11"/>
      <c r="D63" s="2">
        <v>718.84</v>
      </c>
      <c r="E63" s="2"/>
      <c r="F63" s="19">
        <f t="shared" si="8"/>
        <v>2.7351817181312374E-3</v>
      </c>
      <c r="G63" s="2"/>
      <c r="H63" s="2">
        <v>953.44</v>
      </c>
      <c r="I63" s="2"/>
      <c r="J63" s="19">
        <f t="shared" si="9"/>
        <v>4.1166822780852041E-3</v>
      </c>
      <c r="K63" s="2"/>
      <c r="L63" s="2">
        <f t="shared" si="10"/>
        <v>-234.60000000000002</v>
      </c>
      <c r="M63" s="2"/>
      <c r="N63" s="19">
        <f t="shared" si="11"/>
        <v>-0.2460563852995469</v>
      </c>
      <c r="O63" s="11"/>
      <c r="P63" s="2">
        <v>1536.85</v>
      </c>
      <c r="Q63" s="2"/>
      <c r="R63" s="19">
        <f t="shared" si="12"/>
        <v>1.3692583141514515E-3</v>
      </c>
      <c r="S63" s="2"/>
      <c r="T63" s="2">
        <v>3124.56</v>
      </c>
      <c r="U63" s="2"/>
      <c r="V63" s="19">
        <f t="shared" si="13"/>
        <v>3.1461892329674511E-3</v>
      </c>
      <c r="W63" s="2"/>
      <c r="X63" s="2">
        <f t="shared" si="14"/>
        <v>-1587.71</v>
      </c>
      <c r="Y63" s="2"/>
      <c r="Z63" s="19">
        <f t="shared" si="15"/>
        <v>-0.50813874593542774</v>
      </c>
    </row>
    <row r="64" spans="1:26" s="24" customFormat="1" hidden="1" outlineLevel="1" x14ac:dyDescent="0.25">
      <c r="A64" s="44"/>
      <c r="B64" s="11" t="str">
        <f>CONCATENATE("          ", "5542", " - ", "FREIGHT-IN-EVERYDAY GIFTS")</f>
        <v xml:space="preserve">          5542 - FREIGHT-IN-EVERYDAY GIFTS</v>
      </c>
      <c r="C64" s="11"/>
      <c r="D64" s="2">
        <v>596.04999999999995</v>
      </c>
      <c r="E64" s="2"/>
      <c r="F64" s="19">
        <f t="shared" si="8"/>
        <v>2.2679665337100381E-3</v>
      </c>
      <c r="G64" s="2"/>
      <c r="H64" s="2">
        <v>315.79000000000002</v>
      </c>
      <c r="I64" s="2"/>
      <c r="J64" s="19">
        <f t="shared" si="9"/>
        <v>1.3634912491572899E-3</v>
      </c>
      <c r="K64" s="2"/>
      <c r="L64" s="2">
        <f t="shared" si="10"/>
        <v>280.25999999999993</v>
      </c>
      <c r="M64" s="2"/>
      <c r="N64" s="19">
        <f t="shared" si="11"/>
        <v>0.88748852085246499</v>
      </c>
      <c r="O64" s="11"/>
      <c r="P64" s="2">
        <v>767.73</v>
      </c>
      <c r="Q64" s="2"/>
      <c r="R64" s="19">
        <f t="shared" si="12"/>
        <v>6.8400994600871523E-4</v>
      </c>
      <c r="S64" s="2"/>
      <c r="T64" s="2">
        <v>793.32</v>
      </c>
      <c r="U64" s="2"/>
      <c r="V64" s="19">
        <f t="shared" si="13"/>
        <v>7.9881162221168373E-4</v>
      </c>
      <c r="W64" s="2"/>
      <c r="X64" s="2">
        <f t="shared" si="14"/>
        <v>-25.590000000000032</v>
      </c>
      <c r="Y64" s="2"/>
      <c r="Z64" s="19">
        <f t="shared" si="15"/>
        <v>-3.2256844652851349E-2</v>
      </c>
    </row>
    <row r="65" spans="1:26" s="24" customFormat="1" hidden="1" outlineLevel="1" x14ac:dyDescent="0.25">
      <c r="A65" s="44"/>
      <c r="B65" s="11" t="str">
        <f>CONCATENATE("          ", "5543", " - ", "FREIGHT-IN-CARDS")</f>
        <v xml:space="preserve">          5543 - FREIGHT-IN-CARDS</v>
      </c>
      <c r="C65" s="11"/>
      <c r="D65" s="2"/>
      <c r="E65" s="2"/>
      <c r="F65" s="19">
        <f t="shared" si="8"/>
        <v>0</v>
      </c>
      <c r="G65" s="2"/>
      <c r="H65" s="2"/>
      <c r="I65" s="2"/>
      <c r="J65" s="19">
        <f t="shared" si="9"/>
        <v>0</v>
      </c>
      <c r="K65" s="2"/>
      <c r="L65" s="2">
        <f t="shared" si="10"/>
        <v>0</v>
      </c>
      <c r="M65" s="2"/>
      <c r="N65" s="19">
        <f t="shared" si="11"/>
        <v>0</v>
      </c>
      <c r="O65" s="11"/>
      <c r="P65" s="2">
        <v>4.58</v>
      </c>
      <c r="Q65" s="2"/>
      <c r="R65" s="19">
        <f t="shared" si="12"/>
        <v>4.0805563840411545E-6</v>
      </c>
      <c r="S65" s="2"/>
      <c r="T65" s="2"/>
      <c r="U65" s="2"/>
      <c r="V65" s="19">
        <f t="shared" si="13"/>
        <v>0</v>
      </c>
      <c r="W65" s="2"/>
      <c r="X65" s="2">
        <f t="shared" si="14"/>
        <v>4.58</v>
      </c>
      <c r="Y65" s="2"/>
      <c r="Z65" s="19">
        <f t="shared" si="15"/>
        <v>0</v>
      </c>
    </row>
    <row r="66" spans="1:26" s="24" customFormat="1" hidden="1" outlineLevel="1" x14ac:dyDescent="0.25">
      <c r="A66" s="44"/>
      <c r="B66" s="11" t="str">
        <f>CONCATENATE("          ", "5544", " - ", "FREIGHT-IN-ACCESSORIES")</f>
        <v xml:space="preserve">          5544 - FREIGHT-IN-ACCESSORIES</v>
      </c>
      <c r="C66" s="11"/>
      <c r="D66" s="2">
        <v>223.25</v>
      </c>
      <c r="E66" s="2"/>
      <c r="F66" s="19">
        <f t="shared" si="8"/>
        <v>8.4946485806688368E-4</v>
      </c>
      <c r="G66" s="2"/>
      <c r="H66" s="2">
        <v>107.33</v>
      </c>
      <c r="I66" s="2"/>
      <c r="J66" s="19">
        <f t="shared" si="9"/>
        <v>4.6342036091089625E-4</v>
      </c>
      <c r="K66" s="2"/>
      <c r="L66" s="2">
        <f t="shared" si="10"/>
        <v>115.92</v>
      </c>
      <c r="M66" s="2"/>
      <c r="N66" s="19">
        <f t="shared" si="11"/>
        <v>1.0800335414143296</v>
      </c>
      <c r="O66" s="11"/>
      <c r="P66" s="2">
        <v>359.09</v>
      </c>
      <c r="Q66" s="2"/>
      <c r="R66" s="19">
        <f t="shared" si="12"/>
        <v>3.1993165762998646E-4</v>
      </c>
      <c r="S66" s="2"/>
      <c r="T66" s="2">
        <v>577.97</v>
      </c>
      <c r="U66" s="2"/>
      <c r="V66" s="19">
        <f t="shared" si="13"/>
        <v>5.8197089861554831E-4</v>
      </c>
      <c r="W66" s="2"/>
      <c r="X66" s="2">
        <f t="shared" si="14"/>
        <v>-218.88000000000005</v>
      </c>
      <c r="Y66" s="2"/>
      <c r="Z66" s="19">
        <f t="shared" si="15"/>
        <v>-0.37870477706455358</v>
      </c>
    </row>
    <row r="67" spans="1:26" s="24" customFormat="1" hidden="1" outlineLevel="1" x14ac:dyDescent="0.25">
      <c r="A67" s="44"/>
      <c r="B67" s="11" t="str">
        <f>CONCATENATE("          ", "5545", " - ", "FREIGHT-IN-SPECIAL ORDERS")</f>
        <v xml:space="preserve">          5545 - FREIGHT-IN-SPECIAL ORDERS</v>
      </c>
      <c r="C67" s="11"/>
      <c r="D67" s="2">
        <v>84.47</v>
      </c>
      <c r="E67" s="2"/>
      <c r="F67" s="19">
        <f t="shared" si="8"/>
        <v>3.2140782334114072E-4</v>
      </c>
      <c r="G67" s="2"/>
      <c r="H67" s="2">
        <v>74.5</v>
      </c>
      <c r="I67" s="2"/>
      <c r="J67" s="19">
        <f t="shared" si="9"/>
        <v>3.2166977441406663E-4</v>
      </c>
      <c r="K67" s="2"/>
      <c r="L67" s="2">
        <f t="shared" si="10"/>
        <v>9.9699999999999989</v>
      </c>
      <c r="M67" s="2"/>
      <c r="N67" s="19">
        <f t="shared" si="11"/>
        <v>0.13382550335570467</v>
      </c>
      <c r="O67" s="11"/>
      <c r="P67" s="2">
        <v>346.98</v>
      </c>
      <c r="Q67" s="2"/>
      <c r="R67" s="19">
        <f t="shared" si="12"/>
        <v>3.091422388940174E-4</v>
      </c>
      <c r="S67" s="2"/>
      <c r="T67" s="2">
        <v>1261.06</v>
      </c>
      <c r="U67" s="2"/>
      <c r="V67" s="19">
        <f t="shared" si="13"/>
        <v>1.2697894724780236E-3</v>
      </c>
      <c r="W67" s="2"/>
      <c r="X67" s="2">
        <f t="shared" si="14"/>
        <v>-914.07999999999993</v>
      </c>
      <c r="Y67" s="2"/>
      <c r="Z67" s="19">
        <f t="shared" si="15"/>
        <v>-0.72485052257624538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8" t="s">
        <v>6</v>
      </c>
      <c r="C69" s="28"/>
      <c r="D69" s="21">
        <f>D12-D44</f>
        <v>141608.83999999997</v>
      </c>
      <c r="E69" s="14"/>
      <c r="F69" s="22">
        <f>IF(D$12=0,0,D69/D$12)</f>
        <v>0.53882075328831358</v>
      </c>
      <c r="G69" s="14"/>
      <c r="H69" s="21">
        <f>H12-H44</f>
        <v>123689.75</v>
      </c>
      <c r="I69" s="14"/>
      <c r="J69" s="22">
        <f>IF(H$12=0,0,H69/H$12)</f>
        <v>0.53405710040043353</v>
      </c>
      <c r="K69" s="16"/>
      <c r="L69" s="21">
        <f>+D69-H69</f>
        <v>17919.089999999967</v>
      </c>
      <c r="M69" s="16"/>
      <c r="N69" s="22">
        <f>IF(H69=0,0,L69/H69)</f>
        <v>0.14487126055311753</v>
      </c>
      <c r="O69" s="29"/>
      <c r="P69" s="21">
        <f>P12-P44</f>
        <v>611174.67000000004</v>
      </c>
      <c r="Q69" s="14"/>
      <c r="R69" s="22">
        <f>IF(P$12=0,0,P69/P$12)</f>
        <v>0.54452679070583976</v>
      </c>
      <c r="S69" s="14"/>
      <c r="T69" s="21">
        <f>T12-T44</f>
        <v>530047.82999999996</v>
      </c>
      <c r="U69" s="14"/>
      <c r="V69" s="22">
        <f>IF(T$12=0,0,T69/T$12)</f>
        <v>0.5337169955781812</v>
      </c>
      <c r="W69" s="16"/>
      <c r="X69" s="21">
        <f>+P69-T69</f>
        <v>81126.840000000084</v>
      </c>
      <c r="Y69" s="16"/>
      <c r="Z69" s="22">
        <f>IF(T69=0,0,X69/T69)</f>
        <v>0.15305569687927992</v>
      </c>
    </row>
    <row r="70" spans="1:26" x14ac:dyDescent="0.25">
      <c r="A70" s="9"/>
      <c r="B70" s="10"/>
      <c r="C70" s="9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9</v>
      </c>
      <c r="C71" s="10"/>
      <c r="D71" s="20">
        <f>SUM(OSRRefD22x_0)</f>
        <v>106445.06999999998</v>
      </c>
      <c r="E71" s="20"/>
      <c r="F71" s="35">
        <f t="shared" ref="F71:F80" si="16">IF(D$12=0,0,D71/D$12)</f>
        <v>0.40502282767959452</v>
      </c>
      <c r="G71" s="20"/>
      <c r="H71" s="20">
        <f>SUM(OSRRefH22x_0)</f>
        <v>90870.58</v>
      </c>
      <c r="I71" s="20"/>
      <c r="J71" s="35">
        <f t="shared" ref="J71:J80" si="17">IF(H$12=0,0,H71/H$12)</f>
        <v>0.39235327475805898</v>
      </c>
      <c r="K71" s="4"/>
      <c r="L71" s="20">
        <f t="shared" ref="L71:L80" si="18">+D71-H71</f>
        <v>15574.489999999976</v>
      </c>
      <c r="M71" s="4"/>
      <c r="N71" s="35">
        <f t="shared" ref="N71:N80" si="19">IF(H71=0,0,L71/H71)</f>
        <v>0.17139199507695424</v>
      </c>
      <c r="O71" s="10"/>
      <c r="P71" s="20">
        <f>SUM(OSRRefP22x_0)</f>
        <v>352065.39</v>
      </c>
      <c r="Q71" s="20"/>
      <c r="R71" s="35">
        <f t="shared" ref="R71:R80" si="20">IF(P$12=0,0,P71/P$12)</f>
        <v>0.31367307309267223</v>
      </c>
      <c r="S71" s="20"/>
      <c r="T71" s="20">
        <f>SUM(OSRRefT22x_0)</f>
        <v>299282.14999999985</v>
      </c>
      <c r="U71" s="20"/>
      <c r="V71" s="35">
        <f t="shared" ref="V71:V80" si="21">IF(T$12=0,0,T71/T$12)</f>
        <v>0.30135387957003518</v>
      </c>
      <c r="W71" s="4"/>
      <c r="X71" s="20">
        <f t="shared" ref="X71:X80" si="22">+P71-T71</f>
        <v>52783.240000000165</v>
      </c>
      <c r="Y71" s="4"/>
      <c r="Z71" s="35">
        <f t="shared" ref="Z71:Z80" si="23">IF(T71=0,0,X71/T71)</f>
        <v>0.17636614813145451</v>
      </c>
    </row>
    <row r="72" spans="1:26" s="27" customFormat="1" outlineLevel="1" collapsed="1" x14ac:dyDescent="0.25">
      <c r="A72" s="25"/>
      <c r="B72" s="13" t="str">
        <f>CONCATENATE("     ","*Benefits                                         ")</f>
        <v xml:space="preserve">     *Benefits                                         </v>
      </c>
      <c r="C72" s="13"/>
      <c r="D72" s="1">
        <f>SUM(OSRRefD22_0x_0)</f>
        <v>11896.04</v>
      </c>
      <c r="E72" s="1"/>
      <c r="F72" s="5">
        <f t="shared" si="16"/>
        <v>4.526435802982294E-2</v>
      </c>
      <c r="G72" s="1"/>
      <c r="H72" s="1">
        <f>SUM(OSRRefH22_0x_0)</f>
        <v>10179.56</v>
      </c>
      <c r="I72" s="1"/>
      <c r="J72" s="5">
        <f t="shared" si="17"/>
        <v>4.3952439850126923E-2</v>
      </c>
      <c r="K72" s="1"/>
      <c r="L72" s="1">
        <f t="shared" si="18"/>
        <v>1716.4800000000014</v>
      </c>
      <c r="M72" s="1"/>
      <c r="N72" s="5">
        <f t="shared" si="19"/>
        <v>0.16862025470649042</v>
      </c>
      <c r="O72" s="13"/>
      <c r="P72" s="1">
        <f>SUM(OSRRefP22_0x_0)</f>
        <v>39151.39</v>
      </c>
      <c r="Q72" s="1"/>
      <c r="R72" s="5">
        <f t="shared" si="20"/>
        <v>3.4881976945105898E-2</v>
      </c>
      <c r="S72" s="1"/>
      <c r="T72" s="1">
        <f>SUM(OSRRefT22_0x_0)</f>
        <v>33984.979999999996</v>
      </c>
      <c r="U72" s="1"/>
      <c r="V72" s="5">
        <f t="shared" si="21"/>
        <v>3.4220235219875487E-2</v>
      </c>
      <c r="W72" s="1"/>
      <c r="X72" s="1">
        <f t="shared" si="22"/>
        <v>5166.4100000000035</v>
      </c>
      <c r="Y72" s="1"/>
      <c r="Z72" s="5">
        <f t="shared" si="23"/>
        <v>0.1520203925381155</v>
      </c>
    </row>
    <row r="73" spans="1:26" s="24" customFormat="1" hidden="1" outlineLevel="2" x14ac:dyDescent="0.25">
      <c r="A73" s="26"/>
      <c r="B73" s="11" t="str">
        <f>CONCATENATE("          ", "6111", " - ", "F.I.C.A.")</f>
        <v xml:space="preserve">          6111 - F.I.C.A.</v>
      </c>
      <c r="C73" s="11"/>
      <c r="D73" s="6">
        <v>2915.47</v>
      </c>
      <c r="E73" s="2"/>
      <c r="F73" s="7">
        <f t="shared" si="16"/>
        <v>1.1093345172444601E-2</v>
      </c>
      <c r="G73" s="2"/>
      <c r="H73" s="6">
        <v>2851.47</v>
      </c>
      <c r="I73" s="2"/>
      <c r="J73" s="7">
        <f t="shared" si="17"/>
        <v>1.2311835055684275E-2</v>
      </c>
      <c r="K73" s="2"/>
      <c r="L73" s="6">
        <f t="shared" si="18"/>
        <v>64</v>
      </c>
      <c r="M73" s="2"/>
      <c r="N73" s="7">
        <f t="shared" si="19"/>
        <v>2.2444563681189002E-2</v>
      </c>
      <c r="O73" s="11"/>
      <c r="P73" s="6">
        <v>9184.4</v>
      </c>
      <c r="Q73" s="2"/>
      <c r="R73" s="7">
        <f t="shared" si="20"/>
        <v>8.1828519767658467E-3</v>
      </c>
      <c r="S73" s="2"/>
      <c r="T73" s="6">
        <v>8514.7199999999993</v>
      </c>
      <c r="U73" s="2"/>
      <c r="V73" s="7">
        <f t="shared" si="21"/>
        <v>8.5736616950010929E-3</v>
      </c>
      <c r="W73" s="2"/>
      <c r="X73" s="6">
        <f t="shared" si="22"/>
        <v>669.68000000000029</v>
      </c>
      <c r="Y73" s="2"/>
      <c r="Z73" s="7">
        <f t="shared" si="23"/>
        <v>7.8649679613657333E-2</v>
      </c>
    </row>
    <row r="74" spans="1:26" s="24" customFormat="1" hidden="1" outlineLevel="2" x14ac:dyDescent="0.25">
      <c r="A74" s="26"/>
      <c r="B74" s="11" t="str">
        <f>CONCATENATE("          ", "6112", " - ", "COMPENSATION INSURANCE")</f>
        <v xml:space="preserve">          6112 - COMPENSATION INSURANCE</v>
      </c>
      <c r="C74" s="11"/>
      <c r="D74" s="6">
        <v>201.28</v>
      </c>
      <c r="E74" s="2"/>
      <c r="F74" s="7">
        <f t="shared" si="16"/>
        <v>7.6586914504681903E-4</v>
      </c>
      <c r="G74" s="2"/>
      <c r="H74" s="6">
        <v>826.5</v>
      </c>
      <c r="I74" s="2"/>
      <c r="J74" s="7">
        <f t="shared" si="17"/>
        <v>3.5685915242043768E-3</v>
      </c>
      <c r="K74" s="2"/>
      <c r="L74" s="6">
        <f t="shared" si="18"/>
        <v>-625.22</v>
      </c>
      <c r="M74" s="2"/>
      <c r="N74" s="7">
        <f t="shared" si="19"/>
        <v>-0.75646702964307322</v>
      </c>
      <c r="O74" s="11"/>
      <c r="P74" s="6">
        <v>2148.94</v>
      </c>
      <c r="Q74" s="2"/>
      <c r="R74" s="7">
        <f t="shared" si="20"/>
        <v>1.9146006191968119E-3</v>
      </c>
      <c r="S74" s="2"/>
      <c r="T74" s="6">
        <v>1666.79</v>
      </c>
      <c r="U74" s="2"/>
      <c r="V74" s="7">
        <f t="shared" si="21"/>
        <v>1.6783280691098322E-3</v>
      </c>
      <c r="W74" s="2"/>
      <c r="X74" s="6">
        <f t="shared" si="22"/>
        <v>482.15000000000009</v>
      </c>
      <c r="Y74" s="2"/>
      <c r="Z74" s="7">
        <f t="shared" si="23"/>
        <v>0.28926859412403488</v>
      </c>
    </row>
    <row r="75" spans="1:26" s="24" customFormat="1" hidden="1" outlineLevel="2" x14ac:dyDescent="0.25">
      <c r="A75" s="26"/>
      <c r="B75" s="11" t="str">
        <f>CONCATENATE("          ", "6113", " - ", "GROUP INSURANCE")</f>
        <v xml:space="preserve">          6113 - GROUP INSURANCE</v>
      </c>
      <c r="C75" s="11"/>
      <c r="D75" s="6">
        <v>4241.18</v>
      </c>
      <c r="E75" s="2"/>
      <c r="F75" s="7">
        <f t="shared" si="16"/>
        <v>1.6137663456824665E-2</v>
      </c>
      <c r="G75" s="2"/>
      <c r="H75" s="6">
        <v>2841.46</v>
      </c>
      <c r="I75" s="2"/>
      <c r="J75" s="7">
        <f t="shared" si="17"/>
        <v>1.2268614727605286E-2</v>
      </c>
      <c r="K75" s="2"/>
      <c r="L75" s="6">
        <f t="shared" si="18"/>
        <v>1399.7200000000003</v>
      </c>
      <c r="M75" s="2"/>
      <c r="N75" s="7">
        <f t="shared" si="19"/>
        <v>0.49260591386118413</v>
      </c>
      <c r="O75" s="11"/>
      <c r="P75" s="6">
        <v>13531.75</v>
      </c>
      <c r="Q75" s="2"/>
      <c r="R75" s="7">
        <f t="shared" si="20"/>
        <v>1.2056128569814169E-2</v>
      </c>
      <c r="S75" s="2"/>
      <c r="T75" s="6">
        <v>9589.59</v>
      </c>
      <c r="U75" s="2"/>
      <c r="V75" s="7">
        <f t="shared" si="21"/>
        <v>9.6559722990028473E-3</v>
      </c>
      <c r="W75" s="2"/>
      <c r="X75" s="6">
        <f t="shared" si="22"/>
        <v>3942.16</v>
      </c>
      <c r="Y75" s="2"/>
      <c r="Z75" s="7">
        <f t="shared" si="23"/>
        <v>0.41108743960899263</v>
      </c>
    </row>
    <row r="76" spans="1:26" s="24" customFormat="1" hidden="1" outlineLevel="2" x14ac:dyDescent="0.25">
      <c r="A76" s="26"/>
      <c r="B76" s="11" t="str">
        <f>CONCATENATE("          ", "6114", " - ", "STATE UNEMPLOYMENT INSURANCE")</f>
        <v xml:space="preserve">          6114 - STATE UNEMPLOYMENT INSURANCE</v>
      </c>
      <c r="C76" s="11"/>
      <c r="D76" s="6">
        <v>121.58</v>
      </c>
      <c r="E76" s="2"/>
      <c r="F76" s="7">
        <f t="shared" si="16"/>
        <v>4.6261114196538284E-4</v>
      </c>
      <c r="G76" s="2"/>
      <c r="H76" s="6">
        <v>105.48</v>
      </c>
      <c r="I76" s="2"/>
      <c r="J76" s="7">
        <f t="shared" si="17"/>
        <v>4.5543258798920466E-4</v>
      </c>
      <c r="K76" s="2"/>
      <c r="L76" s="6">
        <f t="shared" si="18"/>
        <v>16.099999999999994</v>
      </c>
      <c r="M76" s="2"/>
      <c r="N76" s="7">
        <f t="shared" si="19"/>
        <v>0.15263557072430786</v>
      </c>
      <c r="O76" s="11"/>
      <c r="P76" s="6">
        <v>379.36</v>
      </c>
      <c r="Q76" s="2"/>
      <c r="R76" s="7">
        <f t="shared" si="20"/>
        <v>3.3799123795848305E-4</v>
      </c>
      <c r="S76" s="2"/>
      <c r="T76" s="6">
        <v>364.17</v>
      </c>
      <c r="U76" s="2"/>
      <c r="V76" s="7">
        <f t="shared" si="21"/>
        <v>3.6669090462969399E-4</v>
      </c>
      <c r="W76" s="2"/>
      <c r="X76" s="6">
        <f t="shared" si="22"/>
        <v>15.189999999999998</v>
      </c>
      <c r="Y76" s="2"/>
      <c r="Z76" s="7">
        <f t="shared" si="23"/>
        <v>4.1711288683856436E-2</v>
      </c>
    </row>
    <row r="77" spans="1:26" s="24" customFormat="1" hidden="1" outlineLevel="2" x14ac:dyDescent="0.25">
      <c r="A77" s="26"/>
      <c r="B77" s="11" t="str">
        <f>CONCATENATE("          ", "6115", " - ", "P.E.R.S.")</f>
        <v xml:space="preserve">          6115 - P.E.R.S.</v>
      </c>
      <c r="C77" s="11"/>
      <c r="D77" s="6">
        <v>1878.17</v>
      </c>
      <c r="E77" s="2"/>
      <c r="F77" s="7">
        <f t="shared" si="16"/>
        <v>7.1464251398677672E-3</v>
      </c>
      <c r="G77" s="2"/>
      <c r="H77" s="6">
        <v>1544.82</v>
      </c>
      <c r="I77" s="2"/>
      <c r="J77" s="7">
        <f t="shared" si="17"/>
        <v>6.6700926296689713E-3</v>
      </c>
      <c r="K77" s="2"/>
      <c r="L77" s="6">
        <f t="shared" si="18"/>
        <v>333.35000000000014</v>
      </c>
      <c r="M77" s="2"/>
      <c r="N77" s="7">
        <f t="shared" si="19"/>
        <v>0.2157856578759986</v>
      </c>
      <c r="O77" s="11"/>
      <c r="P77" s="6">
        <v>4675.9799999999996</v>
      </c>
      <c r="Q77" s="2"/>
      <c r="R77" s="7">
        <f t="shared" si="20"/>
        <v>4.1660698778709076E-3</v>
      </c>
      <c r="S77" s="2"/>
      <c r="T77" s="6">
        <v>4410.91</v>
      </c>
      <c r="U77" s="2"/>
      <c r="V77" s="7">
        <f t="shared" si="21"/>
        <v>4.441443771151285E-3</v>
      </c>
      <c r="W77" s="2"/>
      <c r="X77" s="6">
        <f t="shared" si="22"/>
        <v>265.06999999999971</v>
      </c>
      <c r="Y77" s="2"/>
      <c r="Z77" s="7">
        <f t="shared" si="23"/>
        <v>6.0094175578281971E-2</v>
      </c>
    </row>
    <row r="78" spans="1:26" s="24" customFormat="1" hidden="1" outlineLevel="2" x14ac:dyDescent="0.25">
      <c r="A78" s="26"/>
      <c r="B78" s="11" t="str">
        <f>CONCATENATE("          ", "6118", " - ", "VACATION")</f>
        <v xml:space="preserve">          6118 - VACATION</v>
      </c>
      <c r="C78" s="11"/>
      <c r="D78" s="6">
        <v>1269</v>
      </c>
      <c r="E78" s="2"/>
      <c r="F78" s="7">
        <f t="shared" si="16"/>
        <v>4.8285370879591286E-3</v>
      </c>
      <c r="G78" s="2"/>
      <c r="H78" s="6">
        <v>1097.5</v>
      </c>
      <c r="I78" s="2"/>
      <c r="J78" s="7">
        <f t="shared" si="17"/>
        <v>4.7386923143548738E-3</v>
      </c>
      <c r="K78" s="2"/>
      <c r="L78" s="6">
        <f t="shared" si="18"/>
        <v>171.5</v>
      </c>
      <c r="M78" s="2"/>
      <c r="N78" s="7">
        <f t="shared" si="19"/>
        <v>0.1562642369020501</v>
      </c>
      <c r="O78" s="11"/>
      <c r="P78" s="6">
        <v>4021.76</v>
      </c>
      <c r="Q78" s="2"/>
      <c r="R78" s="7">
        <f t="shared" si="20"/>
        <v>3.5831917997994223E-3</v>
      </c>
      <c r="S78" s="2"/>
      <c r="T78" s="6">
        <v>4521.33</v>
      </c>
      <c r="U78" s="2"/>
      <c r="V78" s="7">
        <f t="shared" si="21"/>
        <v>4.5526281347430435E-3</v>
      </c>
      <c r="W78" s="2"/>
      <c r="X78" s="6">
        <f t="shared" si="22"/>
        <v>-499.56999999999971</v>
      </c>
      <c r="Y78" s="2"/>
      <c r="Z78" s="7">
        <f t="shared" si="23"/>
        <v>-0.11049182430833399</v>
      </c>
    </row>
    <row r="79" spans="1:26" s="24" customFormat="1" hidden="1" outlineLevel="2" x14ac:dyDescent="0.25">
      <c r="A79" s="26"/>
      <c r="B79" s="11" t="str">
        <f>CONCATENATE("          ", "6119", " - ", "SICK LEAVE")</f>
        <v xml:space="preserve">          6119 - SICK LEAVE</v>
      </c>
      <c r="C79" s="11"/>
      <c r="D79" s="6">
        <v>864.6</v>
      </c>
      <c r="E79" s="2"/>
      <c r="F79" s="7">
        <f t="shared" si="16"/>
        <v>3.2897976093376378E-3</v>
      </c>
      <c r="G79" s="2"/>
      <c r="H79" s="6">
        <v>678.21</v>
      </c>
      <c r="I79" s="2"/>
      <c r="J79" s="7">
        <f t="shared" si="17"/>
        <v>2.9283175530921361E-3</v>
      </c>
      <c r="K79" s="2"/>
      <c r="L79" s="6">
        <f t="shared" si="18"/>
        <v>186.39</v>
      </c>
      <c r="M79" s="2"/>
      <c r="N79" s="7">
        <f t="shared" si="19"/>
        <v>0.27482638120935987</v>
      </c>
      <c r="O79" s="11"/>
      <c r="P79" s="6">
        <v>4095.07</v>
      </c>
      <c r="Q79" s="2"/>
      <c r="R79" s="7">
        <f t="shared" si="20"/>
        <v>3.6485074304793475E-3</v>
      </c>
      <c r="S79" s="2"/>
      <c r="T79" s="6">
        <v>3806.15</v>
      </c>
      <c r="U79" s="2"/>
      <c r="V79" s="7">
        <f t="shared" si="21"/>
        <v>3.832497423336106E-3</v>
      </c>
      <c r="W79" s="2"/>
      <c r="X79" s="6">
        <f t="shared" si="22"/>
        <v>288.92000000000007</v>
      </c>
      <c r="Y79" s="2"/>
      <c r="Z79" s="7">
        <f t="shared" si="23"/>
        <v>7.5908726666053639E-2</v>
      </c>
    </row>
    <row r="80" spans="1:26" s="24" customFormat="1" hidden="1" outlineLevel="2" x14ac:dyDescent="0.25">
      <c r="A80" s="26"/>
      <c r="B80" s="11" t="str">
        <f>CONCATENATE("          ", "6156", " - ", "EMPLOYEE MEALS")</f>
        <v xml:space="preserve">          6156 - EMPLOYEE MEALS</v>
      </c>
      <c r="C80" s="11"/>
      <c r="D80" s="6">
        <v>404.76</v>
      </c>
      <c r="E80" s="2"/>
      <c r="F80" s="7">
        <f t="shared" si="16"/>
        <v>1.54010927637694E-3</v>
      </c>
      <c r="G80" s="2"/>
      <c r="H80" s="6">
        <v>234.12</v>
      </c>
      <c r="I80" s="2"/>
      <c r="J80" s="7">
        <f t="shared" si="17"/>
        <v>1.0108634575278024E-3</v>
      </c>
      <c r="K80" s="2"/>
      <c r="L80" s="6">
        <f t="shared" si="18"/>
        <v>170.64</v>
      </c>
      <c r="M80" s="2"/>
      <c r="N80" s="7">
        <f t="shared" si="19"/>
        <v>0.72885699641209634</v>
      </c>
      <c r="O80" s="11"/>
      <c r="P80" s="6">
        <v>1114.1300000000001</v>
      </c>
      <c r="Q80" s="2"/>
      <c r="R80" s="7">
        <f t="shared" si="20"/>
        <v>9.9263543322091093E-4</v>
      </c>
      <c r="S80" s="2"/>
      <c r="T80" s="6">
        <v>1111.32</v>
      </c>
      <c r="U80" s="2"/>
      <c r="V80" s="7">
        <f t="shared" si="21"/>
        <v>1.1190129229015884E-3</v>
      </c>
      <c r="W80" s="2"/>
      <c r="X80" s="6">
        <f t="shared" si="22"/>
        <v>2.8100000000001728</v>
      </c>
      <c r="Y80" s="2"/>
      <c r="Z80" s="7">
        <f t="shared" si="23"/>
        <v>2.5285246373683303E-3</v>
      </c>
    </row>
    <row r="81" spans="1:26" s="27" customFormat="1" outlineLevel="1" collapsed="1" x14ac:dyDescent="0.25">
      <c r="A81" s="25"/>
      <c r="B81" s="13" t="str">
        <f>CONCATENATE("     ","*Payroll                                          ")</f>
        <v xml:space="preserve">     *Payroll                                          </v>
      </c>
      <c r="C81" s="13"/>
      <c r="D81" s="1">
        <f>SUM(OSRRefD22_1x_0)</f>
        <v>44649.46</v>
      </c>
      <c r="E81" s="1"/>
      <c r="F81" s="5">
        <f t="shared" ref="F81:F86" si="24">IF(D$12=0,0,D81/D$12)</f>
        <v>0.16989091691674357</v>
      </c>
      <c r="G81" s="1"/>
      <c r="H81" s="1">
        <f>SUM(OSRRefH22_1x_0)</f>
        <v>34587.199999999997</v>
      </c>
      <c r="I81" s="1"/>
      <c r="J81" s="5">
        <f t="shared" ref="J81:J86" si="25">IF(H$12=0,0,H81/H$12)</f>
        <v>0.14933767545790877</v>
      </c>
      <c r="K81" s="1"/>
      <c r="L81" s="1">
        <f t="shared" ref="L81:L86" si="26">+D81-H81</f>
        <v>10062.260000000002</v>
      </c>
      <c r="M81" s="1"/>
      <c r="N81" s="5">
        <f t="shared" ref="N81:N86" si="27">IF(H81=0,0,L81/H81)</f>
        <v>0.29092438821298061</v>
      </c>
      <c r="O81" s="13"/>
      <c r="P81" s="1">
        <f>SUM(OSRRefP22_1x_0)</f>
        <v>151748.22999999998</v>
      </c>
      <c r="Q81" s="1"/>
      <c r="R81" s="5">
        <f t="shared" ref="R81:R86" si="28">IF(P$12=0,0,P81/P$12)</f>
        <v>0.13520026390686579</v>
      </c>
      <c r="S81" s="1"/>
      <c r="T81" s="1">
        <f>SUM(OSRRefT22_1x_0)</f>
        <v>123636.67</v>
      </c>
      <c r="U81" s="1"/>
      <c r="V81" s="5">
        <f t="shared" ref="V81:V86" si="29">IF(T$12=0,0,T81/T$12)</f>
        <v>0.1244925237326055</v>
      </c>
      <c r="W81" s="1"/>
      <c r="X81" s="1">
        <f t="shared" ref="X81:X86" si="30">+P81-T81</f>
        <v>28111.559999999983</v>
      </c>
      <c r="Y81" s="1"/>
      <c r="Z81" s="5">
        <f t="shared" ref="Z81:Z86" si="31">IF(T81=0,0,X81/T81)</f>
        <v>0.22737234834940137</v>
      </c>
    </row>
    <row r="82" spans="1:26" s="24" customFormat="1" hidden="1" outlineLevel="2" x14ac:dyDescent="0.25">
      <c r="A82" s="26"/>
      <c r="B82" s="11" t="str">
        <f>CONCATENATE("          ", "6002", " - ", "STAFF SALARIES")</f>
        <v xml:space="preserve">          6002 - STAFF SALARIES</v>
      </c>
      <c r="C82" s="11"/>
      <c r="D82" s="6">
        <v>14306.98</v>
      </c>
      <c r="E82" s="2"/>
      <c r="F82" s="7">
        <f t="shared" si="24"/>
        <v>5.4437969697942859E-2</v>
      </c>
      <c r="G82" s="2"/>
      <c r="H82" s="6">
        <v>10010.59</v>
      </c>
      <c r="I82" s="2"/>
      <c r="J82" s="7">
        <f t="shared" si="25"/>
        <v>4.3222875530895453E-2</v>
      </c>
      <c r="K82" s="2"/>
      <c r="L82" s="6">
        <f t="shared" si="26"/>
        <v>4296.3899999999994</v>
      </c>
      <c r="M82" s="2"/>
      <c r="N82" s="7">
        <f t="shared" si="27"/>
        <v>0.42918449362125505</v>
      </c>
      <c r="O82" s="11"/>
      <c r="P82" s="6">
        <v>44888.51</v>
      </c>
      <c r="Q82" s="2"/>
      <c r="R82" s="7">
        <f t="shared" si="28"/>
        <v>3.9993470753405064E-2</v>
      </c>
      <c r="S82" s="2"/>
      <c r="T82" s="6">
        <v>38430.879999999997</v>
      </c>
      <c r="U82" s="2"/>
      <c r="V82" s="7">
        <f t="shared" si="29"/>
        <v>3.8696911203325954E-2</v>
      </c>
      <c r="W82" s="2"/>
      <c r="X82" s="6">
        <f t="shared" si="30"/>
        <v>6457.6300000000047</v>
      </c>
      <c r="Y82" s="2"/>
      <c r="Z82" s="7">
        <f t="shared" si="31"/>
        <v>0.16803232192445255</v>
      </c>
    </row>
    <row r="83" spans="1:26" s="24" customFormat="1" hidden="1" outlineLevel="2" x14ac:dyDescent="0.25">
      <c r="A83" s="26"/>
      <c r="B83" s="11" t="str">
        <f>CONCATENATE("          ", "6005", " - ", "TEMPORARY WAGES-HOURLY")</f>
        <v xml:space="preserve">          6005 - TEMPORARY WAGES-HOURLY</v>
      </c>
      <c r="C83" s="11"/>
      <c r="D83" s="6">
        <v>5934.48</v>
      </c>
      <c r="E83" s="2"/>
      <c r="F83" s="7">
        <f t="shared" si="24"/>
        <v>2.2580659399331508E-2</v>
      </c>
      <c r="G83" s="2"/>
      <c r="H83" s="6">
        <v>9065.9500000000007</v>
      </c>
      <c r="I83" s="2"/>
      <c r="J83" s="7">
        <f t="shared" si="25"/>
        <v>3.9144189145626944E-2</v>
      </c>
      <c r="K83" s="2"/>
      <c r="L83" s="6">
        <f t="shared" si="26"/>
        <v>-3131.4700000000012</v>
      </c>
      <c r="M83" s="2"/>
      <c r="N83" s="7">
        <f t="shared" si="27"/>
        <v>-0.3454100232187472</v>
      </c>
      <c r="O83" s="11"/>
      <c r="P83" s="6">
        <v>16619.02</v>
      </c>
      <c r="Q83" s="2"/>
      <c r="R83" s="7">
        <f t="shared" si="28"/>
        <v>1.480673540556935E-2</v>
      </c>
      <c r="S83" s="2"/>
      <c r="T83" s="6">
        <v>24236.670000000002</v>
      </c>
      <c r="U83" s="2"/>
      <c r="V83" s="7">
        <f t="shared" si="29"/>
        <v>2.4404444208779873E-2</v>
      </c>
      <c r="W83" s="2"/>
      <c r="X83" s="6">
        <f t="shared" si="30"/>
        <v>-7617.6500000000015</v>
      </c>
      <c r="Y83" s="2"/>
      <c r="Z83" s="7">
        <f t="shared" si="31"/>
        <v>-0.31430266616659802</v>
      </c>
    </row>
    <row r="84" spans="1:26" s="24" customFormat="1" hidden="1" outlineLevel="2" x14ac:dyDescent="0.25">
      <c r="A84" s="26"/>
      <c r="B84" s="11" t="str">
        <f>CONCATENATE("          ", "6006", " - ", "TEMPORARY PART TIME")</f>
        <v xml:space="preserve">          6006 - TEMPORARY PART TIME</v>
      </c>
      <c r="C84" s="11"/>
      <c r="D84" s="6">
        <v>66.5</v>
      </c>
      <c r="E84" s="2"/>
      <c r="F84" s="7">
        <f t="shared" si="24"/>
        <v>2.5303208538162493E-4</v>
      </c>
      <c r="G84" s="2"/>
      <c r="H84" s="6">
        <v>1590.92</v>
      </c>
      <c r="I84" s="2"/>
      <c r="J84" s="7">
        <f t="shared" si="25"/>
        <v>6.8691392954473409E-3</v>
      </c>
      <c r="K84" s="2"/>
      <c r="L84" s="6">
        <f t="shared" si="26"/>
        <v>-1524.42</v>
      </c>
      <c r="M84" s="2"/>
      <c r="N84" s="7">
        <f t="shared" si="27"/>
        <v>-0.95820028662660595</v>
      </c>
      <c r="O84" s="11"/>
      <c r="P84" s="6">
        <v>66.5</v>
      </c>
      <c r="Q84" s="2"/>
      <c r="R84" s="7">
        <f t="shared" si="28"/>
        <v>5.9248253174396675E-5</v>
      </c>
      <c r="S84" s="2"/>
      <c r="T84" s="6">
        <v>8226.76</v>
      </c>
      <c r="U84" s="2"/>
      <c r="V84" s="7">
        <f t="shared" si="29"/>
        <v>8.2837083410807633E-3</v>
      </c>
      <c r="W84" s="2"/>
      <c r="X84" s="6">
        <f t="shared" si="30"/>
        <v>-8160.26</v>
      </c>
      <c r="Y84" s="2"/>
      <c r="Z84" s="7">
        <f t="shared" si="31"/>
        <v>-0.99191662331221531</v>
      </c>
    </row>
    <row r="85" spans="1:26" s="24" customFormat="1" hidden="1" outlineLevel="2" x14ac:dyDescent="0.25">
      <c r="A85" s="26"/>
      <c r="B85" s="11" t="str">
        <f>CONCATENATE("          ", "6007", " - ", "STUDENT HOURLY")</f>
        <v xml:space="preserve">          6007 - STUDENT HOURLY</v>
      </c>
      <c r="C85" s="11"/>
      <c r="D85" s="6">
        <v>24341.5</v>
      </c>
      <c r="E85" s="2"/>
      <c r="F85" s="7">
        <f t="shared" si="24"/>
        <v>9.2619255734087566E-2</v>
      </c>
      <c r="G85" s="2"/>
      <c r="H85" s="6">
        <v>13919.74</v>
      </c>
      <c r="I85" s="2"/>
      <c r="J85" s="7">
        <f t="shared" si="25"/>
        <v>6.0101471485939056E-2</v>
      </c>
      <c r="K85" s="2"/>
      <c r="L85" s="6">
        <f t="shared" si="26"/>
        <v>10421.76</v>
      </c>
      <c r="M85" s="2"/>
      <c r="N85" s="7">
        <f t="shared" si="27"/>
        <v>0.74870363957947494</v>
      </c>
      <c r="O85" s="11"/>
      <c r="P85" s="6">
        <v>89979.199999999997</v>
      </c>
      <c r="Q85" s="2"/>
      <c r="R85" s="7">
        <f t="shared" si="28"/>
        <v>8.01670740154838E-2</v>
      </c>
      <c r="S85" s="2"/>
      <c r="T85" s="6">
        <v>52742.36</v>
      </c>
      <c r="U85" s="2"/>
      <c r="V85" s="7">
        <f t="shared" si="29"/>
        <v>5.3107459979418917E-2</v>
      </c>
      <c r="W85" s="2"/>
      <c r="X85" s="6">
        <f t="shared" si="30"/>
        <v>37236.839999999997</v>
      </c>
      <c r="Y85" s="2"/>
      <c r="Z85" s="7">
        <f t="shared" si="31"/>
        <v>0.70601391367394251</v>
      </c>
    </row>
    <row r="86" spans="1:26" s="24" customFormat="1" hidden="1" outlineLevel="2" x14ac:dyDescent="0.25">
      <c r="A86" s="26"/>
      <c r="B86" s="11" t="str">
        <f>CONCATENATE("          ", "6008", " - ", "STUDENT HOURLY-FICA EXEMPT")</f>
        <v xml:space="preserve">          6008 - STUDENT HOURLY-FICA EXEMPT</v>
      </c>
      <c r="C86" s="11"/>
      <c r="D86" s="6"/>
      <c r="E86" s="2"/>
      <c r="F86" s="7">
        <f t="shared" si="24"/>
        <v>0</v>
      </c>
      <c r="G86" s="2"/>
      <c r="H86" s="6"/>
      <c r="I86" s="2"/>
      <c r="J86" s="7">
        <f t="shared" si="25"/>
        <v>0</v>
      </c>
      <c r="K86" s="2"/>
      <c r="L86" s="6">
        <f t="shared" si="26"/>
        <v>0</v>
      </c>
      <c r="M86" s="2"/>
      <c r="N86" s="7">
        <f t="shared" si="27"/>
        <v>0</v>
      </c>
      <c r="O86" s="11"/>
      <c r="P86" s="6">
        <v>195</v>
      </c>
      <c r="Q86" s="2"/>
      <c r="R86" s="7">
        <f t="shared" si="28"/>
        <v>1.7373547923319325E-4</v>
      </c>
      <c r="S86" s="2"/>
      <c r="T86" s="6"/>
      <c r="U86" s="2"/>
      <c r="V86" s="7">
        <f t="shared" si="29"/>
        <v>0</v>
      </c>
      <c r="W86" s="2"/>
      <c r="X86" s="6">
        <f t="shared" si="30"/>
        <v>195</v>
      </c>
      <c r="Y86" s="2"/>
      <c r="Z86" s="7">
        <f t="shared" si="31"/>
        <v>0</v>
      </c>
    </row>
    <row r="87" spans="1:26" s="27" customFormat="1" outlineLevel="1" collapsed="1" x14ac:dyDescent="0.25">
      <c r="A87" s="25"/>
      <c r="B87" s="13" t="str">
        <f>CONCATENATE("     ","Advertising/Promo                                 ")</f>
        <v xml:space="preserve">     Advertising/Promo                                 </v>
      </c>
      <c r="C87" s="13"/>
      <c r="D87" s="1">
        <f>SUM(OSRRefD22_2x_0)</f>
        <v>3136.71</v>
      </c>
      <c r="E87" s="1"/>
      <c r="F87" s="5">
        <f t="shared" ref="F87:F95" si="32">IF(D$12=0,0,D87/D$12)</f>
        <v>1.193516199304356E-2</v>
      </c>
      <c r="G87" s="1"/>
      <c r="H87" s="1">
        <f>SUM(OSRRefH22_2x_0)</f>
        <v>692.28</v>
      </c>
      <c r="I87" s="1"/>
      <c r="J87" s="5">
        <f t="shared" ref="J87:J95" si="33">IF(H$12=0,0,H87/H$12)</f>
        <v>2.9890678044479199E-3</v>
      </c>
      <c r="K87" s="1"/>
      <c r="L87" s="1">
        <f t="shared" ref="L87:L95" si="34">+D87-H87</f>
        <v>2444.4300000000003</v>
      </c>
      <c r="M87" s="1"/>
      <c r="N87" s="5">
        <f t="shared" ref="N87:N95" si="35">IF(H87=0,0,L87/H87)</f>
        <v>3.5309845727162426</v>
      </c>
      <c r="O87" s="13"/>
      <c r="P87" s="1">
        <f>SUM(OSRRefP22_2x_0)</f>
        <v>6820.21</v>
      </c>
      <c r="Q87" s="1"/>
      <c r="R87" s="5">
        <f t="shared" ref="R87:R95" si="36">IF(P$12=0,0,P87/P$12)</f>
        <v>6.0764741170308565E-3</v>
      </c>
      <c r="S87" s="1"/>
      <c r="T87" s="1">
        <f>SUM(OSRRefT22_2x_0)</f>
        <v>3130.9</v>
      </c>
      <c r="U87" s="1"/>
      <c r="V87" s="5">
        <f t="shared" ref="V87:V95" si="37">IF(T$12=0,0,T87/T$12)</f>
        <v>3.1525731205346648E-3</v>
      </c>
      <c r="W87" s="1"/>
      <c r="X87" s="1">
        <f t="shared" ref="X87:X95" si="38">+P87-T87</f>
        <v>3689.31</v>
      </c>
      <c r="Y87" s="1"/>
      <c r="Z87" s="5">
        <f t="shared" ref="Z87:Z95" si="39">IF(T87=0,0,X87/T87)</f>
        <v>1.1783544667667443</v>
      </c>
    </row>
    <row r="88" spans="1:26" s="24" customFormat="1" hidden="1" outlineLevel="2" x14ac:dyDescent="0.25">
      <c r="A88" s="26"/>
      <c r="B88" s="11" t="str">
        <f>CONCATENATE("          ", "6362", " - ", "ADVERTISING EXPENSE")</f>
        <v xml:space="preserve">          6362 - ADVERTISING EXPENSE</v>
      </c>
      <c r="C88" s="11"/>
      <c r="D88" s="6">
        <v>3136.71</v>
      </c>
      <c r="E88" s="2"/>
      <c r="F88" s="7">
        <f t="shared" si="32"/>
        <v>1.193516199304356E-2</v>
      </c>
      <c r="G88" s="2"/>
      <c r="H88" s="6">
        <v>692.28</v>
      </c>
      <c r="I88" s="2"/>
      <c r="J88" s="7">
        <f t="shared" si="33"/>
        <v>2.9890678044479199E-3</v>
      </c>
      <c r="K88" s="2"/>
      <c r="L88" s="6">
        <f t="shared" si="34"/>
        <v>2444.4300000000003</v>
      </c>
      <c r="M88" s="2"/>
      <c r="N88" s="7">
        <f t="shared" si="35"/>
        <v>3.5309845727162426</v>
      </c>
      <c r="O88" s="11"/>
      <c r="P88" s="6">
        <v>6820.21</v>
      </c>
      <c r="Q88" s="2"/>
      <c r="R88" s="7">
        <f t="shared" si="36"/>
        <v>6.0764741170308565E-3</v>
      </c>
      <c r="S88" s="2"/>
      <c r="T88" s="6">
        <v>3130.9</v>
      </c>
      <c r="U88" s="2"/>
      <c r="V88" s="7">
        <f t="shared" si="37"/>
        <v>3.1525731205346648E-3</v>
      </c>
      <c r="W88" s="2"/>
      <c r="X88" s="6">
        <f t="shared" si="38"/>
        <v>3689.31</v>
      </c>
      <c r="Y88" s="2"/>
      <c r="Z88" s="7">
        <f t="shared" si="39"/>
        <v>1.1783544667667443</v>
      </c>
    </row>
    <row r="89" spans="1:26" s="27" customFormat="1" outlineLevel="1" collapsed="1" x14ac:dyDescent="0.25">
      <c r="A89" s="25"/>
      <c r="B89" s="13" t="str">
        <f>CONCATENATE("     ","Bad Debts/Over/Short                              ")</f>
        <v xml:space="preserve">     Bad Debts/Over/Short                              </v>
      </c>
      <c r="C89" s="13"/>
      <c r="D89" s="1">
        <f>SUM(OSRRefD22_3x_0)</f>
        <v>-6.68</v>
      </c>
      <c r="E89" s="1"/>
      <c r="F89" s="5">
        <f t="shared" si="32"/>
        <v>-2.5417358351116607E-5</v>
      </c>
      <c r="G89" s="1"/>
      <c r="H89" s="1">
        <f>SUM(OSRRefH22_3x_0)</f>
        <v>-0.61</v>
      </c>
      <c r="I89" s="1"/>
      <c r="J89" s="5">
        <f t="shared" si="33"/>
        <v>-2.6338062066118207E-6</v>
      </c>
      <c r="K89" s="1"/>
      <c r="L89" s="1">
        <f t="shared" si="34"/>
        <v>-6.0699999999999994</v>
      </c>
      <c r="M89" s="1"/>
      <c r="N89" s="5">
        <f t="shared" si="35"/>
        <v>9.9508196721311464</v>
      </c>
      <c r="O89" s="13"/>
      <c r="P89" s="1">
        <f>SUM(OSRRefP22_3x_0)</f>
        <v>23.03</v>
      </c>
      <c r="Q89" s="1"/>
      <c r="R89" s="5">
        <f t="shared" si="36"/>
        <v>2.0518605573027903E-5</v>
      </c>
      <c r="S89" s="1"/>
      <c r="T89" s="1">
        <f>SUM(OSRRefT22_3x_0)</f>
        <v>99.86</v>
      </c>
      <c r="U89" s="1"/>
      <c r="V89" s="5">
        <f t="shared" si="37"/>
        <v>1.0055126379526387E-4</v>
      </c>
      <c r="W89" s="1"/>
      <c r="X89" s="1">
        <f t="shared" si="38"/>
        <v>-76.83</v>
      </c>
      <c r="Y89" s="1"/>
      <c r="Z89" s="5">
        <f t="shared" si="39"/>
        <v>-0.76937712797917079</v>
      </c>
    </row>
    <row r="90" spans="1:26" s="24" customFormat="1" hidden="1" outlineLevel="2" x14ac:dyDescent="0.25">
      <c r="A90" s="26"/>
      <c r="B90" s="11" t="str">
        <f>CONCATENATE("          ", "6272", " - ", "CASH (OVER/SHORT)")</f>
        <v xml:space="preserve">          6272 - CASH (OVER/SHORT)</v>
      </c>
      <c r="C90" s="11"/>
      <c r="D90" s="6">
        <v>-6.68</v>
      </c>
      <c r="E90" s="2"/>
      <c r="F90" s="7">
        <f t="shared" si="32"/>
        <v>-2.5417358351116607E-5</v>
      </c>
      <c r="G90" s="2"/>
      <c r="H90" s="6">
        <v>-0.61</v>
      </c>
      <c r="I90" s="2"/>
      <c r="J90" s="7">
        <f t="shared" si="33"/>
        <v>-2.6338062066118207E-6</v>
      </c>
      <c r="K90" s="2"/>
      <c r="L90" s="6">
        <f t="shared" si="34"/>
        <v>-6.0699999999999994</v>
      </c>
      <c r="M90" s="2"/>
      <c r="N90" s="7">
        <f t="shared" si="35"/>
        <v>9.9508196721311464</v>
      </c>
      <c r="O90" s="11"/>
      <c r="P90" s="6">
        <v>23.03</v>
      </c>
      <c r="Q90" s="2"/>
      <c r="R90" s="7">
        <f t="shared" si="36"/>
        <v>2.0518605573027903E-5</v>
      </c>
      <c r="S90" s="2"/>
      <c r="T90" s="6">
        <v>99.86</v>
      </c>
      <c r="U90" s="2"/>
      <c r="V90" s="7">
        <f t="shared" si="37"/>
        <v>1.0055126379526387E-4</v>
      </c>
      <c r="W90" s="2"/>
      <c r="X90" s="6">
        <f t="shared" si="38"/>
        <v>-76.83</v>
      </c>
      <c r="Y90" s="2"/>
      <c r="Z90" s="7">
        <f t="shared" si="39"/>
        <v>-0.76937712797917079</v>
      </c>
    </row>
    <row r="91" spans="1:26" s="27" customFormat="1" outlineLevel="1" collapsed="1" x14ac:dyDescent="0.25">
      <c r="A91" s="25"/>
      <c r="B91" s="13" t="str">
        <f>CONCATENATE("     ","Bank/card Fees                                    ")</f>
        <v xml:space="preserve">     Bank/card Fees                                    </v>
      </c>
      <c r="C91" s="13"/>
      <c r="D91" s="1">
        <f>SUM(OSRRefD22_4x_0)</f>
        <v>566.46</v>
      </c>
      <c r="E91" s="1"/>
      <c r="F91" s="5">
        <f t="shared" si="32"/>
        <v>2.1553767681996281E-3</v>
      </c>
      <c r="G91" s="1"/>
      <c r="H91" s="1">
        <f>SUM(OSRRefH22_4x_0)</f>
        <v>463.96</v>
      </c>
      <c r="I91" s="1"/>
      <c r="J91" s="5">
        <f t="shared" si="33"/>
        <v>2.0032470944583939E-3</v>
      </c>
      <c r="K91" s="1"/>
      <c r="L91" s="1">
        <f t="shared" si="34"/>
        <v>102.50000000000006</v>
      </c>
      <c r="M91" s="1"/>
      <c r="N91" s="5">
        <f t="shared" si="35"/>
        <v>0.22092421760496608</v>
      </c>
      <c r="O91" s="13"/>
      <c r="P91" s="1">
        <f>SUM(OSRRefP22_4x_0)</f>
        <v>2589.2399999999998</v>
      </c>
      <c r="Q91" s="1"/>
      <c r="R91" s="5">
        <f t="shared" si="36"/>
        <v>2.3068864217936063E-3</v>
      </c>
      <c r="S91" s="1"/>
      <c r="T91" s="1">
        <f>SUM(OSRRefT22_4x_0)</f>
        <v>2360.83</v>
      </c>
      <c r="U91" s="1"/>
      <c r="V91" s="5">
        <f t="shared" si="37"/>
        <v>2.3771724424771958E-3</v>
      </c>
      <c r="W91" s="1"/>
      <c r="X91" s="1">
        <f t="shared" si="38"/>
        <v>228.40999999999985</v>
      </c>
      <c r="Y91" s="1"/>
      <c r="Z91" s="5">
        <f t="shared" si="39"/>
        <v>9.6749871867097534E-2</v>
      </c>
    </row>
    <row r="92" spans="1:26" s="24" customFormat="1" hidden="1" outlineLevel="2" x14ac:dyDescent="0.25">
      <c r="A92" s="26"/>
      <c r="B92" s="11" t="str">
        <f>CONCATENATE("          ", "6381", " - ", "BANK/CREDIT CARD FEES")</f>
        <v xml:space="preserve">          6381 - BANK/CREDIT CARD FEES</v>
      </c>
      <c r="C92" s="11"/>
      <c r="D92" s="6">
        <v>566.46</v>
      </c>
      <c r="E92" s="2"/>
      <c r="F92" s="7">
        <f t="shared" si="32"/>
        <v>2.1553767681996281E-3</v>
      </c>
      <c r="G92" s="2"/>
      <c r="H92" s="6">
        <v>463.96</v>
      </c>
      <c r="I92" s="2"/>
      <c r="J92" s="7">
        <f t="shared" si="33"/>
        <v>2.0032470944583939E-3</v>
      </c>
      <c r="K92" s="2"/>
      <c r="L92" s="6">
        <f t="shared" si="34"/>
        <v>102.50000000000006</v>
      </c>
      <c r="M92" s="2"/>
      <c r="N92" s="7">
        <f t="shared" si="35"/>
        <v>0.22092421760496608</v>
      </c>
      <c r="O92" s="11"/>
      <c r="P92" s="6">
        <v>2589.2399999999998</v>
      </c>
      <c r="Q92" s="2"/>
      <c r="R92" s="7">
        <f t="shared" si="36"/>
        <v>2.3068864217936063E-3</v>
      </c>
      <c r="S92" s="2"/>
      <c r="T92" s="6">
        <v>2360.83</v>
      </c>
      <c r="U92" s="2"/>
      <c r="V92" s="7">
        <f t="shared" si="37"/>
        <v>2.3771724424771958E-3</v>
      </c>
      <c r="W92" s="2"/>
      <c r="X92" s="6">
        <f t="shared" si="38"/>
        <v>228.40999999999985</v>
      </c>
      <c r="Y92" s="2"/>
      <c r="Z92" s="7">
        <f t="shared" si="39"/>
        <v>9.6749871867097534E-2</v>
      </c>
    </row>
    <row r="93" spans="1:26" s="27" customFormat="1" outlineLevel="1" collapsed="1" x14ac:dyDescent="0.25">
      <c r="A93" s="25"/>
      <c r="B93" s="13" t="str">
        <f>CONCATENATE("     ","Discounts and Markdowns                           ")</f>
        <v xml:space="preserve">     Discounts and Markdowns                           </v>
      </c>
      <c r="C93" s="13"/>
      <c r="D93" s="1">
        <f>SUM(OSRRefD22_5x_0)</f>
        <v>31737.860000000004</v>
      </c>
      <c r="E93" s="1"/>
      <c r="F93" s="5">
        <f t="shared" si="32"/>
        <v>0.12076235941879788</v>
      </c>
      <c r="G93" s="1"/>
      <c r="H93" s="1">
        <f>SUM(OSRRefH22_5x_0)</f>
        <v>16941.61</v>
      </c>
      <c r="I93" s="1"/>
      <c r="J93" s="5">
        <f t="shared" si="33"/>
        <v>7.3149045193437526E-2</v>
      </c>
      <c r="K93" s="1"/>
      <c r="L93" s="1">
        <f t="shared" si="34"/>
        <v>14796.250000000004</v>
      </c>
      <c r="M93" s="1"/>
      <c r="N93" s="5">
        <f t="shared" si="35"/>
        <v>0.87336740722989159</v>
      </c>
      <c r="O93" s="13"/>
      <c r="P93" s="1">
        <f>SUM(OSRRefP22_5x_0)</f>
        <v>92629.67</v>
      </c>
      <c r="Q93" s="1"/>
      <c r="R93" s="5">
        <f t="shared" si="36"/>
        <v>8.2528513377756629E-2</v>
      </c>
      <c r="S93" s="1"/>
      <c r="T93" s="1">
        <f>SUM(OSRRefT22_5x_0)</f>
        <v>66125.03</v>
      </c>
      <c r="U93" s="1"/>
      <c r="V93" s="5">
        <f t="shared" si="37"/>
        <v>6.6582769226915042E-2</v>
      </c>
      <c r="W93" s="1"/>
      <c r="X93" s="1">
        <f t="shared" si="38"/>
        <v>26504.639999999999</v>
      </c>
      <c r="Y93" s="1"/>
      <c r="Z93" s="5">
        <f t="shared" si="39"/>
        <v>0.40082613195033712</v>
      </c>
    </row>
    <row r="94" spans="1:26" s="24" customFormat="1" hidden="1" outlineLevel="2" x14ac:dyDescent="0.25">
      <c r="A94" s="26"/>
      <c r="B94" s="11" t="str">
        <f>CONCATENATE("          ", "6382", " - ", "DISCOUNTS/MARK DOWNS")</f>
        <v xml:space="preserve">          6382 - DISCOUNTS/MARK DOWNS</v>
      </c>
      <c r="C94" s="11"/>
      <c r="D94" s="6">
        <v>31707.070000000003</v>
      </c>
      <c r="E94" s="2"/>
      <c r="F94" s="7">
        <f t="shared" si="32"/>
        <v>0.12064520366076931</v>
      </c>
      <c r="G94" s="2"/>
      <c r="H94" s="6">
        <v>16958.900000000001</v>
      </c>
      <c r="I94" s="2"/>
      <c r="J94" s="7">
        <f t="shared" si="33"/>
        <v>7.3223698487392144E-2</v>
      </c>
      <c r="K94" s="2"/>
      <c r="L94" s="6">
        <f t="shared" si="34"/>
        <v>14748.170000000002</v>
      </c>
      <c r="M94" s="2"/>
      <c r="N94" s="7">
        <f t="shared" si="35"/>
        <v>0.86964189894391741</v>
      </c>
      <c r="O94" s="11"/>
      <c r="P94" s="6">
        <v>92637.14</v>
      </c>
      <c r="Q94" s="2"/>
      <c r="R94" s="7">
        <f t="shared" si="36"/>
        <v>8.2535168783038029E-2</v>
      </c>
      <c r="S94" s="2"/>
      <c r="T94" s="6">
        <v>66158.92</v>
      </c>
      <c r="U94" s="2"/>
      <c r="V94" s="7">
        <f t="shared" si="37"/>
        <v>6.6616893824652093E-2</v>
      </c>
      <c r="W94" s="2"/>
      <c r="X94" s="6">
        <f t="shared" si="38"/>
        <v>26478.22</v>
      </c>
      <c r="Y94" s="2"/>
      <c r="Z94" s="7">
        <f t="shared" si="39"/>
        <v>0.40022146673494674</v>
      </c>
    </row>
    <row r="95" spans="1:26" s="24" customFormat="1" hidden="1" outlineLevel="2" x14ac:dyDescent="0.25">
      <c r="A95" s="26"/>
      <c r="B95" s="11" t="str">
        <f>CONCATENATE("          ", "9175", " - ", "EARNED DISCOUNTS")</f>
        <v xml:space="preserve">          9175 - EARNED DISCOUNTS</v>
      </c>
      <c r="C95" s="11"/>
      <c r="D95" s="6">
        <v>30.79</v>
      </c>
      <c r="E95" s="2"/>
      <c r="F95" s="7">
        <f t="shared" si="32"/>
        <v>1.1715575802857491E-4</v>
      </c>
      <c r="G95" s="2"/>
      <c r="H95" s="6">
        <v>-17.29</v>
      </c>
      <c r="I95" s="2"/>
      <c r="J95" s="7">
        <f t="shared" si="33"/>
        <v>-7.4653293954620294E-5</v>
      </c>
      <c r="K95" s="2"/>
      <c r="L95" s="6">
        <f t="shared" si="34"/>
        <v>48.08</v>
      </c>
      <c r="M95" s="2"/>
      <c r="N95" s="7">
        <f t="shared" si="35"/>
        <v>-2.7807981492192018</v>
      </c>
      <c r="O95" s="11"/>
      <c r="P95" s="6">
        <v>-7.47</v>
      </c>
      <c r="Q95" s="2"/>
      <c r="R95" s="7">
        <f t="shared" si="36"/>
        <v>-6.6554052813946333E-6</v>
      </c>
      <c r="S95" s="2"/>
      <c r="T95" s="6">
        <v>-33.89</v>
      </c>
      <c r="U95" s="2"/>
      <c r="V95" s="7">
        <f t="shared" si="37"/>
        <v>-3.412459773704679E-5</v>
      </c>
      <c r="W95" s="2"/>
      <c r="X95" s="6">
        <f t="shared" si="38"/>
        <v>26.42</v>
      </c>
      <c r="Y95" s="2"/>
      <c r="Z95" s="7">
        <f t="shared" si="39"/>
        <v>-0.77958099734434938</v>
      </c>
    </row>
    <row r="96" spans="1:26" s="27" customFormat="1" outlineLevel="1" collapsed="1" x14ac:dyDescent="0.25">
      <c r="A96" s="25"/>
      <c r="B96" s="13" t="str">
        <f>CONCATENATE("     ","Donations                                         ")</f>
        <v xml:space="preserve">     Donations                                         </v>
      </c>
      <c r="C96" s="13"/>
      <c r="D96" s="1">
        <f>SUM(OSRRefD22_6x_0)</f>
        <v>0</v>
      </c>
      <c r="E96" s="1"/>
      <c r="F96" s="5">
        <f t="shared" ref="F96:F102" si="40">IF(D$12=0,0,D96/D$12)</f>
        <v>0</v>
      </c>
      <c r="G96" s="1"/>
      <c r="H96" s="1">
        <f>SUM(OSRRefH22_6x_0)</f>
        <v>24.88</v>
      </c>
      <c r="I96" s="1"/>
      <c r="J96" s="5">
        <f t="shared" ref="J96:J102" si="41">IF(H$12=0,0,H96/H$12)</f>
        <v>1.0742475150901983E-4</v>
      </c>
      <c r="K96" s="1"/>
      <c r="L96" s="1">
        <f t="shared" ref="L96:L102" si="42">+D96-H96</f>
        <v>-24.88</v>
      </c>
      <c r="M96" s="1"/>
      <c r="N96" s="5">
        <f t="shared" ref="N96:N102" si="43">IF(H96=0,0,L96/H96)</f>
        <v>-1</v>
      </c>
      <c r="O96" s="13"/>
      <c r="P96" s="1">
        <f>SUM(OSRRefP22_6x_0)</f>
        <v>0</v>
      </c>
      <c r="Q96" s="1"/>
      <c r="R96" s="5">
        <f t="shared" ref="R96:R102" si="44">IF(P$12=0,0,P96/P$12)</f>
        <v>0</v>
      </c>
      <c r="S96" s="1"/>
      <c r="T96" s="1">
        <f>SUM(OSRRefT22_6x_0)</f>
        <v>124.88</v>
      </c>
      <c r="U96" s="1"/>
      <c r="V96" s="5">
        <f t="shared" ref="V96:V102" si="45">IF(T$12=0,0,T96/T$12)</f>
        <v>1.2574446047218657E-4</v>
      </c>
      <c r="W96" s="1"/>
      <c r="X96" s="1">
        <f t="shared" ref="X96:X102" si="46">+P96-T96</f>
        <v>-124.88</v>
      </c>
      <c r="Y96" s="1"/>
      <c r="Z96" s="5">
        <f t="shared" ref="Z96:Z102" si="47">IF(T96=0,0,X96/T96)</f>
        <v>-1</v>
      </c>
    </row>
    <row r="97" spans="1:26" s="24" customFormat="1" hidden="1" outlineLevel="2" x14ac:dyDescent="0.25">
      <c r="A97" s="26"/>
      <c r="B97" s="11" t="str">
        <f>CONCATENATE("          ", "6399", " - ", "DONATION-ON CAMPUS")</f>
        <v xml:space="preserve">          6399 - DONATION-ON CAMPUS</v>
      </c>
      <c r="C97" s="11"/>
      <c r="D97" s="6"/>
      <c r="E97" s="2"/>
      <c r="F97" s="7">
        <f t="shared" si="40"/>
        <v>0</v>
      </c>
      <c r="G97" s="2"/>
      <c r="H97" s="6">
        <v>24.88</v>
      </c>
      <c r="I97" s="2"/>
      <c r="J97" s="7">
        <f t="shared" si="41"/>
        <v>1.0742475150901983E-4</v>
      </c>
      <c r="K97" s="2"/>
      <c r="L97" s="6">
        <f t="shared" si="42"/>
        <v>-24.88</v>
      </c>
      <c r="M97" s="2"/>
      <c r="N97" s="7">
        <f t="shared" si="43"/>
        <v>-1</v>
      </c>
      <c r="O97" s="11"/>
      <c r="P97" s="6"/>
      <c r="Q97" s="2"/>
      <c r="R97" s="7">
        <f t="shared" si="44"/>
        <v>0</v>
      </c>
      <c r="S97" s="2"/>
      <c r="T97" s="6">
        <v>124.88</v>
      </c>
      <c r="U97" s="2"/>
      <c r="V97" s="7">
        <f t="shared" si="45"/>
        <v>1.2574446047218657E-4</v>
      </c>
      <c r="W97" s="2"/>
      <c r="X97" s="6">
        <f t="shared" si="46"/>
        <v>-124.88</v>
      </c>
      <c r="Y97" s="2"/>
      <c r="Z97" s="7">
        <f t="shared" si="47"/>
        <v>-1</v>
      </c>
    </row>
    <row r="98" spans="1:26" s="27" customFormat="1" outlineLevel="1" collapsed="1" x14ac:dyDescent="0.25">
      <c r="A98" s="25"/>
      <c r="B98" s="13" t="str">
        <f>CONCATENATE("     ","Employees' Appreciation                           ")</f>
        <v xml:space="preserve">     Employees' Appreciation                           </v>
      </c>
      <c r="C98" s="13"/>
      <c r="D98" s="1">
        <f>SUM(OSRRefD22_7x_0)</f>
        <v>60</v>
      </c>
      <c r="E98" s="1"/>
      <c r="F98" s="5">
        <f t="shared" si="40"/>
        <v>2.2829962590823302E-4</v>
      </c>
      <c r="G98" s="1"/>
      <c r="H98" s="1">
        <f>SUM(OSRRefH22_7x_0)</f>
        <v>75</v>
      </c>
      <c r="I98" s="1"/>
      <c r="J98" s="5">
        <f t="shared" si="41"/>
        <v>3.2382863196046976E-4</v>
      </c>
      <c r="K98" s="1"/>
      <c r="L98" s="1">
        <f t="shared" si="42"/>
        <v>-15</v>
      </c>
      <c r="M98" s="1"/>
      <c r="N98" s="5">
        <f t="shared" si="43"/>
        <v>-0.2</v>
      </c>
      <c r="O98" s="13"/>
      <c r="P98" s="1">
        <f>SUM(OSRRefP22_7x_0)</f>
        <v>193.91</v>
      </c>
      <c r="Q98" s="1"/>
      <c r="R98" s="5">
        <f t="shared" si="44"/>
        <v>1.7276434245183848E-4</v>
      </c>
      <c r="S98" s="1"/>
      <c r="T98" s="1">
        <f>SUM(OSRRefT22_7x_0)</f>
        <v>164.29</v>
      </c>
      <c r="U98" s="1"/>
      <c r="V98" s="5">
        <f t="shared" si="45"/>
        <v>1.6542726946649209E-4</v>
      </c>
      <c r="W98" s="1"/>
      <c r="X98" s="1">
        <f t="shared" si="46"/>
        <v>29.620000000000005</v>
      </c>
      <c r="Y98" s="1"/>
      <c r="Z98" s="5">
        <f t="shared" si="47"/>
        <v>0.18029094893176703</v>
      </c>
    </row>
    <row r="99" spans="1:26" s="24" customFormat="1" hidden="1" outlineLevel="2" x14ac:dyDescent="0.25">
      <c r="A99" s="26"/>
      <c r="B99" s="11" t="str">
        <f>CONCATENATE("          ", "6277", " - ", "EMPLOYEE APPRECIATION")</f>
        <v xml:space="preserve">          6277 - EMPLOYEE APPRECIATION</v>
      </c>
      <c r="C99" s="11"/>
      <c r="D99" s="6">
        <v>60</v>
      </c>
      <c r="E99" s="2"/>
      <c r="F99" s="7">
        <f t="shared" si="40"/>
        <v>2.2829962590823302E-4</v>
      </c>
      <c r="G99" s="2"/>
      <c r="H99" s="6">
        <v>75</v>
      </c>
      <c r="I99" s="2"/>
      <c r="J99" s="7">
        <f t="shared" si="41"/>
        <v>3.2382863196046976E-4</v>
      </c>
      <c r="K99" s="2"/>
      <c r="L99" s="6">
        <f t="shared" si="42"/>
        <v>-15</v>
      </c>
      <c r="M99" s="2"/>
      <c r="N99" s="7">
        <f t="shared" si="43"/>
        <v>-0.2</v>
      </c>
      <c r="O99" s="11"/>
      <c r="P99" s="6">
        <v>193.91</v>
      </c>
      <c r="Q99" s="2"/>
      <c r="R99" s="7">
        <f t="shared" si="44"/>
        <v>1.7276434245183848E-4</v>
      </c>
      <c r="S99" s="2"/>
      <c r="T99" s="6">
        <v>164.29</v>
      </c>
      <c r="U99" s="2"/>
      <c r="V99" s="7">
        <f t="shared" si="45"/>
        <v>1.6542726946649209E-4</v>
      </c>
      <c r="W99" s="2"/>
      <c r="X99" s="6">
        <f t="shared" si="46"/>
        <v>29.620000000000005</v>
      </c>
      <c r="Y99" s="2"/>
      <c r="Z99" s="7">
        <f t="shared" si="47"/>
        <v>0.18029094893176703</v>
      </c>
    </row>
    <row r="100" spans="1:26" s="27" customFormat="1" outlineLevel="1" collapsed="1" x14ac:dyDescent="0.25">
      <c r="A100" s="25"/>
      <c r="B100" s="13" t="str">
        <f>CONCATENATE("     ","Freight out/Postage                               ")</f>
        <v xml:space="preserve">     Freight out/Postage                               </v>
      </c>
      <c r="C100" s="13"/>
      <c r="D100" s="1">
        <f>SUM(OSRRefD22_8x_0)</f>
        <v>70.5</v>
      </c>
      <c r="E100" s="1"/>
      <c r="F100" s="5">
        <f t="shared" si="40"/>
        <v>2.682520604421738E-4</v>
      </c>
      <c r="G100" s="1"/>
      <c r="H100" s="1">
        <f>SUM(OSRRefH22_8x_0)</f>
        <v>6.16</v>
      </c>
      <c r="I100" s="1"/>
      <c r="J100" s="5">
        <f t="shared" si="41"/>
        <v>2.6597124971686584E-5</v>
      </c>
      <c r="K100" s="1"/>
      <c r="L100" s="1">
        <f t="shared" si="42"/>
        <v>64.34</v>
      </c>
      <c r="M100" s="1"/>
      <c r="N100" s="5">
        <f t="shared" si="43"/>
        <v>10.444805194805195</v>
      </c>
      <c r="O100" s="13"/>
      <c r="P100" s="1">
        <f>SUM(OSRRefP22_8x_0)</f>
        <v>70.5</v>
      </c>
      <c r="Q100" s="1"/>
      <c r="R100" s="5">
        <f t="shared" si="44"/>
        <v>6.2812057876616024E-5</v>
      </c>
      <c r="S100" s="1"/>
      <c r="T100" s="1">
        <f>SUM(OSRRefT22_8x_0)</f>
        <v>11.04</v>
      </c>
      <c r="U100" s="1"/>
      <c r="V100" s="5">
        <f t="shared" si="45"/>
        <v>1.1116422514517454E-5</v>
      </c>
      <c r="W100" s="1"/>
      <c r="X100" s="1">
        <f t="shared" si="46"/>
        <v>59.46</v>
      </c>
      <c r="Y100" s="1"/>
      <c r="Z100" s="5">
        <f t="shared" si="47"/>
        <v>5.3858695652173916</v>
      </c>
    </row>
    <row r="101" spans="1:26" s="24" customFormat="1" hidden="1" outlineLevel="2" x14ac:dyDescent="0.25">
      <c r="A101" s="26"/>
      <c r="B101" s="11" t="str">
        <f>CONCATENATE("          ", "6305", " - ", "FREIGHT OUT")</f>
        <v xml:space="preserve">          6305 - FREIGHT OUT</v>
      </c>
      <c r="C101" s="11"/>
      <c r="D101" s="6">
        <v>70</v>
      </c>
      <c r="E101" s="2"/>
      <c r="F101" s="7">
        <f t="shared" si="40"/>
        <v>2.6634956355960521E-4</v>
      </c>
      <c r="G101" s="2"/>
      <c r="H101" s="6">
        <v>6.16</v>
      </c>
      <c r="I101" s="2"/>
      <c r="J101" s="7">
        <f t="shared" si="41"/>
        <v>2.6597124971686584E-5</v>
      </c>
      <c r="K101" s="2"/>
      <c r="L101" s="6">
        <f t="shared" si="42"/>
        <v>63.84</v>
      </c>
      <c r="M101" s="2"/>
      <c r="N101" s="7">
        <f t="shared" si="43"/>
        <v>10.363636363636363</v>
      </c>
      <c r="O101" s="11"/>
      <c r="P101" s="6">
        <v>70</v>
      </c>
      <c r="Q101" s="2"/>
      <c r="R101" s="7">
        <f t="shared" si="44"/>
        <v>6.2366582288838598E-5</v>
      </c>
      <c r="S101" s="2"/>
      <c r="T101" s="6">
        <v>11.04</v>
      </c>
      <c r="U101" s="2"/>
      <c r="V101" s="7">
        <f t="shared" si="45"/>
        <v>1.1116422514517454E-5</v>
      </c>
      <c r="W101" s="2"/>
      <c r="X101" s="6">
        <f t="shared" si="46"/>
        <v>58.96</v>
      </c>
      <c r="Y101" s="2"/>
      <c r="Z101" s="7">
        <f t="shared" si="47"/>
        <v>5.3405797101449277</v>
      </c>
    </row>
    <row r="102" spans="1:26" s="24" customFormat="1" hidden="1" outlineLevel="2" x14ac:dyDescent="0.25">
      <c r="A102" s="26"/>
      <c r="B102" s="11" t="str">
        <f>CONCATENATE("          ", "6307", " - ", "POSTAGE")</f>
        <v xml:space="preserve">          6307 - POSTAGE</v>
      </c>
      <c r="C102" s="11"/>
      <c r="D102" s="6">
        <v>0.5</v>
      </c>
      <c r="E102" s="2"/>
      <c r="F102" s="7">
        <f t="shared" si="40"/>
        <v>1.9024968825686085E-6</v>
      </c>
      <c r="G102" s="2"/>
      <c r="H102" s="6"/>
      <c r="I102" s="2"/>
      <c r="J102" s="7">
        <f t="shared" si="41"/>
        <v>0</v>
      </c>
      <c r="K102" s="2"/>
      <c r="L102" s="6">
        <f t="shared" si="42"/>
        <v>0.5</v>
      </c>
      <c r="M102" s="2"/>
      <c r="N102" s="7">
        <f t="shared" si="43"/>
        <v>0</v>
      </c>
      <c r="O102" s="11"/>
      <c r="P102" s="6">
        <v>0.5</v>
      </c>
      <c r="Q102" s="2"/>
      <c r="R102" s="7">
        <f t="shared" si="44"/>
        <v>4.4547558777741861E-7</v>
      </c>
      <c r="S102" s="2"/>
      <c r="T102" s="6"/>
      <c r="U102" s="2"/>
      <c r="V102" s="7">
        <f t="shared" si="45"/>
        <v>0</v>
      </c>
      <c r="W102" s="2"/>
      <c r="X102" s="6">
        <f t="shared" si="46"/>
        <v>0.5</v>
      </c>
      <c r="Y102" s="2"/>
      <c r="Z102" s="7">
        <f t="shared" si="47"/>
        <v>0</v>
      </c>
    </row>
    <row r="103" spans="1:26" s="27" customFormat="1" outlineLevel="1" collapsed="1" x14ac:dyDescent="0.25">
      <c r="A103" s="25"/>
      <c r="B103" s="13" t="str">
        <f>CONCATENATE("     ","General                                           ")</f>
        <v xml:space="preserve">     General                                           </v>
      </c>
      <c r="C103" s="13"/>
      <c r="D103" s="1">
        <f>SUM(OSRRefD22_9x_0)</f>
        <v>0</v>
      </c>
      <c r="E103" s="1"/>
      <c r="F103" s="5">
        <f t="shared" ref="F103:F116" si="48">IF(D$12=0,0,D103/D$12)</f>
        <v>0</v>
      </c>
      <c r="G103" s="1"/>
      <c r="H103" s="1">
        <f>SUM(OSRRefH22_9x_0)</f>
        <v>0</v>
      </c>
      <c r="I103" s="1"/>
      <c r="J103" s="5">
        <f t="shared" ref="J103:J116" si="49">IF(H$12=0,0,H103/H$12)</f>
        <v>0</v>
      </c>
      <c r="K103" s="1"/>
      <c r="L103" s="1">
        <f t="shared" ref="L103:L116" si="50">+D103-H103</f>
        <v>0</v>
      </c>
      <c r="M103" s="1"/>
      <c r="N103" s="5">
        <f t="shared" ref="N103:N116" si="51">IF(H103=0,0,L103/H103)</f>
        <v>0</v>
      </c>
      <c r="O103" s="13"/>
      <c r="P103" s="1">
        <f>SUM(OSRRefP22_9x_0)</f>
        <v>0</v>
      </c>
      <c r="Q103" s="1"/>
      <c r="R103" s="5">
        <f t="shared" ref="R103:R116" si="52">IF(P$12=0,0,P103/P$12)</f>
        <v>0</v>
      </c>
      <c r="S103" s="1"/>
      <c r="T103" s="1">
        <f>SUM(OSRRefT22_9x_0)</f>
        <v>153.06</v>
      </c>
      <c r="U103" s="1"/>
      <c r="V103" s="5">
        <f t="shared" ref="V103:V116" si="53">IF(T$12=0,0,T103/T$12)</f>
        <v>1.5411953170942405E-4</v>
      </c>
      <c r="W103" s="1"/>
      <c r="X103" s="1">
        <f t="shared" ref="X103:X116" si="54">+P103-T103</f>
        <v>-153.06</v>
      </c>
      <c r="Y103" s="1"/>
      <c r="Z103" s="5">
        <f t="shared" ref="Z103:Z116" si="55">IF(T103=0,0,X103/T103)</f>
        <v>-1</v>
      </c>
    </row>
    <row r="104" spans="1:26" s="24" customFormat="1" hidden="1" outlineLevel="2" x14ac:dyDescent="0.25">
      <c r="A104" s="26"/>
      <c r="B104" s="11" t="str">
        <f>CONCATENATE("          ", "6279", " - ", "GENERAL EXPENSE")</f>
        <v xml:space="preserve">          6279 - GENERAL EXPENSE</v>
      </c>
      <c r="C104" s="11"/>
      <c r="D104" s="6"/>
      <c r="E104" s="2"/>
      <c r="F104" s="7">
        <f t="shared" si="48"/>
        <v>0</v>
      </c>
      <c r="G104" s="2"/>
      <c r="H104" s="6"/>
      <c r="I104" s="2"/>
      <c r="J104" s="7">
        <f t="shared" si="49"/>
        <v>0</v>
      </c>
      <c r="K104" s="2"/>
      <c r="L104" s="6">
        <f t="shared" si="50"/>
        <v>0</v>
      </c>
      <c r="M104" s="2"/>
      <c r="N104" s="7">
        <f t="shared" si="51"/>
        <v>0</v>
      </c>
      <c r="O104" s="11"/>
      <c r="P104" s="6"/>
      <c r="Q104" s="2"/>
      <c r="R104" s="7">
        <f t="shared" si="52"/>
        <v>0</v>
      </c>
      <c r="S104" s="2"/>
      <c r="T104" s="6">
        <v>153.06</v>
      </c>
      <c r="U104" s="2"/>
      <c r="V104" s="7">
        <f t="shared" si="53"/>
        <v>1.5411953170942405E-4</v>
      </c>
      <c r="W104" s="2"/>
      <c r="X104" s="6">
        <f t="shared" si="54"/>
        <v>-153.06</v>
      </c>
      <c r="Y104" s="2"/>
      <c r="Z104" s="7">
        <f t="shared" si="55"/>
        <v>-1</v>
      </c>
    </row>
    <row r="105" spans="1:26" s="27" customFormat="1" outlineLevel="1" collapsed="1" x14ac:dyDescent="0.25">
      <c r="A105" s="25"/>
      <c r="B105" s="13" t="str">
        <f>CONCATENATE("     ","Insurance                                         ")</f>
        <v xml:space="preserve">     Insurance                                         </v>
      </c>
      <c r="C105" s="13"/>
      <c r="D105" s="1">
        <f>SUM(OSRRefD22_10x_0)</f>
        <v>161.18</v>
      </c>
      <c r="E105" s="1"/>
      <c r="F105" s="5">
        <f t="shared" si="48"/>
        <v>6.1328889506481667E-4</v>
      </c>
      <c r="G105" s="1"/>
      <c r="H105" s="1">
        <f>SUM(OSRRefH22_10x_0)</f>
        <v>151.85</v>
      </c>
      <c r="I105" s="1"/>
      <c r="J105" s="5">
        <f t="shared" si="49"/>
        <v>6.5564503684263111E-4</v>
      </c>
      <c r="K105" s="1"/>
      <c r="L105" s="1">
        <f t="shared" si="50"/>
        <v>9.3300000000000125</v>
      </c>
      <c r="M105" s="1"/>
      <c r="N105" s="5">
        <f t="shared" si="51"/>
        <v>6.1442212709911181E-2</v>
      </c>
      <c r="O105" s="13"/>
      <c r="P105" s="1">
        <f>SUM(OSRRefP22_10x_0)</f>
        <v>644.72</v>
      </c>
      <c r="Q105" s="1"/>
      <c r="R105" s="5">
        <f t="shared" si="52"/>
        <v>5.7441404190371464E-4</v>
      </c>
      <c r="S105" s="1"/>
      <c r="T105" s="1">
        <f>SUM(OSRRefT22_10x_0)</f>
        <v>607.4</v>
      </c>
      <c r="U105" s="1"/>
      <c r="V105" s="5">
        <f t="shared" si="53"/>
        <v>6.1160462276430266E-4</v>
      </c>
      <c r="W105" s="1"/>
      <c r="X105" s="1">
        <f t="shared" si="54"/>
        <v>37.32000000000005</v>
      </c>
      <c r="Y105" s="1"/>
      <c r="Z105" s="5">
        <f t="shared" si="55"/>
        <v>6.1442212709911181E-2</v>
      </c>
    </row>
    <row r="106" spans="1:26" s="24" customFormat="1" hidden="1" outlineLevel="2" x14ac:dyDescent="0.25">
      <c r="A106" s="26"/>
      <c r="B106" s="11" t="str">
        <f>CONCATENATE("          ", "6314", " - ", "LIABILITY INSURANCE")</f>
        <v xml:space="preserve">          6314 - LIABILITY INSURANCE</v>
      </c>
      <c r="C106" s="11"/>
      <c r="D106" s="6">
        <v>161.18</v>
      </c>
      <c r="E106" s="2"/>
      <c r="F106" s="7">
        <f t="shared" si="48"/>
        <v>6.1328889506481667E-4</v>
      </c>
      <c r="G106" s="2"/>
      <c r="H106" s="6">
        <v>151.85</v>
      </c>
      <c r="I106" s="2"/>
      <c r="J106" s="7">
        <f t="shared" si="49"/>
        <v>6.5564503684263111E-4</v>
      </c>
      <c r="K106" s="2"/>
      <c r="L106" s="6">
        <f t="shared" si="50"/>
        <v>9.3300000000000125</v>
      </c>
      <c r="M106" s="2"/>
      <c r="N106" s="7">
        <f t="shared" si="51"/>
        <v>6.1442212709911181E-2</v>
      </c>
      <c r="O106" s="11"/>
      <c r="P106" s="6">
        <v>644.72</v>
      </c>
      <c r="Q106" s="2"/>
      <c r="R106" s="7">
        <f t="shared" si="52"/>
        <v>5.7441404190371464E-4</v>
      </c>
      <c r="S106" s="2"/>
      <c r="T106" s="6">
        <v>607.4</v>
      </c>
      <c r="U106" s="2"/>
      <c r="V106" s="7">
        <f t="shared" si="53"/>
        <v>6.1160462276430266E-4</v>
      </c>
      <c r="W106" s="2"/>
      <c r="X106" s="6">
        <f t="shared" si="54"/>
        <v>37.32000000000005</v>
      </c>
      <c r="Y106" s="2"/>
      <c r="Z106" s="7">
        <f t="shared" si="55"/>
        <v>6.1442212709911181E-2</v>
      </c>
    </row>
    <row r="107" spans="1:26" s="27" customFormat="1" outlineLevel="1" collapsed="1" x14ac:dyDescent="0.25">
      <c r="A107" s="25"/>
      <c r="B107" s="13" t="str">
        <f>CONCATENATE("     ","Inventory Adjustment                              ")</f>
        <v xml:space="preserve">     Inventory Adjustment                              </v>
      </c>
      <c r="C107" s="13"/>
      <c r="D107" s="1">
        <f>SUM(OSRRefD22_11x_0)</f>
        <v>3150</v>
      </c>
      <c r="E107" s="1"/>
      <c r="F107" s="5">
        <f t="shared" si="48"/>
        <v>1.1985730360182233E-2</v>
      </c>
      <c r="G107" s="1"/>
      <c r="H107" s="1">
        <f>SUM(OSRRefH22_11x_0)</f>
        <v>1300</v>
      </c>
      <c r="I107" s="1"/>
      <c r="J107" s="5">
        <f t="shared" si="49"/>
        <v>5.6130296206481425E-3</v>
      </c>
      <c r="K107" s="1"/>
      <c r="L107" s="1">
        <f t="shared" si="50"/>
        <v>1850</v>
      </c>
      <c r="M107" s="1"/>
      <c r="N107" s="5">
        <f t="shared" si="51"/>
        <v>1.4230769230769231</v>
      </c>
      <c r="O107" s="13"/>
      <c r="P107" s="1">
        <f>SUM(OSRRefP22_11x_0)</f>
        <v>12600</v>
      </c>
      <c r="Q107" s="1"/>
      <c r="R107" s="5">
        <f t="shared" si="52"/>
        <v>1.1225984811990948E-2</v>
      </c>
      <c r="S107" s="1"/>
      <c r="T107" s="1">
        <f>SUM(OSRRefT22_11x_0)</f>
        <v>5200</v>
      </c>
      <c r="U107" s="1"/>
      <c r="V107" s="5">
        <f t="shared" si="53"/>
        <v>5.2359961119103956E-3</v>
      </c>
      <c r="W107" s="1"/>
      <c r="X107" s="1">
        <f t="shared" si="54"/>
        <v>7400</v>
      </c>
      <c r="Y107" s="1"/>
      <c r="Z107" s="5">
        <f t="shared" si="55"/>
        <v>1.4230769230769231</v>
      </c>
    </row>
    <row r="108" spans="1:26" s="24" customFormat="1" hidden="1" outlineLevel="2" x14ac:dyDescent="0.25">
      <c r="A108" s="26"/>
      <c r="B108" s="11" t="str">
        <f>CONCATENATE("          ", "6408", " - ", "INVENTORY ADJUSTMENT")</f>
        <v xml:space="preserve">          6408 - INVENTORY ADJUSTMENT</v>
      </c>
      <c r="C108" s="11"/>
      <c r="D108" s="6">
        <v>3150</v>
      </c>
      <c r="E108" s="2"/>
      <c r="F108" s="7">
        <f t="shared" si="48"/>
        <v>1.1985730360182233E-2</v>
      </c>
      <c r="G108" s="2"/>
      <c r="H108" s="6">
        <v>1300</v>
      </c>
      <c r="I108" s="2"/>
      <c r="J108" s="7">
        <f t="shared" si="49"/>
        <v>5.6130296206481425E-3</v>
      </c>
      <c r="K108" s="2"/>
      <c r="L108" s="6">
        <f t="shared" si="50"/>
        <v>1850</v>
      </c>
      <c r="M108" s="2"/>
      <c r="N108" s="7">
        <f t="shared" si="51"/>
        <v>1.4230769230769231</v>
      </c>
      <c r="O108" s="11"/>
      <c r="P108" s="6">
        <v>12600</v>
      </c>
      <c r="Q108" s="2"/>
      <c r="R108" s="7">
        <f t="shared" si="52"/>
        <v>1.1225984811990948E-2</v>
      </c>
      <c r="S108" s="2"/>
      <c r="T108" s="6">
        <v>5200</v>
      </c>
      <c r="U108" s="2"/>
      <c r="V108" s="7">
        <f t="shared" si="53"/>
        <v>5.2359961119103956E-3</v>
      </c>
      <c r="W108" s="2"/>
      <c r="X108" s="6">
        <f t="shared" si="54"/>
        <v>7400</v>
      </c>
      <c r="Y108" s="2"/>
      <c r="Z108" s="7">
        <f t="shared" si="55"/>
        <v>1.4230769230769231</v>
      </c>
    </row>
    <row r="109" spans="1:26" s="27" customFormat="1" outlineLevel="1" collapsed="1" x14ac:dyDescent="0.25">
      <c r="A109" s="25"/>
      <c r="B109" s="13" t="str">
        <f>CONCATENATE("     ","Professional Services                             ")</f>
        <v xml:space="preserve">     Professional Services                             </v>
      </c>
      <c r="C109" s="13"/>
      <c r="D109" s="1">
        <f>SUM(OSRRefD22_12x_0)</f>
        <v>0</v>
      </c>
      <c r="E109" s="1"/>
      <c r="F109" s="5">
        <f t="shared" si="48"/>
        <v>0</v>
      </c>
      <c r="G109" s="1"/>
      <c r="H109" s="1">
        <f>SUM(OSRRefH22_12x_0)</f>
        <v>0</v>
      </c>
      <c r="I109" s="1"/>
      <c r="J109" s="5">
        <f t="shared" si="49"/>
        <v>0</v>
      </c>
      <c r="K109" s="1"/>
      <c r="L109" s="1">
        <f t="shared" si="50"/>
        <v>0</v>
      </c>
      <c r="M109" s="1"/>
      <c r="N109" s="5">
        <f t="shared" si="51"/>
        <v>0</v>
      </c>
      <c r="O109" s="13"/>
      <c r="P109" s="1">
        <f>SUM(OSRRefP22_12x_0)</f>
        <v>750</v>
      </c>
      <c r="Q109" s="1"/>
      <c r="R109" s="5">
        <f t="shared" si="52"/>
        <v>6.6821338166612792E-4</v>
      </c>
      <c r="S109" s="1"/>
      <c r="T109" s="1">
        <f>SUM(OSRRefT22_12x_0)</f>
        <v>750</v>
      </c>
      <c r="U109" s="1"/>
      <c r="V109" s="5">
        <f t="shared" si="53"/>
        <v>7.5519174691015319E-4</v>
      </c>
      <c r="W109" s="1"/>
      <c r="X109" s="1">
        <f t="shared" si="54"/>
        <v>0</v>
      </c>
      <c r="Y109" s="1"/>
      <c r="Z109" s="5">
        <f t="shared" si="55"/>
        <v>0</v>
      </c>
    </row>
    <row r="110" spans="1:26" s="24" customFormat="1" hidden="1" outlineLevel="2" x14ac:dyDescent="0.25">
      <c r="A110" s="26"/>
      <c r="B110" s="11" t="str">
        <f>CONCATENATE("          ", "6336", " - ", "PROFESSIONAL SERVICES")</f>
        <v xml:space="preserve">          6336 - PROFESSIONAL SERVICES</v>
      </c>
      <c r="C110" s="11"/>
      <c r="D110" s="6"/>
      <c r="E110" s="2"/>
      <c r="F110" s="7">
        <f t="shared" si="48"/>
        <v>0</v>
      </c>
      <c r="G110" s="2"/>
      <c r="H110" s="6"/>
      <c r="I110" s="2"/>
      <c r="J110" s="7">
        <f t="shared" si="49"/>
        <v>0</v>
      </c>
      <c r="K110" s="2"/>
      <c r="L110" s="6">
        <f t="shared" si="50"/>
        <v>0</v>
      </c>
      <c r="M110" s="2"/>
      <c r="N110" s="7">
        <f t="shared" si="51"/>
        <v>0</v>
      </c>
      <c r="O110" s="11"/>
      <c r="P110" s="6">
        <v>750</v>
      </c>
      <c r="Q110" s="2"/>
      <c r="R110" s="7">
        <f t="shared" si="52"/>
        <v>6.6821338166612792E-4</v>
      </c>
      <c r="S110" s="2"/>
      <c r="T110" s="6">
        <v>750</v>
      </c>
      <c r="U110" s="2"/>
      <c r="V110" s="7">
        <f t="shared" si="53"/>
        <v>7.5519174691015319E-4</v>
      </c>
      <c r="W110" s="2"/>
      <c r="X110" s="6">
        <f t="shared" si="54"/>
        <v>0</v>
      </c>
      <c r="Y110" s="2"/>
      <c r="Z110" s="7">
        <f t="shared" si="55"/>
        <v>0</v>
      </c>
    </row>
    <row r="111" spans="1:26" s="27" customFormat="1" outlineLevel="1" collapsed="1" x14ac:dyDescent="0.25">
      <c r="A111" s="25"/>
      <c r="B111" s="13" t="str">
        <f>CONCATENATE("     ","Rent                                              ")</f>
        <v xml:space="preserve">     Rent                                              </v>
      </c>
      <c r="C111" s="13"/>
      <c r="D111" s="1">
        <f>SUM(OSRRefD22_13x_0)</f>
        <v>6900</v>
      </c>
      <c r="E111" s="1"/>
      <c r="F111" s="5">
        <f t="shared" si="48"/>
        <v>2.6254456979446797E-2</v>
      </c>
      <c r="G111" s="1"/>
      <c r="H111" s="1">
        <f>SUM(OSRRefH22_13x_0)</f>
        <v>6900</v>
      </c>
      <c r="I111" s="1"/>
      <c r="J111" s="5">
        <f t="shared" si="49"/>
        <v>2.9792234140363218E-2</v>
      </c>
      <c r="K111" s="1"/>
      <c r="L111" s="1">
        <f t="shared" si="50"/>
        <v>0</v>
      </c>
      <c r="M111" s="1"/>
      <c r="N111" s="5">
        <f t="shared" si="51"/>
        <v>0</v>
      </c>
      <c r="O111" s="13"/>
      <c r="P111" s="1">
        <f>SUM(OSRRefP22_13x_0)</f>
        <v>27600</v>
      </c>
      <c r="Q111" s="1"/>
      <c r="R111" s="5">
        <f t="shared" si="52"/>
        <v>2.4590252445313508E-2</v>
      </c>
      <c r="S111" s="1"/>
      <c r="T111" s="1">
        <f>SUM(OSRRefT22_13x_0)</f>
        <v>27600</v>
      </c>
      <c r="U111" s="1"/>
      <c r="V111" s="5">
        <f t="shared" si="53"/>
        <v>2.7791056286293636E-2</v>
      </c>
      <c r="W111" s="1"/>
      <c r="X111" s="1">
        <f t="shared" si="54"/>
        <v>0</v>
      </c>
      <c r="Y111" s="1"/>
      <c r="Z111" s="5">
        <f t="shared" si="55"/>
        <v>0</v>
      </c>
    </row>
    <row r="112" spans="1:26" s="24" customFormat="1" hidden="1" outlineLevel="2" x14ac:dyDescent="0.25">
      <c r="A112" s="26"/>
      <c r="B112" s="11" t="str">
        <f>CONCATENATE("          ", "6273", " - ", "RENT")</f>
        <v xml:space="preserve">          6273 - RENT</v>
      </c>
      <c r="C112" s="11"/>
      <c r="D112" s="6">
        <v>6900</v>
      </c>
      <c r="E112" s="2"/>
      <c r="F112" s="7">
        <f t="shared" si="48"/>
        <v>2.6254456979446797E-2</v>
      </c>
      <c r="G112" s="2"/>
      <c r="H112" s="6">
        <v>6900</v>
      </c>
      <c r="I112" s="2"/>
      <c r="J112" s="7">
        <f t="shared" si="49"/>
        <v>2.9792234140363218E-2</v>
      </c>
      <c r="K112" s="2"/>
      <c r="L112" s="6">
        <f t="shared" si="50"/>
        <v>0</v>
      </c>
      <c r="M112" s="2"/>
      <c r="N112" s="7">
        <f t="shared" si="51"/>
        <v>0</v>
      </c>
      <c r="O112" s="11"/>
      <c r="P112" s="6">
        <v>27600</v>
      </c>
      <c r="Q112" s="2"/>
      <c r="R112" s="7">
        <f t="shared" si="52"/>
        <v>2.4590252445313508E-2</v>
      </c>
      <c r="S112" s="2"/>
      <c r="T112" s="6">
        <v>27600</v>
      </c>
      <c r="U112" s="2"/>
      <c r="V112" s="7">
        <f t="shared" si="53"/>
        <v>2.7791056286293636E-2</v>
      </c>
      <c r="W112" s="2"/>
      <c r="X112" s="6">
        <f t="shared" si="54"/>
        <v>0</v>
      </c>
      <c r="Y112" s="2"/>
      <c r="Z112" s="7">
        <f t="shared" si="55"/>
        <v>0</v>
      </c>
    </row>
    <row r="113" spans="1:26" s="27" customFormat="1" outlineLevel="1" collapsed="1" x14ac:dyDescent="0.25">
      <c r="A113" s="25"/>
      <c r="B113" s="13" t="str">
        <f>CONCATENATE("     ","Repair and Maintenance                            ")</f>
        <v xml:space="preserve">     Repair and Maintenance                            </v>
      </c>
      <c r="C113" s="13"/>
      <c r="D113" s="1">
        <f>SUM(OSRRefD22_14x_0)</f>
        <v>104.28999999999999</v>
      </c>
      <c r="E113" s="1"/>
      <c r="F113" s="5">
        <f t="shared" si="48"/>
        <v>3.9682279976616032E-4</v>
      </c>
      <c r="G113" s="1"/>
      <c r="H113" s="1">
        <f>SUM(OSRRefH22_14x_0)</f>
        <v>22.09</v>
      </c>
      <c r="I113" s="1"/>
      <c r="J113" s="5">
        <f t="shared" si="49"/>
        <v>9.5378326400090353E-5</v>
      </c>
      <c r="K113" s="1"/>
      <c r="L113" s="1">
        <f t="shared" si="50"/>
        <v>82.199999999999989</v>
      </c>
      <c r="M113" s="1"/>
      <c r="N113" s="5">
        <f t="shared" si="51"/>
        <v>3.7211407876867355</v>
      </c>
      <c r="O113" s="13"/>
      <c r="P113" s="1">
        <f>SUM(OSRRefP22_14x_0)</f>
        <v>104.28999999999999</v>
      </c>
      <c r="Q113" s="1"/>
      <c r="R113" s="5">
        <f t="shared" si="52"/>
        <v>9.2917298098613968E-5</v>
      </c>
      <c r="S113" s="1"/>
      <c r="T113" s="1">
        <f>SUM(OSRRefT22_14x_0)</f>
        <v>670.02</v>
      </c>
      <c r="U113" s="1"/>
      <c r="V113" s="5">
        <f t="shared" si="53"/>
        <v>6.7465809901965442E-4</v>
      </c>
      <c r="W113" s="1"/>
      <c r="X113" s="1">
        <f t="shared" si="54"/>
        <v>-565.73</v>
      </c>
      <c r="Y113" s="1"/>
      <c r="Z113" s="5">
        <f t="shared" si="55"/>
        <v>-0.84434792991253993</v>
      </c>
    </row>
    <row r="114" spans="1:26" s="24" customFormat="1" hidden="1" outlineLevel="2" x14ac:dyDescent="0.25">
      <c r="A114" s="26"/>
      <c r="B114" s="11" t="str">
        <f>CONCATENATE("          ", "6371", " - ", "COMPUTER SOFTWARE MAINTENANCE")</f>
        <v xml:space="preserve">          6371 - COMPUTER SOFTWARE MAINTENANCE</v>
      </c>
      <c r="C114" s="11"/>
      <c r="D114" s="6"/>
      <c r="E114" s="2"/>
      <c r="F114" s="7">
        <f t="shared" si="48"/>
        <v>0</v>
      </c>
      <c r="G114" s="2"/>
      <c r="H114" s="6"/>
      <c r="I114" s="2"/>
      <c r="J114" s="7">
        <f t="shared" si="49"/>
        <v>0</v>
      </c>
      <c r="K114" s="2"/>
      <c r="L114" s="6">
        <f t="shared" si="50"/>
        <v>0</v>
      </c>
      <c r="M114" s="2"/>
      <c r="N114" s="7">
        <f t="shared" si="51"/>
        <v>0</v>
      </c>
      <c r="O114" s="11"/>
      <c r="P114" s="6"/>
      <c r="Q114" s="2"/>
      <c r="R114" s="7">
        <f t="shared" si="52"/>
        <v>0</v>
      </c>
      <c r="S114" s="2"/>
      <c r="T114" s="6">
        <v>186.58</v>
      </c>
      <c r="U114" s="2"/>
      <c r="V114" s="7">
        <f t="shared" si="53"/>
        <v>1.8787156818466185E-4</v>
      </c>
      <c r="W114" s="2"/>
      <c r="X114" s="6">
        <f t="shared" si="54"/>
        <v>-186.58</v>
      </c>
      <c r="Y114" s="2"/>
      <c r="Z114" s="7">
        <f t="shared" si="55"/>
        <v>-1</v>
      </c>
    </row>
    <row r="115" spans="1:26" s="24" customFormat="1" hidden="1" outlineLevel="2" x14ac:dyDescent="0.25">
      <c r="A115" s="26"/>
      <c r="B115" s="11" t="str">
        <f>CONCATENATE("          ", "6373", " - ", "MAINTENANCE CONTRACTS")</f>
        <v xml:space="preserve">          6373 - MAINTENANCE CONTRACTS</v>
      </c>
      <c r="C115" s="11"/>
      <c r="D115" s="6">
        <v>45.65</v>
      </c>
      <c r="E115" s="2"/>
      <c r="F115" s="7">
        <f t="shared" si="48"/>
        <v>1.7369796537851395E-4</v>
      </c>
      <c r="G115" s="2"/>
      <c r="H115" s="6"/>
      <c r="I115" s="2"/>
      <c r="J115" s="7">
        <f t="shared" si="49"/>
        <v>0</v>
      </c>
      <c r="K115" s="2"/>
      <c r="L115" s="6">
        <f t="shared" si="50"/>
        <v>45.65</v>
      </c>
      <c r="M115" s="2"/>
      <c r="N115" s="7">
        <f t="shared" si="51"/>
        <v>0</v>
      </c>
      <c r="O115" s="11"/>
      <c r="P115" s="6">
        <v>45.65</v>
      </c>
      <c r="Q115" s="2"/>
      <c r="R115" s="7">
        <f t="shared" si="52"/>
        <v>4.0671921164078315E-5</v>
      </c>
      <c r="S115" s="2"/>
      <c r="T115" s="6">
        <v>44.98</v>
      </c>
      <c r="U115" s="2"/>
      <c r="V115" s="7">
        <f t="shared" si="53"/>
        <v>4.5291366368024918E-5</v>
      </c>
      <c r="W115" s="2"/>
      <c r="X115" s="6">
        <f t="shared" si="54"/>
        <v>0.67000000000000171</v>
      </c>
      <c r="Y115" s="2"/>
      <c r="Z115" s="7">
        <f t="shared" si="55"/>
        <v>1.4895509115162334E-2</v>
      </c>
    </row>
    <row r="116" spans="1:26" s="24" customFormat="1" hidden="1" outlineLevel="2" x14ac:dyDescent="0.25">
      <c r="A116" s="26"/>
      <c r="B116" s="11" t="str">
        <f>CONCATENATE("          ", "6375", " - ", "OUTSIDE REPAIRS &amp; MAINTENANCE")</f>
        <v xml:space="preserve">          6375 - OUTSIDE REPAIRS &amp; MAINTENANCE</v>
      </c>
      <c r="C116" s="11"/>
      <c r="D116" s="6">
        <v>58.64</v>
      </c>
      <c r="E116" s="2"/>
      <c r="F116" s="7">
        <f t="shared" si="48"/>
        <v>2.2312483438764641E-4</v>
      </c>
      <c r="G116" s="2"/>
      <c r="H116" s="6">
        <v>22.09</v>
      </c>
      <c r="I116" s="2"/>
      <c r="J116" s="7">
        <f t="shared" si="49"/>
        <v>9.5378326400090353E-5</v>
      </c>
      <c r="K116" s="2"/>
      <c r="L116" s="6">
        <f t="shared" si="50"/>
        <v>36.549999999999997</v>
      </c>
      <c r="M116" s="2"/>
      <c r="N116" s="7">
        <f t="shared" si="51"/>
        <v>1.6545948392937979</v>
      </c>
      <c r="O116" s="11"/>
      <c r="P116" s="6">
        <v>58.64</v>
      </c>
      <c r="Q116" s="2"/>
      <c r="R116" s="7">
        <f t="shared" si="52"/>
        <v>5.2245376934535653E-5</v>
      </c>
      <c r="S116" s="2"/>
      <c r="T116" s="6">
        <v>438.46</v>
      </c>
      <c r="U116" s="2"/>
      <c r="V116" s="7">
        <f t="shared" si="53"/>
        <v>4.4149516446696769E-4</v>
      </c>
      <c r="W116" s="2"/>
      <c r="X116" s="6">
        <f t="shared" si="54"/>
        <v>-379.82</v>
      </c>
      <c r="Y116" s="2"/>
      <c r="Z116" s="7">
        <f t="shared" si="55"/>
        <v>-0.86625917985677148</v>
      </c>
    </row>
    <row r="117" spans="1:26" s="27" customFormat="1" outlineLevel="1" collapsed="1" x14ac:dyDescent="0.25">
      <c r="A117" s="25"/>
      <c r="B117" s="13" t="str">
        <f>CONCATENATE("     ","Royalty &amp; Commissions                             ")</f>
        <v xml:space="preserve">     Royalty &amp; Commissions                             </v>
      </c>
      <c r="C117" s="13"/>
      <c r="D117" s="1">
        <f>SUM(OSRRefD22_15x_0)</f>
        <v>882.02</v>
      </c>
      <c r="E117" s="1"/>
      <c r="F117" s="5">
        <f t="shared" ref="F117:F119" si="56">IF(D$12=0,0,D117/D$12)</f>
        <v>3.3560806007263281E-3</v>
      </c>
      <c r="G117" s="1"/>
      <c r="H117" s="1">
        <f>SUM(OSRRefH22_15x_0)</f>
        <v>16936.920000000002</v>
      </c>
      <c r="I117" s="1"/>
      <c r="J117" s="5">
        <f t="shared" ref="J117:J119" si="57">IF(H$12=0,0,H117/H$12)</f>
        <v>7.312879510965227E-2</v>
      </c>
      <c r="K117" s="1"/>
      <c r="L117" s="1">
        <f t="shared" ref="L117:L119" si="58">+D117-H117</f>
        <v>-16054.900000000001</v>
      </c>
      <c r="M117" s="1"/>
      <c r="N117" s="5">
        <f t="shared" ref="N117:N119" si="59">IF(H117=0,0,L117/H117)</f>
        <v>-0.94792323515727772</v>
      </c>
      <c r="O117" s="13"/>
      <c r="P117" s="1">
        <f>SUM(OSRRefP22_15x_0)</f>
        <v>5864.84</v>
      </c>
      <c r="Q117" s="1"/>
      <c r="R117" s="5">
        <f t="shared" ref="R117:R119" si="60">IF(P$12=0,0,P117/P$12)</f>
        <v>5.2252860924410314E-3</v>
      </c>
      <c r="S117" s="1"/>
      <c r="T117" s="1">
        <f>SUM(OSRRefT22_15x_0)</f>
        <v>24143.39</v>
      </c>
      <c r="U117" s="1"/>
      <c r="V117" s="5">
        <f t="shared" ref="V117:V119" si="61">IF(T$12=0,0,T117/T$12)</f>
        <v>2.4310518493910832E-2</v>
      </c>
      <c r="W117" s="1"/>
      <c r="X117" s="1">
        <f t="shared" ref="X117:X119" si="62">+P117-T117</f>
        <v>-18278.55</v>
      </c>
      <c r="Y117" s="1"/>
      <c r="Z117" s="5">
        <f t="shared" ref="Z117:Z119" si="63">IF(T117=0,0,X117/T117)</f>
        <v>-0.75708299455875916</v>
      </c>
    </row>
    <row r="118" spans="1:26" s="24" customFormat="1" hidden="1" outlineLevel="2" x14ac:dyDescent="0.25">
      <c r="A118" s="26"/>
      <c r="B118" s="11" t="str">
        <f>CONCATENATE("          ", "6253", " - ", "ROYALTY DUE ATHLETICS-LRG")</f>
        <v xml:space="preserve">          6253 - ROYALTY DUE ATHLETICS-LRG</v>
      </c>
      <c r="C118" s="11"/>
      <c r="D118" s="6"/>
      <c r="E118" s="2"/>
      <c r="F118" s="7">
        <f t="shared" si="56"/>
        <v>0</v>
      </c>
      <c r="G118" s="2"/>
      <c r="H118" s="6">
        <v>16349.030000000002</v>
      </c>
      <c r="I118" s="2"/>
      <c r="J118" s="7">
        <f t="shared" si="57"/>
        <v>7.0590453583742399E-2</v>
      </c>
      <c r="K118" s="2"/>
      <c r="L118" s="6">
        <f t="shared" si="58"/>
        <v>-16349.030000000002</v>
      </c>
      <c r="M118" s="2"/>
      <c r="N118" s="7">
        <f t="shared" si="59"/>
        <v>-1</v>
      </c>
      <c r="O118" s="11"/>
      <c r="P118" s="6">
        <v>4366.95</v>
      </c>
      <c r="Q118" s="2"/>
      <c r="R118" s="7">
        <f t="shared" si="60"/>
        <v>3.8907392360891962E-3</v>
      </c>
      <c r="S118" s="2"/>
      <c r="T118" s="6">
        <v>22994.42</v>
      </c>
      <c r="U118" s="2"/>
      <c r="V118" s="7">
        <f t="shared" si="61"/>
        <v>2.3153594945314351E-2</v>
      </c>
      <c r="W118" s="2"/>
      <c r="X118" s="6">
        <f t="shared" si="62"/>
        <v>-18627.469999999998</v>
      </c>
      <c r="Y118" s="2"/>
      <c r="Z118" s="7">
        <f t="shared" si="63"/>
        <v>-0.81008653403738817</v>
      </c>
    </row>
    <row r="119" spans="1:26" s="24" customFormat="1" hidden="1" outlineLevel="2" x14ac:dyDescent="0.25">
      <c r="A119" s="26"/>
      <c r="B119" s="11" t="str">
        <f>CONCATENATE("          ", "6254", " - ", "ROYALTY &amp; COMMISSIONS")</f>
        <v xml:space="preserve">          6254 - ROYALTY &amp; COMMISSIONS</v>
      </c>
      <c r="C119" s="11"/>
      <c r="D119" s="6">
        <v>882.02</v>
      </c>
      <c r="E119" s="2"/>
      <c r="F119" s="7">
        <f t="shared" si="56"/>
        <v>3.3560806007263281E-3</v>
      </c>
      <c r="G119" s="2"/>
      <c r="H119" s="6">
        <v>587.89</v>
      </c>
      <c r="I119" s="2"/>
      <c r="J119" s="7">
        <f t="shared" si="57"/>
        <v>2.5383415259098742E-3</v>
      </c>
      <c r="K119" s="2"/>
      <c r="L119" s="6">
        <f t="shared" si="58"/>
        <v>294.13</v>
      </c>
      <c r="M119" s="2"/>
      <c r="N119" s="7">
        <f t="shared" si="59"/>
        <v>0.50031468471993057</v>
      </c>
      <c r="O119" s="11"/>
      <c r="P119" s="6">
        <v>1497.89</v>
      </c>
      <c r="Q119" s="2"/>
      <c r="R119" s="7">
        <f t="shared" si="60"/>
        <v>1.3345468563518352E-3</v>
      </c>
      <c r="S119" s="2"/>
      <c r="T119" s="6">
        <v>1148.97</v>
      </c>
      <c r="U119" s="2"/>
      <c r="V119" s="7">
        <f t="shared" si="61"/>
        <v>1.1569235485964784E-3</v>
      </c>
      <c r="W119" s="2"/>
      <c r="X119" s="6">
        <f t="shared" si="62"/>
        <v>348.92000000000007</v>
      </c>
      <c r="Y119" s="2"/>
      <c r="Z119" s="7">
        <f t="shared" si="63"/>
        <v>0.30368068792048536</v>
      </c>
    </row>
    <row r="120" spans="1:26" s="27" customFormat="1" outlineLevel="1" collapsed="1" x14ac:dyDescent="0.25">
      <c r="A120" s="25"/>
      <c r="B120" s="13" t="str">
        <f>CONCATENATE("     ","Services                                          ")</f>
        <v xml:space="preserve">     Services                                          </v>
      </c>
      <c r="C120" s="13"/>
      <c r="D120" s="1">
        <f>SUM(OSRRefD22_16x_0)</f>
        <v>914.53</v>
      </c>
      <c r="E120" s="1"/>
      <c r="F120" s="5">
        <f t="shared" ref="F120:F123" si="64">IF(D$12=0,0,D120/D$12)</f>
        <v>3.4797809480309389E-3</v>
      </c>
      <c r="G120" s="1"/>
      <c r="H120" s="1">
        <f>SUM(OSRRefH22_16x_0)</f>
        <v>216.73</v>
      </c>
      <c r="I120" s="1"/>
      <c r="J120" s="5">
        <f t="shared" ref="J120:J123" si="65">IF(H$12=0,0,H120/H$12)</f>
        <v>9.3577839206390138E-4</v>
      </c>
      <c r="K120" s="1"/>
      <c r="L120" s="1">
        <f t="shared" ref="L120:L123" si="66">+D120-H120</f>
        <v>697.8</v>
      </c>
      <c r="M120" s="1"/>
      <c r="N120" s="5">
        <f t="shared" ref="N120:N123" si="67">IF(H120=0,0,L120/H120)</f>
        <v>3.2196742490656578</v>
      </c>
      <c r="O120" s="13"/>
      <c r="P120" s="1">
        <f>SUM(OSRRefP22_16x_0)</f>
        <v>1638.6399999999999</v>
      </c>
      <c r="Q120" s="1"/>
      <c r="R120" s="5">
        <f t="shared" ref="R120:R123" si="68">IF(P$12=0,0,P120/P$12)</f>
        <v>1.4599482343111783E-3</v>
      </c>
      <c r="S120" s="1"/>
      <c r="T120" s="1">
        <f>SUM(OSRRefT22_16x_0)</f>
        <v>879.74999999999989</v>
      </c>
      <c r="U120" s="1"/>
      <c r="V120" s="5">
        <f t="shared" ref="V120:V123" si="69">IF(T$12=0,0,T120/T$12)</f>
        <v>8.8583991912560953E-4</v>
      </c>
      <c r="W120" s="1"/>
      <c r="X120" s="1">
        <f t="shared" ref="X120:X123" si="70">+P120-T120</f>
        <v>758.89</v>
      </c>
      <c r="Y120" s="1"/>
      <c r="Z120" s="5">
        <f t="shared" ref="Z120:Z123" si="71">IF(T120=0,0,X120/T120)</f>
        <v>0.8626200625177608</v>
      </c>
    </row>
    <row r="121" spans="1:26" s="24" customFormat="1" hidden="1" outlineLevel="2" x14ac:dyDescent="0.25">
      <c r="A121" s="26"/>
      <c r="B121" s="11" t="str">
        <f>CONCATENATE("          ", "6283", " - ", "PLANT SERVICE")</f>
        <v xml:space="preserve">          6283 - PLANT SERVICE</v>
      </c>
      <c r="C121" s="11"/>
      <c r="D121" s="6"/>
      <c r="E121" s="2"/>
      <c r="F121" s="7">
        <f t="shared" si="64"/>
        <v>0</v>
      </c>
      <c r="G121" s="2"/>
      <c r="H121" s="6">
        <v>56</v>
      </c>
      <c r="I121" s="2"/>
      <c r="J121" s="7">
        <f t="shared" si="65"/>
        <v>2.4179204519715074E-4</v>
      </c>
      <c r="K121" s="2"/>
      <c r="L121" s="6">
        <f t="shared" si="66"/>
        <v>-56</v>
      </c>
      <c r="M121" s="2"/>
      <c r="N121" s="7">
        <f t="shared" si="67"/>
        <v>-1</v>
      </c>
      <c r="O121" s="11"/>
      <c r="P121" s="6">
        <v>178.65</v>
      </c>
      <c r="Q121" s="2"/>
      <c r="R121" s="7">
        <f t="shared" si="68"/>
        <v>1.5916842751287168E-4</v>
      </c>
      <c r="S121" s="2"/>
      <c r="T121" s="6">
        <v>224</v>
      </c>
      <c r="U121" s="2"/>
      <c r="V121" s="7">
        <f t="shared" si="69"/>
        <v>2.2555060174383242E-4</v>
      </c>
      <c r="W121" s="2"/>
      <c r="X121" s="6">
        <f t="shared" si="70"/>
        <v>-45.349999999999994</v>
      </c>
      <c r="Y121" s="2"/>
      <c r="Z121" s="7">
        <f t="shared" si="71"/>
        <v>-0.20245535714285712</v>
      </c>
    </row>
    <row r="122" spans="1:26" s="24" customFormat="1" hidden="1" outlineLevel="2" x14ac:dyDescent="0.25">
      <c r="A122" s="26"/>
      <c r="B122" s="11" t="str">
        <f>CONCATENATE("          ", "6284", " - ", "TRASH REMOVAL EXPENSE")</f>
        <v xml:space="preserve">          6284 - TRASH REMOVAL EXPENSE</v>
      </c>
      <c r="C122" s="11"/>
      <c r="D122" s="6">
        <v>134.82</v>
      </c>
      <c r="E122" s="2"/>
      <c r="F122" s="7">
        <f t="shared" si="64"/>
        <v>5.1298925941579954E-4</v>
      </c>
      <c r="G122" s="2"/>
      <c r="H122" s="6">
        <v>121.46</v>
      </c>
      <c r="I122" s="2"/>
      <c r="J122" s="7">
        <f t="shared" si="65"/>
        <v>5.2442967517224871E-4</v>
      </c>
      <c r="K122" s="2"/>
      <c r="L122" s="6">
        <f t="shared" si="66"/>
        <v>13.36</v>
      </c>
      <c r="M122" s="2"/>
      <c r="N122" s="7">
        <f t="shared" si="67"/>
        <v>0.10999506010209123</v>
      </c>
      <c r="O122" s="11"/>
      <c r="P122" s="6">
        <v>539.28</v>
      </c>
      <c r="Q122" s="2"/>
      <c r="R122" s="7">
        <f t="shared" si="68"/>
        <v>4.8047214995321257E-4</v>
      </c>
      <c r="S122" s="2"/>
      <c r="T122" s="6">
        <v>485.84</v>
      </c>
      <c r="U122" s="2"/>
      <c r="V122" s="7">
        <f t="shared" si="69"/>
        <v>4.8920314442510503E-4</v>
      </c>
      <c r="W122" s="2"/>
      <c r="X122" s="6">
        <f t="shared" si="70"/>
        <v>53.44</v>
      </c>
      <c r="Y122" s="2"/>
      <c r="Z122" s="7">
        <f t="shared" si="71"/>
        <v>0.10999506010209123</v>
      </c>
    </row>
    <row r="123" spans="1:26" s="24" customFormat="1" hidden="1" outlineLevel="2" x14ac:dyDescent="0.25">
      <c r="A123" s="26"/>
      <c r="B123" s="11" t="str">
        <f>CONCATENATE("          ", "6285", " - ", "JANITORIAL SERVICES")</f>
        <v xml:space="preserve">          6285 - JANITORIAL SERVICES</v>
      </c>
      <c r="C123" s="11"/>
      <c r="D123" s="6">
        <v>779.71</v>
      </c>
      <c r="E123" s="2"/>
      <c r="F123" s="7">
        <f t="shared" si="64"/>
        <v>2.9667916886151396E-3</v>
      </c>
      <c r="G123" s="2"/>
      <c r="H123" s="6">
        <v>39.270000000000003</v>
      </c>
      <c r="I123" s="2"/>
      <c r="J123" s="7">
        <f t="shared" si="65"/>
        <v>1.6955667169450198E-4</v>
      </c>
      <c r="K123" s="2"/>
      <c r="L123" s="6">
        <f t="shared" si="66"/>
        <v>740.44</v>
      </c>
      <c r="M123" s="2"/>
      <c r="N123" s="7">
        <f t="shared" si="67"/>
        <v>18.855105678635091</v>
      </c>
      <c r="O123" s="11"/>
      <c r="P123" s="6">
        <v>920.71</v>
      </c>
      <c r="Q123" s="2"/>
      <c r="R123" s="7">
        <f t="shared" si="68"/>
        <v>8.203076568450942E-4</v>
      </c>
      <c r="S123" s="2"/>
      <c r="T123" s="6">
        <v>169.91</v>
      </c>
      <c r="U123" s="2"/>
      <c r="V123" s="7">
        <f t="shared" si="69"/>
        <v>1.7108617295667216E-4</v>
      </c>
      <c r="W123" s="2"/>
      <c r="X123" s="6">
        <f t="shared" si="70"/>
        <v>750.80000000000007</v>
      </c>
      <c r="Y123" s="2"/>
      <c r="Z123" s="7">
        <f t="shared" si="71"/>
        <v>4.4188099582131724</v>
      </c>
    </row>
    <row r="124" spans="1:26" s="27" customFormat="1" outlineLevel="1" collapsed="1" x14ac:dyDescent="0.25">
      <c r="A124" s="25"/>
      <c r="B124" s="13" t="str">
        <f>CONCATENATE("     ","Subscriptions &amp; Dues                              ")</f>
        <v xml:space="preserve">     Subscriptions &amp; Dues                              </v>
      </c>
      <c r="C124" s="13"/>
      <c r="D124" s="1">
        <f>SUM(OSRRefD22_17x_0)</f>
        <v>75</v>
      </c>
      <c r="E124" s="1"/>
      <c r="F124" s="5">
        <f t="shared" ref="F124:F131" si="72">IF(D$12=0,0,D124/D$12)</f>
        <v>2.8537453238529126E-4</v>
      </c>
      <c r="G124" s="1"/>
      <c r="H124" s="1">
        <f>SUM(OSRRefH22_17x_0)</f>
        <v>204.98</v>
      </c>
      <c r="I124" s="1"/>
      <c r="J124" s="5">
        <f t="shared" ref="J124:J131" si="73">IF(H$12=0,0,H124/H$12)</f>
        <v>8.8504523972342784E-4</v>
      </c>
      <c r="K124" s="1"/>
      <c r="L124" s="1">
        <f t="shared" ref="L124:L131" si="74">+D124-H124</f>
        <v>-129.97999999999999</v>
      </c>
      <c r="M124" s="1"/>
      <c r="N124" s="5">
        <f t="shared" ref="N124:N131" si="75">IF(H124=0,0,L124/H124)</f>
        <v>-0.6341106449409698</v>
      </c>
      <c r="O124" s="13"/>
      <c r="P124" s="1">
        <f>SUM(OSRRefP22_17x_0)</f>
        <v>385.06</v>
      </c>
      <c r="Q124" s="1"/>
      <c r="R124" s="5">
        <f t="shared" ref="R124:R131" si="76">IF(P$12=0,0,P124/P$12)</f>
        <v>3.430696596591456E-4</v>
      </c>
      <c r="S124" s="1"/>
      <c r="T124" s="1">
        <f>SUM(OSRRefT22_17x_0)</f>
        <v>953.42</v>
      </c>
      <c r="U124" s="1"/>
      <c r="V124" s="5">
        <f t="shared" ref="V124:V131" si="77">IF(T$12=0,0,T124/T$12)</f>
        <v>9.6001988711877091E-4</v>
      </c>
      <c r="W124" s="1"/>
      <c r="X124" s="1">
        <f t="shared" ref="X124:X131" si="78">+P124-T124</f>
        <v>-568.3599999999999</v>
      </c>
      <c r="Y124" s="1"/>
      <c r="Z124" s="5">
        <f t="shared" ref="Z124:Z131" si="79">IF(T124=0,0,X124/T124)</f>
        <v>-0.59612762476138526</v>
      </c>
    </row>
    <row r="125" spans="1:26" s="24" customFormat="1" hidden="1" outlineLevel="2" x14ac:dyDescent="0.25">
      <c r="A125" s="26"/>
      <c r="B125" s="11" t="str">
        <f>CONCATENATE("          ", "6275", " - ", "SUBSCRIPTIONS")</f>
        <v xml:space="preserve">          6275 - SUBSCRIPTIONS</v>
      </c>
      <c r="C125" s="11"/>
      <c r="D125" s="6">
        <v>75</v>
      </c>
      <c r="E125" s="2"/>
      <c r="F125" s="7">
        <f t="shared" si="72"/>
        <v>2.8537453238529126E-4</v>
      </c>
      <c r="G125" s="2"/>
      <c r="H125" s="6">
        <v>204.98</v>
      </c>
      <c r="I125" s="2"/>
      <c r="J125" s="7">
        <f t="shared" si="73"/>
        <v>8.8504523972342784E-4</v>
      </c>
      <c r="K125" s="2"/>
      <c r="L125" s="6">
        <f t="shared" si="74"/>
        <v>-129.97999999999999</v>
      </c>
      <c r="M125" s="2"/>
      <c r="N125" s="7">
        <f t="shared" si="75"/>
        <v>-0.6341106449409698</v>
      </c>
      <c r="O125" s="11"/>
      <c r="P125" s="6">
        <v>385.06</v>
      </c>
      <c r="Q125" s="2"/>
      <c r="R125" s="7">
        <f t="shared" si="76"/>
        <v>3.430696596591456E-4</v>
      </c>
      <c r="S125" s="2"/>
      <c r="T125" s="6">
        <v>953.42</v>
      </c>
      <c r="U125" s="2"/>
      <c r="V125" s="7">
        <f t="shared" si="77"/>
        <v>9.6001988711877091E-4</v>
      </c>
      <c r="W125" s="2"/>
      <c r="X125" s="6">
        <f t="shared" si="78"/>
        <v>-568.3599999999999</v>
      </c>
      <c r="Y125" s="2"/>
      <c r="Z125" s="7">
        <f t="shared" si="79"/>
        <v>-0.59612762476138526</v>
      </c>
    </row>
    <row r="126" spans="1:26" s="27" customFormat="1" outlineLevel="1" collapsed="1" x14ac:dyDescent="0.25">
      <c r="A126" s="25"/>
      <c r="B126" s="13" t="str">
        <f>CONCATENATE("     ","Supplies                                          ")</f>
        <v xml:space="preserve">     Supplies                                          </v>
      </c>
      <c r="C126" s="13"/>
      <c r="D126" s="1">
        <f>SUM(OSRRefD22_18x_0)</f>
        <v>627.19999999999993</v>
      </c>
      <c r="E126" s="1"/>
      <c r="F126" s="5">
        <f t="shared" si="72"/>
        <v>2.3864920894940624E-3</v>
      </c>
      <c r="G126" s="1"/>
      <c r="H126" s="1">
        <f>SUM(OSRRefH22_18x_0)</f>
        <v>974.1400000000001</v>
      </c>
      <c r="I126" s="1"/>
      <c r="J126" s="5">
        <f t="shared" si="73"/>
        <v>4.2060589805062937E-3</v>
      </c>
      <c r="K126" s="1"/>
      <c r="L126" s="1">
        <f t="shared" si="74"/>
        <v>-346.94000000000017</v>
      </c>
      <c r="M126" s="1"/>
      <c r="N126" s="5">
        <f t="shared" si="75"/>
        <v>-0.35615004003531331</v>
      </c>
      <c r="O126" s="13"/>
      <c r="P126" s="1">
        <f>SUM(OSRRefP22_18x_0)</f>
        <v>3348.34</v>
      </c>
      <c r="Q126" s="1"/>
      <c r="R126" s="5">
        <f t="shared" si="76"/>
        <v>2.9832074591572837E-3</v>
      </c>
      <c r="S126" s="1"/>
      <c r="T126" s="1">
        <f>SUM(OSRRefT22_18x_0)</f>
        <v>3385.81</v>
      </c>
      <c r="U126" s="1"/>
      <c r="V126" s="5">
        <f t="shared" si="77"/>
        <v>3.4092476914744877E-3</v>
      </c>
      <c r="W126" s="1"/>
      <c r="X126" s="1">
        <f t="shared" si="78"/>
        <v>-37.4699999999998</v>
      </c>
      <c r="Y126" s="1"/>
      <c r="Z126" s="5">
        <f t="shared" si="79"/>
        <v>-1.106677574937749E-2</v>
      </c>
    </row>
    <row r="127" spans="1:26" s="24" customFormat="1" hidden="1" outlineLevel="2" x14ac:dyDescent="0.25">
      <c r="A127" s="26"/>
      <c r="B127" s="11" t="str">
        <f>CONCATENATE("          ", "6234", " - ", "EXPENDABLE SUPPLIES &amp; EQUIPMEN")</f>
        <v xml:space="preserve">          6234 - EXPENDABLE SUPPLIES &amp; EQUIPMEN</v>
      </c>
      <c r="C127" s="11"/>
      <c r="D127" s="6"/>
      <c r="E127" s="2"/>
      <c r="F127" s="7">
        <f t="shared" si="72"/>
        <v>0</v>
      </c>
      <c r="G127" s="2"/>
      <c r="H127" s="6">
        <v>300</v>
      </c>
      <c r="I127" s="2"/>
      <c r="J127" s="7">
        <f t="shared" si="73"/>
        <v>1.295314527841879E-3</v>
      </c>
      <c r="K127" s="2"/>
      <c r="L127" s="6">
        <f t="shared" si="74"/>
        <v>-300</v>
      </c>
      <c r="M127" s="2"/>
      <c r="N127" s="7">
        <f t="shared" si="75"/>
        <v>-1</v>
      </c>
      <c r="O127" s="11"/>
      <c r="P127" s="6">
        <v>-15.95</v>
      </c>
      <c r="Q127" s="2"/>
      <c r="R127" s="7">
        <f t="shared" si="76"/>
        <v>-1.4210671250099652E-5</v>
      </c>
      <c r="S127" s="2"/>
      <c r="T127" s="6">
        <v>300</v>
      </c>
      <c r="U127" s="2"/>
      <c r="V127" s="7">
        <f t="shared" si="77"/>
        <v>3.0207669876406129E-4</v>
      </c>
      <c r="W127" s="2"/>
      <c r="X127" s="6">
        <f t="shared" si="78"/>
        <v>-315.95</v>
      </c>
      <c r="Y127" s="2"/>
      <c r="Z127" s="7">
        <f t="shared" si="79"/>
        <v>-1.0531666666666666</v>
      </c>
    </row>
    <row r="128" spans="1:26" s="24" customFormat="1" hidden="1" outlineLevel="2" x14ac:dyDescent="0.25">
      <c r="A128" s="26"/>
      <c r="B128" s="11" t="str">
        <f>CONCATENATE("          ", "6237", " - ", "JANITORIAL SUPPLIES")</f>
        <v xml:space="preserve">          6237 - JANITORIAL SUPPLIES</v>
      </c>
      <c r="C128" s="11"/>
      <c r="D128" s="6">
        <v>83.06</v>
      </c>
      <c r="E128" s="2"/>
      <c r="F128" s="7">
        <f t="shared" si="72"/>
        <v>3.1604278213229724E-4</v>
      </c>
      <c r="G128" s="2"/>
      <c r="H128" s="6">
        <v>5.14</v>
      </c>
      <c r="I128" s="2"/>
      <c r="J128" s="7">
        <f t="shared" si="73"/>
        <v>2.2193055577024193E-5</v>
      </c>
      <c r="K128" s="2"/>
      <c r="L128" s="6">
        <f t="shared" si="74"/>
        <v>77.92</v>
      </c>
      <c r="M128" s="2"/>
      <c r="N128" s="7">
        <f t="shared" si="75"/>
        <v>15.159533073929962</v>
      </c>
      <c r="O128" s="11"/>
      <c r="P128" s="6">
        <v>287.72000000000003</v>
      </c>
      <c r="Q128" s="2"/>
      <c r="R128" s="7">
        <f t="shared" si="76"/>
        <v>2.5634447223063777E-4</v>
      </c>
      <c r="S128" s="2"/>
      <c r="T128" s="6">
        <v>177.88</v>
      </c>
      <c r="U128" s="2"/>
      <c r="V128" s="7">
        <f t="shared" si="77"/>
        <v>1.7911134392050405E-4</v>
      </c>
      <c r="W128" s="2"/>
      <c r="X128" s="6">
        <f t="shared" si="78"/>
        <v>109.84000000000003</v>
      </c>
      <c r="Y128" s="2"/>
      <c r="Z128" s="7">
        <f t="shared" si="79"/>
        <v>0.61749494040926489</v>
      </c>
    </row>
    <row r="129" spans="1:26" s="24" customFormat="1" hidden="1" outlineLevel="2" x14ac:dyDescent="0.25">
      <c r="A129" s="26"/>
      <c r="B129" s="11" t="str">
        <f>CONCATENATE("          ", "6241", " - ", "OFFICE EXPENSE")</f>
        <v xml:space="preserve">          6241 - OFFICE EXPENSE</v>
      </c>
      <c r="C129" s="11"/>
      <c r="D129" s="6">
        <v>430.98</v>
      </c>
      <c r="E129" s="2"/>
      <c r="F129" s="7">
        <f t="shared" si="72"/>
        <v>1.6398762128988378E-3</v>
      </c>
      <c r="G129" s="2"/>
      <c r="H129" s="6">
        <v>421.79</v>
      </c>
      <c r="I129" s="2"/>
      <c r="J129" s="7">
        <f t="shared" si="73"/>
        <v>1.8211690489947539E-3</v>
      </c>
      <c r="K129" s="2"/>
      <c r="L129" s="6">
        <f t="shared" si="74"/>
        <v>9.1899999999999977</v>
      </c>
      <c r="M129" s="2"/>
      <c r="N129" s="7">
        <f t="shared" si="75"/>
        <v>2.17880936010811E-2</v>
      </c>
      <c r="O129" s="11"/>
      <c r="P129" s="6">
        <v>2783.78</v>
      </c>
      <c r="Q129" s="2"/>
      <c r="R129" s="7">
        <f t="shared" si="76"/>
        <v>2.4802120634860448E-3</v>
      </c>
      <c r="S129" s="2"/>
      <c r="T129" s="6">
        <v>1394.37</v>
      </c>
      <c r="U129" s="2"/>
      <c r="V129" s="7">
        <f t="shared" si="77"/>
        <v>1.4040222881854802E-3</v>
      </c>
      <c r="W129" s="2"/>
      <c r="X129" s="6">
        <f t="shared" si="78"/>
        <v>1389.4100000000003</v>
      </c>
      <c r="Y129" s="2"/>
      <c r="Z129" s="7">
        <f t="shared" si="79"/>
        <v>0.99644283798417954</v>
      </c>
    </row>
    <row r="130" spans="1:26" s="24" customFormat="1" hidden="1" outlineLevel="2" x14ac:dyDescent="0.25">
      <c r="A130" s="26"/>
      <c r="B130" s="11" t="str">
        <f>CONCATENATE("          ", "6245", " - ", "PRINTING")</f>
        <v xml:space="preserve">          6245 - PRINTING</v>
      </c>
      <c r="C130" s="11"/>
      <c r="D130" s="6"/>
      <c r="E130" s="2"/>
      <c r="F130" s="7">
        <f t="shared" si="72"/>
        <v>0</v>
      </c>
      <c r="G130" s="2"/>
      <c r="H130" s="6"/>
      <c r="I130" s="2"/>
      <c r="J130" s="7">
        <f t="shared" si="73"/>
        <v>0</v>
      </c>
      <c r="K130" s="2"/>
      <c r="L130" s="6">
        <f t="shared" si="74"/>
        <v>0</v>
      </c>
      <c r="M130" s="2"/>
      <c r="N130" s="7">
        <f t="shared" si="75"/>
        <v>0</v>
      </c>
      <c r="O130" s="11"/>
      <c r="P130" s="6"/>
      <c r="Q130" s="2"/>
      <c r="R130" s="7">
        <f t="shared" si="76"/>
        <v>0</v>
      </c>
      <c r="S130" s="2"/>
      <c r="T130" s="6">
        <v>970.75</v>
      </c>
      <c r="U130" s="2"/>
      <c r="V130" s="7">
        <f t="shared" si="77"/>
        <v>9.7746985108404169E-4</v>
      </c>
      <c r="W130" s="2"/>
      <c r="X130" s="6">
        <f t="shared" si="78"/>
        <v>-970.75</v>
      </c>
      <c r="Y130" s="2"/>
      <c r="Z130" s="7">
        <f t="shared" si="79"/>
        <v>-1</v>
      </c>
    </row>
    <row r="131" spans="1:26" s="24" customFormat="1" hidden="1" outlineLevel="2" x14ac:dyDescent="0.25">
      <c r="A131" s="26"/>
      <c r="B131" s="11" t="str">
        <f>CONCATENATE("          ", "6247", " - ", "STORE SUPPLIES")</f>
        <v xml:space="preserve">          6247 - STORE SUPPLIES</v>
      </c>
      <c r="C131" s="11"/>
      <c r="D131" s="6">
        <v>113.16</v>
      </c>
      <c r="E131" s="2"/>
      <c r="F131" s="7">
        <f t="shared" si="72"/>
        <v>4.3057309446292746E-4</v>
      </c>
      <c r="G131" s="2"/>
      <c r="H131" s="6">
        <v>247.21</v>
      </c>
      <c r="I131" s="2"/>
      <c r="J131" s="7">
        <f t="shared" si="73"/>
        <v>1.0673823480926365E-3</v>
      </c>
      <c r="K131" s="2"/>
      <c r="L131" s="6">
        <f t="shared" si="74"/>
        <v>-134.05000000000001</v>
      </c>
      <c r="M131" s="2"/>
      <c r="N131" s="7">
        <f t="shared" si="75"/>
        <v>-0.54225152704178636</v>
      </c>
      <c r="O131" s="11"/>
      <c r="P131" s="6">
        <v>292.79000000000002</v>
      </c>
      <c r="Q131" s="2"/>
      <c r="R131" s="7">
        <f t="shared" si="76"/>
        <v>2.608615946907008E-4</v>
      </c>
      <c r="S131" s="2"/>
      <c r="T131" s="6">
        <v>542.80999999999995</v>
      </c>
      <c r="U131" s="2"/>
      <c r="V131" s="7">
        <f t="shared" si="77"/>
        <v>5.4656750952040024E-4</v>
      </c>
      <c r="W131" s="2"/>
      <c r="X131" s="6">
        <f t="shared" si="78"/>
        <v>-250.01999999999992</v>
      </c>
      <c r="Y131" s="2"/>
      <c r="Z131" s="7">
        <f t="shared" si="79"/>
        <v>-0.46060315764263732</v>
      </c>
    </row>
    <row r="132" spans="1:26" s="27" customFormat="1" outlineLevel="1" collapsed="1" x14ac:dyDescent="0.25">
      <c r="A132" s="25"/>
      <c r="B132" s="13" t="str">
        <f>CONCATENATE("     ","Telephone/Data Lines                              ")</f>
        <v xml:space="preserve">     Telephone/Data Lines                              </v>
      </c>
      <c r="C132" s="13"/>
      <c r="D132" s="1">
        <f>SUM(OSRRefD22_19x_0)</f>
        <v>-7.33</v>
      </c>
      <c r="E132" s="1"/>
      <c r="F132" s="5">
        <f t="shared" ref="F132:F138" si="80">IF(D$12=0,0,D132/D$12)</f>
        <v>-2.7890604298455801E-5</v>
      </c>
      <c r="G132" s="1"/>
      <c r="H132" s="1">
        <f>SUM(OSRRefH22_19x_0)</f>
        <v>396.7</v>
      </c>
      <c r="I132" s="1"/>
      <c r="J132" s="5">
        <f t="shared" ref="J132:J138" si="81">IF(H$12=0,0,H132/H$12)</f>
        <v>1.7128375773162445E-3</v>
      </c>
      <c r="K132" s="1"/>
      <c r="L132" s="1">
        <f t="shared" ref="L132:L138" si="82">+D132-H132</f>
        <v>-404.03</v>
      </c>
      <c r="M132" s="1"/>
      <c r="N132" s="5">
        <f t="shared" ref="N132:N138" si="83">IF(H132=0,0,L132/H132)</f>
        <v>-1.0184774388706832</v>
      </c>
      <c r="O132" s="13"/>
      <c r="P132" s="1">
        <f>SUM(OSRRefP22_19x_0)</f>
        <v>4018.09</v>
      </c>
      <c r="Q132" s="1"/>
      <c r="R132" s="5">
        <f t="shared" ref="R132:R138" si="84">IF(P$12=0,0,P132/P$12)</f>
        <v>3.5799220089851361E-3</v>
      </c>
      <c r="S132" s="1"/>
      <c r="T132" s="1">
        <f>SUM(OSRRefT22_19x_0)</f>
        <v>3960.97</v>
      </c>
      <c r="U132" s="1"/>
      <c r="V132" s="5">
        <f t="shared" ref="V132:V138" si="85">IF(T$12=0,0,T132/T$12)</f>
        <v>3.9883891383449459E-3</v>
      </c>
      <c r="W132" s="1"/>
      <c r="X132" s="1">
        <f t="shared" ref="X132:X138" si="86">+P132-T132</f>
        <v>57.120000000000346</v>
      </c>
      <c r="Y132" s="1"/>
      <c r="Z132" s="5">
        <f t="shared" ref="Z132:Z138" si="87">IF(T132=0,0,X132/T132)</f>
        <v>1.4420710078591949E-2</v>
      </c>
    </row>
    <row r="133" spans="1:26" s="24" customFormat="1" hidden="1" outlineLevel="2" x14ac:dyDescent="0.25">
      <c r="A133" s="26"/>
      <c r="B133" s="11" t="str">
        <f>CONCATENATE("          ", "6309", " - ", "TELEPHONE")</f>
        <v xml:space="preserve">          6309 - TELEPHONE</v>
      </c>
      <c r="C133" s="11"/>
      <c r="D133" s="6">
        <v>-7.33</v>
      </c>
      <c r="E133" s="2"/>
      <c r="F133" s="7">
        <f t="shared" si="80"/>
        <v>-2.7890604298455801E-5</v>
      </c>
      <c r="G133" s="2"/>
      <c r="H133" s="6">
        <v>396.7</v>
      </c>
      <c r="I133" s="2"/>
      <c r="J133" s="7">
        <f t="shared" si="81"/>
        <v>1.7128375773162445E-3</v>
      </c>
      <c r="K133" s="2"/>
      <c r="L133" s="6">
        <f t="shared" si="82"/>
        <v>-404.03</v>
      </c>
      <c r="M133" s="2"/>
      <c r="N133" s="7">
        <f t="shared" si="83"/>
        <v>-1.0184774388706832</v>
      </c>
      <c r="O133" s="11"/>
      <c r="P133" s="6">
        <v>4018.09</v>
      </c>
      <c r="Q133" s="2"/>
      <c r="R133" s="7">
        <f t="shared" si="84"/>
        <v>3.5799220089851361E-3</v>
      </c>
      <c r="S133" s="2"/>
      <c r="T133" s="6">
        <v>3960.97</v>
      </c>
      <c r="U133" s="2"/>
      <c r="V133" s="7">
        <f t="shared" si="85"/>
        <v>3.9883891383449459E-3</v>
      </c>
      <c r="W133" s="2"/>
      <c r="X133" s="6">
        <f t="shared" si="86"/>
        <v>57.120000000000346</v>
      </c>
      <c r="Y133" s="2"/>
      <c r="Z133" s="7">
        <f t="shared" si="87"/>
        <v>1.4420710078591949E-2</v>
      </c>
    </row>
    <row r="134" spans="1:26" s="27" customFormat="1" outlineLevel="1" collapsed="1" x14ac:dyDescent="0.25">
      <c r="A134" s="25"/>
      <c r="B134" s="13" t="str">
        <f>CONCATENATE("     ","Training                                          ")</f>
        <v xml:space="preserve">     Training                                          </v>
      </c>
      <c r="C134" s="13"/>
      <c r="D134" s="1">
        <f>SUM(OSRRefD22_20x_0)</f>
        <v>1042.56</v>
      </c>
      <c r="E134" s="1"/>
      <c r="F134" s="5">
        <f t="shared" si="80"/>
        <v>3.9669342997814567E-3</v>
      </c>
      <c r="G134" s="1"/>
      <c r="H134" s="1">
        <f>SUM(OSRRefH22_20x_0)</f>
        <v>657.6</v>
      </c>
      <c r="I134" s="1"/>
      <c r="J134" s="5">
        <f t="shared" si="81"/>
        <v>2.839329445029399E-3</v>
      </c>
      <c r="K134" s="1"/>
      <c r="L134" s="1">
        <f t="shared" si="82"/>
        <v>384.95999999999992</v>
      </c>
      <c r="M134" s="1"/>
      <c r="N134" s="5">
        <f t="shared" si="83"/>
        <v>0.58540145985401448</v>
      </c>
      <c r="O134" s="13"/>
      <c r="P134" s="1">
        <f>SUM(OSRRefP22_20x_0)</f>
        <v>1146.06</v>
      </c>
      <c r="Q134" s="1"/>
      <c r="R134" s="5">
        <f t="shared" si="84"/>
        <v>1.0210835042563768E-3</v>
      </c>
      <c r="S134" s="1"/>
      <c r="T134" s="1">
        <f>SUM(OSRRefT22_20x_0)</f>
        <v>741</v>
      </c>
      <c r="U134" s="1"/>
      <c r="V134" s="5">
        <f t="shared" si="85"/>
        <v>7.461294459472314E-4</v>
      </c>
      <c r="W134" s="1"/>
      <c r="X134" s="1">
        <f t="shared" si="86"/>
        <v>405.05999999999995</v>
      </c>
      <c r="Y134" s="1"/>
      <c r="Z134" s="5">
        <f t="shared" si="87"/>
        <v>0.54663967611336028</v>
      </c>
    </row>
    <row r="135" spans="1:26" s="24" customFormat="1" hidden="1" outlineLevel="2" x14ac:dyDescent="0.25">
      <c r="A135" s="26"/>
      <c r="B135" s="11" t="str">
        <f>CONCATENATE("          ", "6376", " - ", "TRAINING")</f>
        <v xml:space="preserve">          6376 - TRAINING</v>
      </c>
      <c r="C135" s="11"/>
      <c r="D135" s="6">
        <v>1042.56</v>
      </c>
      <c r="E135" s="2"/>
      <c r="F135" s="7">
        <f t="shared" si="80"/>
        <v>3.9669342997814567E-3</v>
      </c>
      <c r="G135" s="2"/>
      <c r="H135" s="6">
        <v>657.6</v>
      </c>
      <c r="I135" s="2"/>
      <c r="J135" s="7">
        <f t="shared" si="81"/>
        <v>2.839329445029399E-3</v>
      </c>
      <c r="K135" s="2"/>
      <c r="L135" s="6">
        <f t="shared" si="82"/>
        <v>384.95999999999992</v>
      </c>
      <c r="M135" s="2"/>
      <c r="N135" s="7">
        <f t="shared" si="83"/>
        <v>0.58540145985401448</v>
      </c>
      <c r="O135" s="11"/>
      <c r="P135" s="6">
        <v>1146.06</v>
      </c>
      <c r="Q135" s="2"/>
      <c r="R135" s="7">
        <f t="shared" si="84"/>
        <v>1.0210835042563768E-3</v>
      </c>
      <c r="S135" s="2"/>
      <c r="T135" s="6">
        <v>741</v>
      </c>
      <c r="U135" s="2"/>
      <c r="V135" s="7">
        <f t="shared" si="85"/>
        <v>7.461294459472314E-4</v>
      </c>
      <c r="W135" s="2"/>
      <c r="X135" s="6">
        <f t="shared" si="86"/>
        <v>405.05999999999995</v>
      </c>
      <c r="Y135" s="2"/>
      <c r="Z135" s="7">
        <f t="shared" si="87"/>
        <v>0.54663967611336028</v>
      </c>
    </row>
    <row r="136" spans="1:26" s="27" customFormat="1" outlineLevel="1" collapsed="1" x14ac:dyDescent="0.25">
      <c r="A136" s="25"/>
      <c r="B136" s="13" t="str">
        <f>CONCATENATE("     ","Travel                                            ")</f>
        <v xml:space="preserve">     Travel                                            </v>
      </c>
      <c r="C136" s="13"/>
      <c r="D136" s="1">
        <f>SUM(OSRRefD22_21x_0)</f>
        <v>441.41</v>
      </c>
      <c r="E136" s="1"/>
      <c r="F136" s="5">
        <f t="shared" si="80"/>
        <v>1.679562297869219E-3</v>
      </c>
      <c r="G136" s="1"/>
      <c r="H136" s="1">
        <f>SUM(OSRRefH22_21x_0)</f>
        <v>81.83</v>
      </c>
      <c r="I136" s="1"/>
      <c r="J136" s="5">
        <f t="shared" si="81"/>
        <v>3.5331862604433652E-4</v>
      </c>
      <c r="K136" s="1"/>
      <c r="L136" s="1">
        <f t="shared" si="82"/>
        <v>359.58000000000004</v>
      </c>
      <c r="M136" s="1"/>
      <c r="N136" s="5">
        <f t="shared" si="83"/>
        <v>4.3942319442747166</v>
      </c>
      <c r="O136" s="13"/>
      <c r="P136" s="1">
        <f>SUM(OSRRefP22_21x_0)</f>
        <v>543.51</v>
      </c>
      <c r="Q136" s="1"/>
      <c r="R136" s="5">
        <f t="shared" si="84"/>
        <v>4.8424087342580958E-4</v>
      </c>
      <c r="S136" s="1"/>
      <c r="T136" s="1">
        <f>SUM(OSRRefT22_21x_0)</f>
        <v>337.6</v>
      </c>
      <c r="U136" s="1"/>
      <c r="V136" s="5">
        <f t="shared" si="85"/>
        <v>3.3993697834249029E-4</v>
      </c>
      <c r="W136" s="1"/>
      <c r="X136" s="1">
        <f t="shared" si="86"/>
        <v>205.90999999999997</v>
      </c>
      <c r="Y136" s="1"/>
      <c r="Z136" s="5">
        <f t="shared" si="87"/>
        <v>0.60992298578199033</v>
      </c>
    </row>
    <row r="137" spans="1:26" s="24" customFormat="1" hidden="1" outlineLevel="2" x14ac:dyDescent="0.25">
      <c r="A137" s="26"/>
      <c r="B137" s="11" t="str">
        <f>CONCATENATE("          ", "6292", " - ", "TRAVEL/CONFERENCE")</f>
        <v xml:space="preserve">          6292 - TRAVEL/CONFERENCE</v>
      </c>
      <c r="C137" s="11"/>
      <c r="D137" s="6">
        <v>107.04</v>
      </c>
      <c r="E137" s="2"/>
      <c r="F137" s="7">
        <f t="shared" si="80"/>
        <v>4.0728653262028775E-4</v>
      </c>
      <c r="G137" s="2"/>
      <c r="H137" s="6"/>
      <c r="I137" s="2"/>
      <c r="J137" s="7">
        <f t="shared" si="81"/>
        <v>0</v>
      </c>
      <c r="K137" s="2"/>
      <c r="L137" s="6">
        <f t="shared" si="82"/>
        <v>107.04</v>
      </c>
      <c r="M137" s="2"/>
      <c r="N137" s="7">
        <f t="shared" si="83"/>
        <v>0</v>
      </c>
      <c r="O137" s="11"/>
      <c r="P137" s="6">
        <v>107.04</v>
      </c>
      <c r="Q137" s="2"/>
      <c r="R137" s="7">
        <f t="shared" si="84"/>
        <v>9.536741383138978E-5</v>
      </c>
      <c r="S137" s="2"/>
      <c r="T137" s="6"/>
      <c r="U137" s="2"/>
      <c r="V137" s="7">
        <f t="shared" si="85"/>
        <v>0</v>
      </c>
      <c r="W137" s="2"/>
      <c r="X137" s="6">
        <f t="shared" si="86"/>
        <v>107.04</v>
      </c>
      <c r="Y137" s="2"/>
      <c r="Z137" s="7">
        <f t="shared" si="87"/>
        <v>0</v>
      </c>
    </row>
    <row r="138" spans="1:26" s="24" customFormat="1" hidden="1" outlineLevel="2" x14ac:dyDescent="0.25">
      <c r="A138" s="26"/>
      <c r="B138" s="11" t="str">
        <f>CONCATENATE("          ", "6294", " - ", "TRAVEL OPERATIONAL")</f>
        <v xml:space="preserve">          6294 - TRAVEL OPERATIONAL</v>
      </c>
      <c r="C138" s="11"/>
      <c r="D138" s="6">
        <v>334.37</v>
      </c>
      <c r="E138" s="2"/>
      <c r="F138" s="7">
        <f t="shared" si="80"/>
        <v>1.2722757652489313E-3</v>
      </c>
      <c r="G138" s="2"/>
      <c r="H138" s="6">
        <v>81.83</v>
      </c>
      <c r="I138" s="2"/>
      <c r="J138" s="7">
        <f t="shared" si="81"/>
        <v>3.5331862604433652E-4</v>
      </c>
      <c r="K138" s="2"/>
      <c r="L138" s="6">
        <f t="shared" si="82"/>
        <v>252.54000000000002</v>
      </c>
      <c r="M138" s="2"/>
      <c r="N138" s="7">
        <f t="shared" si="83"/>
        <v>3.0861542221679095</v>
      </c>
      <c r="O138" s="11"/>
      <c r="P138" s="6">
        <v>436.47</v>
      </c>
      <c r="Q138" s="2"/>
      <c r="R138" s="7">
        <f t="shared" si="84"/>
        <v>3.8887345959441984E-4</v>
      </c>
      <c r="S138" s="2"/>
      <c r="T138" s="6">
        <v>337.6</v>
      </c>
      <c r="U138" s="2"/>
      <c r="V138" s="7">
        <f t="shared" si="85"/>
        <v>3.3993697834249029E-4</v>
      </c>
      <c r="W138" s="2"/>
      <c r="X138" s="6">
        <f t="shared" si="86"/>
        <v>98.87</v>
      </c>
      <c r="Y138" s="2"/>
      <c r="Z138" s="7">
        <f t="shared" si="87"/>
        <v>0.29286137440758292</v>
      </c>
    </row>
    <row r="139" spans="1:26" s="27" customFormat="1" outlineLevel="1" collapsed="1" x14ac:dyDescent="0.25">
      <c r="A139" s="25"/>
      <c r="B139" s="13" t="str">
        <f>CONCATENATE("     ","Utilities                                         ")</f>
        <v xml:space="preserve">     Utilities                                         </v>
      </c>
      <c r="C139" s="13"/>
      <c r="D139" s="1">
        <f>SUM(OSRRefD22_22x_0)</f>
        <v>43.86</v>
      </c>
      <c r="E139" s="1"/>
      <c r="F139" s="5">
        <f t="shared" ref="F139:F140" si="88">IF(D$12=0,0,D139/D$12)</f>
        <v>1.6688702653891834E-4</v>
      </c>
      <c r="G139" s="1"/>
      <c r="H139" s="1">
        <f>SUM(OSRRefH22_22x_0)</f>
        <v>57.7</v>
      </c>
      <c r="I139" s="1"/>
      <c r="J139" s="5">
        <f t="shared" ref="J139:J140" si="89">IF(H$12=0,0,H139/H$12)</f>
        <v>2.491321608549214E-4</v>
      </c>
      <c r="K139" s="1"/>
      <c r="L139" s="1">
        <f t="shared" ref="L139:L140" si="90">+D139-H139</f>
        <v>-13.840000000000003</v>
      </c>
      <c r="M139" s="1"/>
      <c r="N139" s="5">
        <f t="shared" ref="N139:N140" si="91">IF(H139=0,0,L139/H139)</f>
        <v>-0.2398613518197574</v>
      </c>
      <c r="O139" s="13"/>
      <c r="P139" s="1">
        <f>SUM(OSRRefP22_22x_0)</f>
        <v>195.66</v>
      </c>
      <c r="Q139" s="1"/>
      <c r="R139" s="5">
        <f t="shared" ref="R139:R140" si="92">IF(P$12=0,0,P139/P$12)</f>
        <v>1.7432350700905946E-4</v>
      </c>
      <c r="S139" s="1"/>
      <c r="T139" s="1">
        <f>SUM(OSRRefT22_22x_0)</f>
        <v>261.25</v>
      </c>
      <c r="U139" s="1"/>
      <c r="V139" s="5">
        <f t="shared" ref="V139:V140" si="93">IF(T$12=0,0,T139/T$12)</f>
        <v>2.6305845850703669E-4</v>
      </c>
      <c r="W139" s="1"/>
      <c r="X139" s="1">
        <f t="shared" ref="X139:X140" si="94">+P139-T139</f>
        <v>-65.59</v>
      </c>
      <c r="Y139" s="1"/>
      <c r="Z139" s="5">
        <f t="shared" ref="Z139:Z140" si="95">IF(T139=0,0,X139/T139)</f>
        <v>-0.25106220095693782</v>
      </c>
    </row>
    <row r="140" spans="1:26" s="24" customFormat="1" hidden="1" outlineLevel="2" x14ac:dyDescent="0.25">
      <c r="A140" s="26"/>
      <c r="B140" s="11" t="str">
        <f>CONCATENATE("          ", "6274", " - ", "UTILITIES")</f>
        <v xml:space="preserve">          6274 - UTILITIES</v>
      </c>
      <c r="C140" s="11"/>
      <c r="D140" s="6">
        <v>43.86</v>
      </c>
      <c r="E140" s="2"/>
      <c r="F140" s="7">
        <f t="shared" si="88"/>
        <v>1.6688702653891834E-4</v>
      </c>
      <c r="G140" s="2"/>
      <c r="H140" s="6">
        <v>57.7</v>
      </c>
      <c r="I140" s="2"/>
      <c r="J140" s="7">
        <f t="shared" si="89"/>
        <v>2.491321608549214E-4</v>
      </c>
      <c r="K140" s="2"/>
      <c r="L140" s="6">
        <f t="shared" si="90"/>
        <v>-13.840000000000003</v>
      </c>
      <c r="M140" s="2"/>
      <c r="N140" s="7">
        <f t="shared" si="91"/>
        <v>-0.2398613518197574</v>
      </c>
      <c r="O140" s="11"/>
      <c r="P140" s="6">
        <v>195.66</v>
      </c>
      <c r="Q140" s="2"/>
      <c r="R140" s="7">
        <f t="shared" si="92"/>
        <v>1.7432350700905946E-4</v>
      </c>
      <c r="S140" s="2"/>
      <c r="T140" s="6">
        <v>261.25</v>
      </c>
      <c r="U140" s="2"/>
      <c r="V140" s="7">
        <f t="shared" si="93"/>
        <v>2.6305845850703669E-4</v>
      </c>
      <c r="W140" s="2"/>
      <c r="X140" s="6">
        <f t="shared" si="94"/>
        <v>-65.59</v>
      </c>
      <c r="Y140" s="2"/>
      <c r="Z140" s="7">
        <f t="shared" si="95"/>
        <v>-0.25106220095693782</v>
      </c>
    </row>
    <row r="141" spans="1:26" s="55" customFormat="1" x14ac:dyDescent="0.25">
      <c r="A141" s="37"/>
      <c r="B141" s="37"/>
      <c r="C141" s="37"/>
      <c r="D141" s="1"/>
      <c r="E141" s="1"/>
      <c r="F141" s="5"/>
      <c r="G141" s="1"/>
      <c r="H141" s="1"/>
      <c r="I141" s="1"/>
      <c r="J141" s="5"/>
      <c r="K141" s="1"/>
      <c r="L141" s="1"/>
      <c r="M141" s="1"/>
      <c r="N141" s="5"/>
      <c r="O141" s="37"/>
      <c r="P141" s="1"/>
      <c r="Q141" s="1"/>
      <c r="R141" s="5"/>
      <c r="S141" s="1"/>
      <c r="T141" s="1"/>
      <c r="U141" s="1"/>
      <c r="V141" s="5"/>
      <c r="W141" s="1"/>
      <c r="X141" s="1"/>
      <c r="Y141" s="1"/>
      <c r="Z141" s="5"/>
    </row>
    <row r="142" spans="1:26" s="23" customFormat="1" collapsed="1" x14ac:dyDescent="0.25">
      <c r="A142" s="10"/>
      <c r="B142" s="29" t="s">
        <v>0</v>
      </c>
      <c r="C142" s="10"/>
      <c r="D142" s="4">
        <f>SUM(OSRRefD25x_0)</f>
        <v>0</v>
      </c>
      <c r="E142" s="4"/>
      <c r="F142" s="12">
        <f t="shared" ref="F142:F143" si="96">IF(D$12=0,0,D142/D$12)</f>
        <v>0</v>
      </c>
      <c r="G142" s="4"/>
      <c r="H142" s="4">
        <f>SUM(OSRRefH25x_0)</f>
        <v>11898.07</v>
      </c>
      <c r="I142" s="4"/>
      <c r="J142" s="12">
        <f t="shared" ref="J142:J143" si="97">IF(H$12=0,0,H142/H$12)</f>
        <v>5.1372476414265414E-2</v>
      </c>
      <c r="K142" s="4"/>
      <c r="L142" s="4">
        <f t="shared" ref="L142:L143" si="98">+D142-H142</f>
        <v>-11898.07</v>
      </c>
      <c r="M142" s="4"/>
      <c r="N142" s="12">
        <f t="shared" ref="N142:N143" si="99">IF(H142=0,0,L142/H142)</f>
        <v>-1</v>
      </c>
      <c r="O142" s="10"/>
      <c r="P142" s="4">
        <f>SUM(OSRRefP25x_0)</f>
        <v>14396.98</v>
      </c>
      <c r="Q142" s="4"/>
      <c r="R142" s="12">
        <f t="shared" ref="R142:R143" si="100">IF(P$12=0,0,P142/P$12)</f>
        <v>1.2827006255439481E-2</v>
      </c>
      <c r="S142" s="4"/>
      <c r="T142" s="4">
        <f>SUM(OSRRefT25x_0)</f>
        <v>45451.3</v>
      </c>
      <c r="U142" s="4"/>
      <c r="V142" s="12">
        <f t="shared" ref="V142:V143" si="101">IF(T$12=0,0,T142/T$12)</f>
        <v>4.5765928861783267E-2</v>
      </c>
      <c r="W142" s="4"/>
      <c r="X142" s="4">
        <f t="shared" ref="X142:X143" si="102">+P142-T142</f>
        <v>-31054.320000000003</v>
      </c>
      <c r="Y142" s="4"/>
      <c r="Z142" s="12">
        <f t="shared" ref="Z142:Z143" si="103">IF(T142=0,0,X142/T142)</f>
        <v>-0.68324382360900571</v>
      </c>
    </row>
    <row r="143" spans="1:26" s="24" customFormat="1" hidden="1" outlineLevel="1" x14ac:dyDescent="0.25">
      <c r="A143" s="44"/>
      <c r="B143" s="11" t="str">
        <f>CONCATENATE("          ", "9150", " - ", "MISC. INCOME")</f>
        <v xml:space="preserve">          9150 - MISC. INCOME</v>
      </c>
      <c r="C143" s="11"/>
      <c r="D143" s="2">
        <f>0</f>
        <v>0</v>
      </c>
      <c r="E143" s="2"/>
      <c r="F143" s="19">
        <f t="shared" si="96"/>
        <v>0</v>
      </c>
      <c r="G143" s="2"/>
      <c r="H143" s="2">
        <f>--11898.07</f>
        <v>11898.07</v>
      </c>
      <c r="I143" s="2"/>
      <c r="J143" s="19">
        <f t="shared" si="97"/>
        <v>5.1372476414265414E-2</v>
      </c>
      <c r="K143" s="2"/>
      <c r="L143" s="2">
        <f t="shared" si="98"/>
        <v>-11898.07</v>
      </c>
      <c r="M143" s="2"/>
      <c r="N143" s="19">
        <f t="shared" si="99"/>
        <v>-1</v>
      </c>
      <c r="O143" s="11"/>
      <c r="P143" s="2">
        <f>--14396.98</f>
        <v>14396.98</v>
      </c>
      <c r="Q143" s="2"/>
      <c r="R143" s="19">
        <f t="shared" si="100"/>
        <v>1.2827006255439481E-2</v>
      </c>
      <c r="S143" s="2"/>
      <c r="T143" s="2">
        <f>--45451.3</f>
        <v>45451.3</v>
      </c>
      <c r="U143" s="2"/>
      <c r="V143" s="19">
        <f t="shared" si="101"/>
        <v>4.5765928861783267E-2</v>
      </c>
      <c r="W143" s="2"/>
      <c r="X143" s="2">
        <f t="shared" si="102"/>
        <v>-31054.320000000003</v>
      </c>
      <c r="Y143" s="2"/>
      <c r="Z143" s="19">
        <f t="shared" si="103"/>
        <v>-0.68324382360900571</v>
      </c>
    </row>
    <row r="144" spans="1:26" x14ac:dyDescent="0.25">
      <c r="A144" s="9"/>
      <c r="B144" s="10"/>
      <c r="C144" s="10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0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x14ac:dyDescent="0.25">
      <c r="A145" s="10"/>
      <c r="B145" s="28" t="s">
        <v>3</v>
      </c>
      <c r="C145" s="28"/>
      <c r="D145" s="21">
        <f>+D69-D71+D142</f>
        <v>35163.76999999999</v>
      </c>
      <c r="E145" s="14"/>
      <c r="F145" s="22">
        <f>IF(D$12=0,0,D145/D$12)</f>
        <v>0.13379792560871909</v>
      </c>
      <c r="G145" s="14"/>
      <c r="H145" s="21">
        <f>+H69-H71+H142</f>
        <v>44717.24</v>
      </c>
      <c r="I145" s="14"/>
      <c r="J145" s="22">
        <f>IF(H$12=0,0,H145/H$12)</f>
        <v>0.19307630205663995</v>
      </c>
      <c r="K145" s="16"/>
      <c r="L145" s="21">
        <f>+D145-H145</f>
        <v>-9553.4700000000084</v>
      </c>
      <c r="M145" s="16"/>
      <c r="N145" s="22">
        <f>IF(H145=0,0,L145/H145)</f>
        <v>-0.21364176322152281</v>
      </c>
      <c r="O145" s="29"/>
      <c r="P145" s="21">
        <f>+P69-P71+P142</f>
        <v>273506.26</v>
      </c>
      <c r="Q145" s="14"/>
      <c r="R145" s="22">
        <f>IF(P$12=0,0,P145/P$12)</f>
        <v>0.24368072386860695</v>
      </c>
      <c r="S145" s="14"/>
      <c r="T145" s="21">
        <f>+T69-T71+T142</f>
        <v>276216.9800000001</v>
      </c>
      <c r="U145" s="14"/>
      <c r="V145" s="22">
        <f>IF(T$12=0,0,T145/T$12)</f>
        <v>0.27812904486992923</v>
      </c>
      <c r="W145" s="16"/>
      <c r="X145" s="21">
        <f>+P145-T145</f>
        <v>-2710.7200000000885</v>
      </c>
      <c r="Y145" s="16"/>
      <c r="Z145" s="22">
        <f>IF(T145=0,0,X145/T145)</f>
        <v>-9.813734115839249E-3</v>
      </c>
    </row>
    <row r="146" spans="1:26" x14ac:dyDescent="0.25">
      <c r="A146" s="9"/>
      <c r="B146" s="10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x14ac:dyDescent="0.25">
      <c r="A147" s="51"/>
      <c r="B147" s="10" t="s">
        <v>13</v>
      </c>
      <c r="C147" s="10"/>
      <c r="D147" s="4">
        <v>20652.59</v>
      </c>
      <c r="E147" s="4"/>
      <c r="F147" s="12">
        <f>IF(D$12=0,0,D147/D$12)</f>
        <v>7.8582976183935241E-2</v>
      </c>
      <c r="G147" s="4"/>
      <c r="H147" s="4">
        <v>23549.46</v>
      </c>
      <c r="I147" s="4"/>
      <c r="J147" s="12">
        <f>IF(H$12=0,0,H147/H$12)</f>
        <v>0.10167985886943738</v>
      </c>
      <c r="K147" s="4"/>
      <c r="L147" s="4">
        <f>+D147-H147</f>
        <v>-2896.869999999999</v>
      </c>
      <c r="M147" s="4"/>
      <c r="N147" s="12">
        <f>IF(H147=0,0,L147/H147)</f>
        <v>-0.12301216248695296</v>
      </c>
      <c r="O147" s="10"/>
      <c r="P147" s="4">
        <v>112983.23999999999</v>
      </c>
      <c r="Q147" s="4"/>
      <c r="R147" s="12">
        <f>IF(P$12=0,0,P147/P$12)</f>
        <v>0.10066255049599429</v>
      </c>
      <c r="S147" s="4"/>
      <c r="T147" s="4">
        <v>91208.42</v>
      </c>
      <c r="U147" s="4"/>
      <c r="V147" s="12">
        <f>IF(T$12=0,0,T147/T$12)</f>
        <v>9.183979471028661E-2</v>
      </c>
      <c r="W147" s="4"/>
      <c r="X147" s="4">
        <f>+P147-T147</f>
        <v>21774.819999999992</v>
      </c>
      <c r="Y147" s="4"/>
      <c r="Z147" s="12">
        <f>IF(T147=0,0,X147/T147)</f>
        <v>0.2387369499438757</v>
      </c>
    </row>
    <row r="148" spans="1:26" x14ac:dyDescent="0.2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8" t="s">
        <v>4</v>
      </c>
      <c r="C149" s="28"/>
      <c r="D149" s="31">
        <f>+D145-D147</f>
        <v>14511.179999999989</v>
      </c>
      <c r="E149" s="14"/>
      <c r="F149" s="34">
        <f>IF(D$12=0,0,D149/D$12)</f>
        <v>5.5214949424783839E-2</v>
      </c>
      <c r="G149" s="14"/>
      <c r="H149" s="31">
        <f>+H145-H147</f>
        <v>21167.78</v>
      </c>
      <c r="I149" s="14"/>
      <c r="J149" s="34">
        <f>IF(H$12=0,0,H149/H$12)</f>
        <v>9.1396443187202553E-2</v>
      </c>
      <c r="K149" s="16"/>
      <c r="L149" s="31">
        <f>D149-H149</f>
        <v>-6656.6000000000095</v>
      </c>
      <c r="M149" s="16"/>
      <c r="N149" s="34">
        <f>IF(H149=0,0,L149/H149)</f>
        <v>-0.31446849882226713</v>
      </c>
      <c r="O149" s="29"/>
      <c r="P149" s="31">
        <f>+P145-P147</f>
        <v>160523.02000000002</v>
      </c>
      <c r="Q149" s="14"/>
      <c r="R149" s="34">
        <f>IF(P$12=0,0,P149/P$12)</f>
        <v>0.14301817337261266</v>
      </c>
      <c r="S149" s="14"/>
      <c r="T149" s="31">
        <f>+T145-T147</f>
        <v>185008.56000000011</v>
      </c>
      <c r="U149" s="14"/>
      <c r="V149" s="34">
        <f>IF(T$12=0,0,T149/T$12)</f>
        <v>0.18628925015964262</v>
      </c>
      <c r="W149" s="16"/>
      <c r="X149" s="31">
        <f>P149-T149</f>
        <v>-24485.540000000095</v>
      </c>
      <c r="Y149" s="16"/>
      <c r="Z149" s="34">
        <f>IF(T149=0,0,X149/T149)</f>
        <v>-0.13234814648576304</v>
      </c>
    </row>
    <row r="150" spans="1:26" ht="15.75" thickTop="1" x14ac:dyDescent="0.25">
      <c r="A150" s="9"/>
      <c r="B150" s="9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x14ac:dyDescent="0.25">
      <c r="A151" s="9"/>
      <c r="B151" s="9"/>
      <c r="C151" s="9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ht="15.75" thickBot="1" x14ac:dyDescent="0.3">
      <c r="A152" s="10"/>
      <c r="B152" s="28" t="s">
        <v>5</v>
      </c>
      <c r="C152" s="28"/>
      <c r="D152" s="36">
        <f>SUM(D149:D151)</f>
        <v>14511.179999999989</v>
      </c>
      <c r="E152" s="14"/>
      <c r="F152" s="33">
        <f>IF(D$12=0,0,D152/D$12)</f>
        <v>5.5214949424783839E-2</v>
      </c>
      <c r="G152" s="14"/>
      <c r="H152" s="36">
        <f>SUM(H149:H151)</f>
        <v>21167.78</v>
      </c>
      <c r="I152" s="14"/>
      <c r="J152" s="33">
        <f>IF(H$12=0,0,H152/H$12)</f>
        <v>9.1396443187202553E-2</v>
      </c>
      <c r="K152" s="16"/>
      <c r="L152" s="36">
        <f>+D152-H152</f>
        <v>-6656.6000000000095</v>
      </c>
      <c r="M152" s="16"/>
      <c r="N152" s="33">
        <f>IF(H152=0,0,L152/H152)</f>
        <v>-0.31446849882226713</v>
      </c>
      <c r="O152" s="29"/>
      <c r="P152" s="36">
        <f>SUM(P149:P151)</f>
        <v>160523.02000000002</v>
      </c>
      <c r="Q152" s="14"/>
      <c r="R152" s="33">
        <f>IF(P$12=0,0,P152/P$12)</f>
        <v>0.14301817337261266</v>
      </c>
      <c r="S152" s="14"/>
      <c r="T152" s="36">
        <f>SUM(T149:T151)</f>
        <v>185008.56000000011</v>
      </c>
      <c r="U152" s="14"/>
      <c r="V152" s="33">
        <f>IF(T$12=0,0,T152/T$12)</f>
        <v>0.18628925015964262</v>
      </c>
      <c r="W152" s="16"/>
      <c r="X152" s="36">
        <f>+P152-T152</f>
        <v>-24485.540000000095</v>
      </c>
      <c r="Y152" s="16"/>
      <c r="Z152" s="33">
        <f>IF(T152=0,0,X152/T152)</f>
        <v>-0.13234814648576304</v>
      </c>
    </row>
    <row r="153" spans="1:26" ht="15.75" thickTop="1" x14ac:dyDescent="0.25">
      <c r="A153" s="9"/>
      <c r="C153" s="9"/>
      <c r="D153" s="18"/>
      <c r="E153" s="18"/>
      <c r="G153" s="18"/>
      <c r="H153" s="18"/>
      <c r="I153" s="18"/>
      <c r="J153" s="42"/>
      <c r="K153" s="18"/>
      <c r="L153" s="18"/>
      <c r="M153" s="18"/>
      <c r="P153" s="18"/>
      <c r="Q153" s="18"/>
      <c r="R153" s="42"/>
      <c r="S153" s="18"/>
      <c r="T153" s="18"/>
      <c r="U153" s="18"/>
      <c r="V153" s="42"/>
      <c r="W153" s="18"/>
      <c r="X153" s="18"/>
    </row>
    <row r="154" spans="1:26" x14ac:dyDescent="0.25">
      <c r="A154" s="9"/>
      <c r="B154" s="61">
        <v>43791.354847337963</v>
      </c>
      <c r="D154" s="18"/>
      <c r="E154" s="18"/>
      <c r="G154" s="18"/>
      <c r="H154" s="18"/>
      <c r="I154" s="18"/>
      <c r="J154" s="42"/>
      <c r="K154" s="18"/>
      <c r="L154" s="18"/>
      <c r="M154" s="18"/>
      <c r="P154" s="18"/>
      <c r="Q154" s="18"/>
      <c r="R154" s="42"/>
      <c r="S154" s="18"/>
      <c r="T154" s="18"/>
      <c r="U154" s="18"/>
      <c r="V154" s="42"/>
      <c r="W154" s="18"/>
      <c r="X154" s="18"/>
    </row>
    <row r="155" spans="1:26" x14ac:dyDescent="0.25">
      <c r="A155" s="9"/>
      <c r="B155" s="56" t="s">
        <v>313</v>
      </c>
      <c r="D155" s="18"/>
      <c r="E155" s="18"/>
      <c r="G155" s="18"/>
      <c r="H155" s="18"/>
      <c r="I155" s="18"/>
      <c r="J155" s="42"/>
      <c r="K155" s="18"/>
      <c r="L155" s="18"/>
      <c r="M155" s="18"/>
      <c r="P155" s="18"/>
      <c r="Q155" s="18"/>
      <c r="R155" s="42"/>
      <c r="S155" s="18"/>
      <c r="T155" s="18"/>
      <c r="U155" s="18"/>
      <c r="V155" s="42"/>
      <c r="W155" s="18"/>
      <c r="X155" s="18"/>
    </row>
    <row r="156" spans="1:26" x14ac:dyDescent="0.25">
      <c r="A156" s="9"/>
      <c r="B156" s="57"/>
      <c r="D156" s="18"/>
      <c r="E156" s="18"/>
      <c r="G156" s="18"/>
      <c r="H156" s="18"/>
      <c r="I156" s="18"/>
      <c r="J156" s="42"/>
      <c r="K156" s="18"/>
      <c r="L156" s="18"/>
      <c r="M156" s="18"/>
      <c r="P156" s="18"/>
      <c r="Q156" s="18"/>
      <c r="R156" s="42"/>
      <c r="S156" s="18"/>
      <c r="T156" s="18"/>
      <c r="U156" s="18"/>
      <c r="V156" s="42"/>
      <c r="W156" s="18"/>
      <c r="X156" s="18"/>
    </row>
    <row r="157" spans="1:26" x14ac:dyDescent="0.25">
      <c r="D157" s="18"/>
      <c r="E157" s="18"/>
      <c r="G157" s="18"/>
      <c r="H157" s="18"/>
      <c r="I157" s="18"/>
      <c r="J157" s="42"/>
      <c r="K157" s="18"/>
      <c r="L157" s="18"/>
      <c r="M157" s="18"/>
      <c r="P157" s="18"/>
      <c r="Q157" s="18"/>
      <c r="R157" s="42"/>
      <c r="S157" s="18"/>
      <c r="T157" s="18"/>
      <c r="U157" s="18"/>
      <c r="V157" s="42"/>
      <c r="W157" s="18"/>
      <c r="X157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","315", " - ", "Beach Shop")</f>
        <v>Department 315 - Beach Shop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221882.75999999998</v>
      </c>
      <c r="E12" s="4"/>
      <c r="F12" s="12"/>
      <c r="G12" s="4"/>
      <c r="H12" s="4">
        <f>SUM(OSRRefH13x_0)</f>
        <v>193914.84999999998</v>
      </c>
      <c r="I12" s="4"/>
      <c r="J12" s="12"/>
      <c r="K12" s="4"/>
      <c r="L12" s="4">
        <f t="shared" ref="L12:L32" si="0">+D12-H12</f>
        <v>27967.910000000003</v>
      </c>
      <c r="M12" s="4"/>
      <c r="N12" s="12">
        <f t="shared" ref="N12:N32" si="1">IF(H12=0,0,L12/H12)</f>
        <v>0.14422778864022021</v>
      </c>
      <c r="O12" s="10"/>
      <c r="P12" s="4">
        <f>SUM(OSRRefP13x_0)</f>
        <v>927927.5199999999</v>
      </c>
      <c r="Q12" s="4"/>
      <c r="R12" s="12"/>
      <c r="S12" s="4"/>
      <c r="T12" s="4">
        <f>SUM(OSRRefT13x_0)</f>
        <v>825809.79999999981</v>
      </c>
      <c r="U12" s="4"/>
      <c r="V12" s="12"/>
      <c r="W12" s="4"/>
      <c r="X12" s="4">
        <f t="shared" ref="X12:X32" si="2">+P12-T12</f>
        <v>102117.72000000009</v>
      </c>
      <c r="Y12" s="4"/>
      <c r="Z12" s="12">
        <f t="shared" ref="Z12:Z32" si="3">IF(T12=0,0,X12/T12)</f>
        <v>0.12365767516927034</v>
      </c>
    </row>
    <row r="13" spans="1:26" s="24" customFormat="1" hidden="1" outlineLevel="1" x14ac:dyDescent="0.25">
      <c r="A13" s="44"/>
      <c r="B13" s="11" t="str">
        <f>CONCATENATE("          ", "4040", " - ", "TAXABLE SALES-LOGO CLOTHING")</f>
        <v xml:space="preserve">          4040 - TAXABLE SALES-LOGO CLOTHING</v>
      </c>
      <c r="C13" s="11"/>
      <c r="D13" s="2">
        <f>--180151.01</f>
        <v>180151.01</v>
      </c>
      <c r="E13" s="2"/>
      <c r="F13" s="19"/>
      <c r="G13" s="2"/>
      <c r="H13" s="2">
        <f>--142730.16</f>
        <v>142730.16</v>
      </c>
      <c r="I13" s="2"/>
      <c r="J13" s="19"/>
      <c r="K13" s="2"/>
      <c r="L13" s="2">
        <f t="shared" si="0"/>
        <v>37420.850000000006</v>
      </c>
      <c r="M13" s="2"/>
      <c r="N13" s="19">
        <f t="shared" si="1"/>
        <v>0.26217899566566732</v>
      </c>
      <c r="O13" s="11"/>
      <c r="P13" s="2">
        <f>--684694.08</f>
        <v>684694.08</v>
      </c>
      <c r="Q13" s="2"/>
      <c r="R13" s="19"/>
      <c r="S13" s="2"/>
      <c r="T13" s="2">
        <f>--578083.71</f>
        <v>578083.71</v>
      </c>
      <c r="U13" s="2"/>
      <c r="V13" s="19"/>
      <c r="W13" s="2"/>
      <c r="X13" s="2">
        <f t="shared" si="2"/>
        <v>106610.37</v>
      </c>
      <c r="Y13" s="2"/>
      <c r="Z13" s="19">
        <f t="shared" si="3"/>
        <v>0.18442029788384801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--21919.24</f>
        <v>21919.24</v>
      </c>
      <c r="E14" s="2"/>
      <c r="F14" s="19"/>
      <c r="G14" s="2"/>
      <c r="H14" s="2">
        <f>--23511.82</f>
        <v>23511.82</v>
      </c>
      <c r="I14" s="2"/>
      <c r="J14" s="19"/>
      <c r="K14" s="2"/>
      <c r="L14" s="2">
        <f t="shared" si="0"/>
        <v>-1592.5799999999981</v>
      </c>
      <c r="M14" s="2"/>
      <c r="N14" s="19">
        <f t="shared" si="1"/>
        <v>-6.7735292291281501E-2</v>
      </c>
      <c r="O14" s="11"/>
      <c r="P14" s="2">
        <f>--110862.96</f>
        <v>110862.96</v>
      </c>
      <c r="Q14" s="2"/>
      <c r="R14" s="19"/>
      <c r="S14" s="2"/>
      <c r="T14" s="2">
        <f>--108571.81</f>
        <v>108571.81</v>
      </c>
      <c r="U14" s="2"/>
      <c r="V14" s="19"/>
      <c r="W14" s="2"/>
      <c r="X14" s="2">
        <f t="shared" si="2"/>
        <v>2291.1500000000087</v>
      </c>
      <c r="Y14" s="2"/>
      <c r="Z14" s="19">
        <f t="shared" si="3"/>
        <v>2.1102623231573726E-2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--14300.31</f>
        <v>14300.31</v>
      </c>
      <c r="E15" s="2"/>
      <c r="F15" s="19"/>
      <c r="G15" s="2"/>
      <c r="H15" s="2">
        <f>--16775.5</f>
        <v>16775.5</v>
      </c>
      <c r="I15" s="2"/>
      <c r="J15" s="19"/>
      <c r="K15" s="2"/>
      <c r="L15" s="2">
        <f t="shared" si="0"/>
        <v>-2475.1900000000005</v>
      </c>
      <c r="M15" s="2"/>
      <c r="N15" s="19">
        <f t="shared" si="1"/>
        <v>-0.14754791213376653</v>
      </c>
      <c r="O15" s="11"/>
      <c r="P15" s="2">
        <f>--78178.19</f>
        <v>78178.19</v>
      </c>
      <c r="Q15" s="2"/>
      <c r="R15" s="19"/>
      <c r="S15" s="2"/>
      <c r="T15" s="2">
        <f>--62386.69</f>
        <v>62386.69</v>
      </c>
      <c r="U15" s="2"/>
      <c r="V15" s="19"/>
      <c r="W15" s="2"/>
      <c r="X15" s="2">
        <f t="shared" si="2"/>
        <v>15791.5</v>
      </c>
      <c r="Y15" s="2"/>
      <c r="Z15" s="19">
        <f t="shared" si="3"/>
        <v>0.25312290169585849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--60.49</f>
        <v>60.49</v>
      </c>
      <c r="E16" s="2"/>
      <c r="F16" s="19"/>
      <c r="G16" s="2"/>
      <c r="H16" s="2">
        <f>--322.62</f>
        <v>322.62</v>
      </c>
      <c r="I16" s="2"/>
      <c r="J16" s="19"/>
      <c r="K16" s="2"/>
      <c r="L16" s="2">
        <f t="shared" si="0"/>
        <v>-262.13</v>
      </c>
      <c r="M16" s="2"/>
      <c r="N16" s="19">
        <f t="shared" si="1"/>
        <v>-0.81250387452730766</v>
      </c>
      <c r="O16" s="11"/>
      <c r="P16" s="2">
        <f>--422.57</f>
        <v>422.57</v>
      </c>
      <c r="Q16" s="2"/>
      <c r="R16" s="19"/>
      <c r="S16" s="2"/>
      <c r="T16" s="2">
        <f>--700.79</f>
        <v>700.79</v>
      </c>
      <c r="U16" s="2"/>
      <c r="V16" s="19"/>
      <c r="W16" s="2"/>
      <c r="X16" s="2">
        <f t="shared" si="2"/>
        <v>-278.21999999999997</v>
      </c>
      <c r="Y16" s="2"/>
      <c r="Z16" s="19">
        <f t="shared" si="3"/>
        <v>-0.39700908974157734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--4564.29</f>
        <v>4564.29</v>
      </c>
      <c r="E17" s="2"/>
      <c r="F17" s="19"/>
      <c r="G17" s="2"/>
      <c r="H17" s="2">
        <f>--4331.3</f>
        <v>4331.3</v>
      </c>
      <c r="I17" s="2"/>
      <c r="J17" s="19"/>
      <c r="K17" s="2"/>
      <c r="L17" s="2">
        <f t="shared" si="0"/>
        <v>232.98999999999978</v>
      </c>
      <c r="M17" s="2"/>
      <c r="N17" s="19">
        <f t="shared" si="1"/>
        <v>5.3792164015422569E-2</v>
      </c>
      <c r="O17" s="11"/>
      <c r="P17" s="2">
        <f>--31854.2</f>
        <v>31854.2</v>
      </c>
      <c r="Q17" s="2"/>
      <c r="R17" s="19"/>
      <c r="S17" s="2"/>
      <c r="T17" s="2">
        <f>--32753.08</f>
        <v>32753.08</v>
      </c>
      <c r="U17" s="2"/>
      <c r="V17" s="19"/>
      <c r="W17" s="2"/>
      <c r="X17" s="2">
        <f t="shared" si="2"/>
        <v>-898.88000000000102</v>
      </c>
      <c r="Y17" s="2"/>
      <c r="Z17" s="19">
        <f t="shared" si="3"/>
        <v>-2.7444136551432751E-2</v>
      </c>
    </row>
    <row r="18" spans="1:26" s="24" customFormat="1" hidden="1" outlineLevel="1" x14ac:dyDescent="0.25">
      <c r="A18" s="44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--4525.99</f>
        <v>4525.99</v>
      </c>
      <c r="E18" s="2"/>
      <c r="F18" s="19"/>
      <c r="G18" s="2"/>
      <c r="H18" s="2">
        <f>--9588.67</f>
        <v>9588.67</v>
      </c>
      <c r="I18" s="2"/>
      <c r="J18" s="19"/>
      <c r="K18" s="2"/>
      <c r="L18" s="2">
        <f t="shared" si="0"/>
        <v>-5062.68</v>
      </c>
      <c r="M18" s="2"/>
      <c r="N18" s="19">
        <f t="shared" si="1"/>
        <v>-0.52798563304399881</v>
      </c>
      <c r="O18" s="11"/>
      <c r="P18" s="2">
        <f>--35485.34</f>
        <v>35485.339999999997</v>
      </c>
      <c r="Q18" s="2"/>
      <c r="R18" s="19"/>
      <c r="S18" s="2"/>
      <c r="T18" s="2">
        <f>--57688.76</f>
        <v>57688.76</v>
      </c>
      <c r="U18" s="2"/>
      <c r="V18" s="19"/>
      <c r="W18" s="2"/>
      <c r="X18" s="2">
        <f t="shared" si="2"/>
        <v>-22203.420000000006</v>
      </c>
      <c r="Y18" s="2"/>
      <c r="Z18" s="19">
        <f t="shared" si="3"/>
        <v>-0.38488294773539949</v>
      </c>
    </row>
    <row r="19" spans="1:26" s="24" customFormat="1" hidden="1" outlineLevel="1" x14ac:dyDescent="0.25">
      <c r="A19" s="44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--4377.82</f>
        <v>4377.82</v>
      </c>
      <c r="E19" s="2"/>
      <c r="F19" s="19"/>
      <c r="G19" s="2"/>
      <c r="H19" s="2">
        <f>--3652.71</f>
        <v>3652.71</v>
      </c>
      <c r="I19" s="2"/>
      <c r="J19" s="19"/>
      <c r="K19" s="2"/>
      <c r="L19" s="2">
        <f t="shared" si="0"/>
        <v>725.10999999999967</v>
      </c>
      <c r="M19" s="2"/>
      <c r="N19" s="19">
        <f t="shared" si="1"/>
        <v>0.19851288495391084</v>
      </c>
      <c r="O19" s="11"/>
      <c r="P19" s="2">
        <f>--12635.52</f>
        <v>12635.52</v>
      </c>
      <c r="Q19" s="2"/>
      <c r="R19" s="19"/>
      <c r="S19" s="2"/>
      <c r="T19" s="2">
        <f>--11557.01</f>
        <v>11557.01</v>
      </c>
      <c r="U19" s="2"/>
      <c r="V19" s="19"/>
      <c r="W19" s="2"/>
      <c r="X19" s="2">
        <f t="shared" si="2"/>
        <v>1078.5100000000002</v>
      </c>
      <c r="Y19" s="2"/>
      <c r="Z19" s="19">
        <f t="shared" si="3"/>
        <v>9.3320850289131896E-2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--581.29</f>
        <v>581.29</v>
      </c>
      <c r="E20" s="2"/>
      <c r="F20" s="19"/>
      <c r="G20" s="2"/>
      <c r="H20" s="2">
        <f>--741.24</f>
        <v>741.24</v>
      </c>
      <c r="I20" s="2"/>
      <c r="J20" s="19"/>
      <c r="K20" s="2"/>
      <c r="L20" s="2">
        <f t="shared" si="0"/>
        <v>-159.95000000000005</v>
      </c>
      <c r="M20" s="2"/>
      <c r="N20" s="19">
        <f t="shared" si="1"/>
        <v>-0.21578705952188232</v>
      </c>
      <c r="O20" s="11"/>
      <c r="P20" s="2">
        <f>--1243.18</f>
        <v>1243.18</v>
      </c>
      <c r="Q20" s="2"/>
      <c r="R20" s="19"/>
      <c r="S20" s="2"/>
      <c r="T20" s="2">
        <f>--1282.08</f>
        <v>1282.08</v>
      </c>
      <c r="U20" s="2"/>
      <c r="V20" s="19"/>
      <c r="W20" s="2"/>
      <c r="X20" s="2">
        <f t="shared" si="2"/>
        <v>-38.899999999999864</v>
      </c>
      <c r="Y20" s="2"/>
      <c r="Z20" s="19">
        <f t="shared" si="3"/>
        <v>-3.0341320354423957E-2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--592.21</f>
        <v>592.21</v>
      </c>
      <c r="E21" s="2"/>
      <c r="F21" s="19"/>
      <c r="G21" s="2"/>
      <c r="H21" s="2">
        <f>--425.35</f>
        <v>425.35</v>
      </c>
      <c r="I21" s="2"/>
      <c r="J21" s="19"/>
      <c r="K21" s="2"/>
      <c r="L21" s="2">
        <f t="shared" si="0"/>
        <v>166.86</v>
      </c>
      <c r="M21" s="2"/>
      <c r="N21" s="19">
        <f t="shared" si="1"/>
        <v>0.39228870342071237</v>
      </c>
      <c r="O21" s="11"/>
      <c r="P21" s="2">
        <f>--1413.74</f>
        <v>1413.74</v>
      </c>
      <c r="Q21" s="2"/>
      <c r="R21" s="19"/>
      <c r="S21" s="2"/>
      <c r="T21" s="2">
        <f>--567.61</f>
        <v>567.61</v>
      </c>
      <c r="U21" s="2"/>
      <c r="V21" s="19"/>
      <c r="W21" s="2"/>
      <c r="X21" s="2">
        <f t="shared" si="2"/>
        <v>846.13</v>
      </c>
      <c r="Y21" s="2"/>
      <c r="Z21" s="19">
        <f t="shared" si="3"/>
        <v>1.4906890294392277</v>
      </c>
    </row>
    <row r="22" spans="1:26" s="24" customFormat="1" hidden="1" outlineLevel="1" x14ac:dyDescent="0.25">
      <c r="A22" s="44"/>
      <c r="B22" s="11" t="str">
        <f>CONCATENATE("          ", "4144", " - ", "NON-TAXABLE SALES-ACCESSORIES")</f>
        <v xml:space="preserve">          4144 - NON-TAXABLE SALES-ACCESSORIES</v>
      </c>
      <c r="C22" s="11"/>
      <c r="D22" s="2">
        <f>--71.85</f>
        <v>71.849999999999994</v>
      </c>
      <c r="E22" s="2"/>
      <c r="F22" s="19"/>
      <c r="G22" s="2"/>
      <c r="H22" s="2">
        <f>--165.85</f>
        <v>165.85</v>
      </c>
      <c r="I22" s="2"/>
      <c r="J22" s="19"/>
      <c r="K22" s="2"/>
      <c r="L22" s="2">
        <f t="shared" si="0"/>
        <v>-94</v>
      </c>
      <c r="M22" s="2"/>
      <c r="N22" s="19">
        <f t="shared" si="1"/>
        <v>-0.56677720832077183</v>
      </c>
      <c r="O22" s="11"/>
      <c r="P22" s="2">
        <f>--211.61</f>
        <v>211.61</v>
      </c>
      <c r="Q22" s="2"/>
      <c r="R22" s="19"/>
      <c r="S22" s="2"/>
      <c r="T22" s="2">
        <f>--340.6</f>
        <v>340.6</v>
      </c>
      <c r="U22" s="2"/>
      <c r="V22" s="19"/>
      <c r="W22" s="2"/>
      <c r="X22" s="2">
        <f t="shared" si="2"/>
        <v>-128.99</v>
      </c>
      <c r="Y22" s="2"/>
      <c r="Z22" s="19">
        <f t="shared" si="3"/>
        <v>-0.3787140340575455</v>
      </c>
    </row>
    <row r="23" spans="1:26" s="24" customFormat="1" hidden="1" outlineLevel="1" x14ac:dyDescent="0.25">
      <c r="A23" s="44"/>
      <c r="B23" s="11" t="str">
        <f>CONCATENATE("          ", "4145", " - ", "NON-TAXABLE SALES-SPECIAL ORDE")</f>
        <v xml:space="preserve">          4145 - NON-TAXABLE SALES-SPECIAL ORDE</v>
      </c>
      <c r="C23" s="11"/>
      <c r="D23" s="2">
        <f>0</f>
        <v>0</v>
      </c>
      <c r="E23" s="2"/>
      <c r="F23" s="19"/>
      <c r="G23" s="2"/>
      <c r="H23" s="2">
        <f>--59.85</f>
        <v>59.85</v>
      </c>
      <c r="I23" s="2"/>
      <c r="J23" s="19"/>
      <c r="K23" s="2"/>
      <c r="L23" s="2">
        <f t="shared" si="0"/>
        <v>-59.85</v>
      </c>
      <c r="M23" s="2"/>
      <c r="N23" s="19">
        <f t="shared" si="1"/>
        <v>-1</v>
      </c>
      <c r="O23" s="11"/>
      <c r="P23" s="2">
        <f>--90</f>
        <v>90</v>
      </c>
      <c r="Q23" s="2"/>
      <c r="R23" s="19"/>
      <c r="S23" s="2"/>
      <c r="T23" s="2">
        <f>--261.6</f>
        <v>261.60000000000002</v>
      </c>
      <c r="U23" s="2"/>
      <c r="V23" s="19"/>
      <c r="W23" s="2"/>
      <c r="X23" s="2">
        <f t="shared" si="2"/>
        <v>-171.60000000000002</v>
      </c>
      <c r="Y23" s="2"/>
      <c r="Z23" s="19">
        <f t="shared" si="3"/>
        <v>-0.65596330275229364</v>
      </c>
    </row>
    <row r="24" spans="1:26" s="24" customFormat="1" hidden="1" outlineLevel="1" x14ac:dyDescent="0.25">
      <c r="A24" s="44"/>
      <c r="B24" s="11" t="str">
        <f>CONCATENATE("          ", "4240", " - ", "SALES RETURN TAXABLE-LOGO CLOT")</f>
        <v xml:space="preserve">          4240 - SALES RETURN TAXABLE-LOGO CLOT</v>
      </c>
      <c r="C24" s="11"/>
      <c r="D24" s="2">
        <f>-8619.62</f>
        <v>-8619.6200000000008</v>
      </c>
      <c r="E24" s="2"/>
      <c r="F24" s="19"/>
      <c r="G24" s="2"/>
      <c r="H24" s="2">
        <f>-6995.42</f>
        <v>-6995.42</v>
      </c>
      <c r="I24" s="2"/>
      <c r="J24" s="19"/>
      <c r="K24" s="2"/>
      <c r="L24" s="2">
        <f t="shared" si="0"/>
        <v>-1624.2000000000007</v>
      </c>
      <c r="M24" s="2"/>
      <c r="N24" s="19">
        <f t="shared" si="1"/>
        <v>0.23218048380225931</v>
      </c>
      <c r="O24" s="11"/>
      <c r="P24" s="2">
        <f>-25056.56</f>
        <v>-25056.560000000001</v>
      </c>
      <c r="Q24" s="2"/>
      <c r="R24" s="19"/>
      <c r="S24" s="2"/>
      <c r="T24" s="2">
        <f>-22386.74</f>
        <v>-22386.74</v>
      </c>
      <c r="U24" s="2"/>
      <c r="V24" s="19"/>
      <c r="W24" s="2"/>
      <c r="X24" s="2">
        <f t="shared" si="2"/>
        <v>-2669.8199999999997</v>
      </c>
      <c r="Y24" s="2"/>
      <c r="Z24" s="19">
        <f t="shared" si="3"/>
        <v>0.1192589899199258</v>
      </c>
    </row>
    <row r="25" spans="1:26" s="24" customFormat="1" hidden="1" outlineLevel="1" x14ac:dyDescent="0.25">
      <c r="A25" s="44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-248.32</f>
        <v>-248.32</v>
      </c>
      <c r="E25" s="2"/>
      <c r="F25" s="19"/>
      <c r="G25" s="2"/>
      <c r="H25" s="2">
        <f>-696.28</f>
        <v>-696.28</v>
      </c>
      <c r="I25" s="2"/>
      <c r="J25" s="19"/>
      <c r="K25" s="2"/>
      <c r="L25" s="2">
        <f t="shared" si="0"/>
        <v>447.96</v>
      </c>
      <c r="M25" s="2"/>
      <c r="N25" s="19">
        <f t="shared" si="1"/>
        <v>-0.64336186591601074</v>
      </c>
      <c r="O25" s="11"/>
      <c r="P25" s="2">
        <f>-1348.95</f>
        <v>-1348.95</v>
      </c>
      <c r="Q25" s="2"/>
      <c r="R25" s="19"/>
      <c r="S25" s="2"/>
      <c r="T25" s="2">
        <f>-2306.27</f>
        <v>-2306.27</v>
      </c>
      <c r="U25" s="2"/>
      <c r="V25" s="19"/>
      <c r="W25" s="2"/>
      <c r="X25" s="2">
        <f t="shared" si="2"/>
        <v>957.31999999999994</v>
      </c>
      <c r="Y25" s="2"/>
      <c r="Z25" s="19">
        <f t="shared" si="3"/>
        <v>-0.41509450324550029</v>
      </c>
    </row>
    <row r="26" spans="1:26" s="24" customFormat="1" hidden="1" outlineLevel="1" x14ac:dyDescent="0.25">
      <c r="A26" s="44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-116.15</f>
        <v>-116.15</v>
      </c>
      <c r="E26" s="2"/>
      <c r="F26" s="19"/>
      <c r="G26" s="2"/>
      <c r="H26" s="2">
        <f>-321.92</f>
        <v>-321.92</v>
      </c>
      <c r="I26" s="2"/>
      <c r="J26" s="19"/>
      <c r="K26" s="2"/>
      <c r="L26" s="2">
        <f t="shared" si="0"/>
        <v>205.77</v>
      </c>
      <c r="M26" s="2"/>
      <c r="N26" s="19">
        <f t="shared" si="1"/>
        <v>-0.63919607355864816</v>
      </c>
      <c r="O26" s="11"/>
      <c r="P26" s="2">
        <f>-855.28</f>
        <v>-855.28</v>
      </c>
      <c r="Q26" s="2"/>
      <c r="R26" s="19"/>
      <c r="S26" s="2"/>
      <c r="T26" s="2">
        <f>-956.43</f>
        <v>-956.43</v>
      </c>
      <c r="U26" s="2"/>
      <c r="V26" s="19"/>
      <c r="W26" s="2"/>
      <c r="X26" s="2">
        <f t="shared" si="2"/>
        <v>101.14999999999998</v>
      </c>
      <c r="Y26" s="2"/>
      <c r="Z26" s="19">
        <f t="shared" si="3"/>
        <v>-0.10575787041393514</v>
      </c>
    </row>
    <row r="27" spans="1:26" s="24" customFormat="1" hidden="1" outlineLevel="1" x14ac:dyDescent="0.25">
      <c r="A27" s="44"/>
      <c r="B27" s="11" t="str">
        <f>CONCATENATE("          ", "4243", " - ", "SALES RETURN TAXABLE-CARDS")</f>
        <v xml:space="preserve">          4243 - SALES RETURN TAXABLE-CARDS</v>
      </c>
      <c r="C27" s="11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-4.5</f>
        <v>-4.5</v>
      </c>
      <c r="Q27" s="2"/>
      <c r="R27" s="19"/>
      <c r="S27" s="2"/>
      <c r="T27" s="2">
        <f>-12.95</f>
        <v>-12.95</v>
      </c>
      <c r="U27" s="2"/>
      <c r="V27" s="19"/>
      <c r="W27" s="2"/>
      <c r="X27" s="2">
        <f t="shared" si="2"/>
        <v>8.4499999999999993</v>
      </c>
      <c r="Y27" s="2"/>
      <c r="Z27" s="19">
        <f t="shared" si="3"/>
        <v>-0.65250965250965254</v>
      </c>
    </row>
    <row r="28" spans="1:26" s="24" customFormat="1" hidden="1" outlineLevel="1" x14ac:dyDescent="0.25">
      <c r="A28" s="44"/>
      <c r="B28" s="11" t="str">
        <f>CONCATENATE("          ", "4244", " - ", "SALES RETURN TAXABLE-ACCESSORI")</f>
        <v xml:space="preserve">          4244 - SALES RETURN TAXABLE-ACCESSORI</v>
      </c>
      <c r="C28" s="11"/>
      <c r="D28" s="2">
        <f>-177.85</f>
        <v>-177.85</v>
      </c>
      <c r="E28" s="2"/>
      <c r="F28" s="19"/>
      <c r="G28" s="2"/>
      <c r="H28" s="2">
        <f>-324.75</f>
        <v>-324.75</v>
      </c>
      <c r="I28" s="2"/>
      <c r="J28" s="19"/>
      <c r="K28" s="2"/>
      <c r="L28" s="2">
        <f t="shared" si="0"/>
        <v>146.9</v>
      </c>
      <c r="M28" s="2"/>
      <c r="N28" s="19">
        <f t="shared" si="1"/>
        <v>-0.45234795996920713</v>
      </c>
      <c r="O28" s="11"/>
      <c r="P28" s="2">
        <f>-1409.41</f>
        <v>-1409.41</v>
      </c>
      <c r="Q28" s="2"/>
      <c r="R28" s="19"/>
      <c r="S28" s="2"/>
      <c r="T28" s="2">
        <f>-2248.16</f>
        <v>-2248.16</v>
      </c>
      <c r="U28" s="2"/>
      <c r="V28" s="19"/>
      <c r="W28" s="2"/>
      <c r="X28" s="2">
        <f t="shared" si="2"/>
        <v>838.74999999999977</v>
      </c>
      <c r="Y28" s="2"/>
      <c r="Z28" s="19">
        <f t="shared" si="3"/>
        <v>-0.37308287666358259</v>
      </c>
    </row>
    <row r="29" spans="1:26" s="24" customFormat="1" hidden="1" outlineLevel="1" x14ac:dyDescent="0.25">
      <c r="A29" s="44"/>
      <c r="B29" s="11" t="str">
        <f>CONCATENATE("          ", "4245", " - ", "SALES RETURN TAXABLE-SPECIAL O")</f>
        <v xml:space="preserve">          4245 - SALES RETURN TAXABLE-SPECIAL O</v>
      </c>
      <c r="C29" s="11"/>
      <c r="D29" s="2">
        <f t="shared" ref="D29:D30" si="4">0</f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-81.97</f>
        <v>-81.97</v>
      </c>
      <c r="Q29" s="2"/>
      <c r="R29" s="19"/>
      <c r="S29" s="2"/>
      <c r="T29" s="2">
        <f>-154.9</f>
        <v>-154.9</v>
      </c>
      <c r="U29" s="2"/>
      <c r="V29" s="19"/>
      <c r="W29" s="2"/>
      <c r="X29" s="2">
        <f t="shared" si="2"/>
        <v>72.930000000000007</v>
      </c>
      <c r="Y29" s="2"/>
      <c r="Z29" s="19">
        <f t="shared" si="3"/>
        <v>-0.47081988379599743</v>
      </c>
    </row>
    <row r="30" spans="1:26" s="24" customFormat="1" hidden="1" outlineLevel="1" x14ac:dyDescent="0.25">
      <c r="A30" s="44"/>
      <c r="B30" s="11" t="str">
        <f>CONCATENATE("          ", "4340", " - ", "SALES RETURN NON TAXABLE-LOGO")</f>
        <v xml:space="preserve">          4340 - SALES RETURN NON TAXABLE-LOGO</v>
      </c>
      <c r="C30" s="11"/>
      <c r="D30" s="2">
        <f t="shared" si="4"/>
        <v>0</v>
      </c>
      <c r="E30" s="2"/>
      <c r="F30" s="19"/>
      <c r="G30" s="2"/>
      <c r="H30" s="2">
        <f>-39.95</f>
        <v>-39.950000000000003</v>
      </c>
      <c r="I30" s="2"/>
      <c r="J30" s="19"/>
      <c r="K30" s="2"/>
      <c r="L30" s="2">
        <f t="shared" si="0"/>
        <v>39.950000000000003</v>
      </c>
      <c r="M30" s="2"/>
      <c r="N30" s="19">
        <f t="shared" si="1"/>
        <v>-1</v>
      </c>
      <c r="O30" s="11"/>
      <c r="P30" s="2">
        <f>-293.45</f>
        <v>-293.45</v>
      </c>
      <c r="Q30" s="2"/>
      <c r="R30" s="19"/>
      <c r="S30" s="2"/>
      <c r="T30" s="2">
        <f>-266.64</f>
        <v>-266.64</v>
      </c>
      <c r="U30" s="2"/>
      <c r="V30" s="19"/>
      <c r="W30" s="2"/>
      <c r="X30" s="2">
        <f t="shared" si="2"/>
        <v>-26.810000000000002</v>
      </c>
      <c r="Y30" s="2"/>
      <c r="Z30" s="19">
        <f t="shared" si="3"/>
        <v>0.10054755475547555</v>
      </c>
    </row>
    <row r="31" spans="1:26" s="24" customFormat="1" hidden="1" outlineLevel="1" x14ac:dyDescent="0.25">
      <c r="A31" s="44"/>
      <c r="B31" s="11" t="str">
        <f>CONCATENATE("          ", "4341", " - ", "SALES RETURN NON TAXABLE-LOGO")</f>
        <v xml:space="preserve">          4341 - SALES RETURN NON TAXABLE-LOGO</v>
      </c>
      <c r="C31" s="11"/>
      <c r="D31" s="2">
        <f>-6.95</f>
        <v>-6.95</v>
      </c>
      <c r="E31" s="2"/>
      <c r="F31" s="19"/>
      <c r="G31" s="2"/>
      <c r="H31" s="2">
        <f>-11.9</f>
        <v>-11.9</v>
      </c>
      <c r="I31" s="2"/>
      <c r="J31" s="19"/>
      <c r="K31" s="2"/>
      <c r="L31" s="2">
        <f t="shared" si="0"/>
        <v>4.95</v>
      </c>
      <c r="M31" s="2"/>
      <c r="N31" s="19">
        <f t="shared" si="1"/>
        <v>-0.41596638655462187</v>
      </c>
      <c r="O31" s="11"/>
      <c r="P31" s="2">
        <f>-10.9</f>
        <v>-10.9</v>
      </c>
      <c r="Q31" s="2"/>
      <c r="R31" s="19"/>
      <c r="S31" s="2"/>
      <c r="T31" s="2">
        <f>-51.85</f>
        <v>-51.85</v>
      </c>
      <c r="U31" s="2"/>
      <c r="V31" s="19"/>
      <c r="W31" s="2"/>
      <c r="X31" s="2">
        <f t="shared" si="2"/>
        <v>40.950000000000003</v>
      </c>
      <c r="Y31" s="2"/>
      <c r="Z31" s="19">
        <f t="shared" si="3"/>
        <v>-0.78977820636451301</v>
      </c>
    </row>
    <row r="32" spans="1:26" s="24" customFormat="1" hidden="1" outlineLevel="1" x14ac:dyDescent="0.25">
      <c r="A32" s="44"/>
      <c r="B32" s="11" t="str">
        <f>CONCATENATE("          ", "4342", " - ", "SALES RETURN NON TAXABLE-EVERY")</f>
        <v xml:space="preserve">          4342 - SALES RETURN NON TAXABLE-EVERY</v>
      </c>
      <c r="C32" s="11"/>
      <c r="D32" s="2">
        <f>-92.85</f>
        <v>-92.85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-92.85</v>
      </c>
      <c r="M32" s="2"/>
      <c r="N32" s="19">
        <f t="shared" si="1"/>
        <v>0</v>
      </c>
      <c r="O32" s="11"/>
      <c r="P32" s="2">
        <f>-102.85</f>
        <v>-102.85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-102.85</v>
      </c>
      <c r="Y32" s="2"/>
      <c r="Z32" s="19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9" t="s">
        <v>8</v>
      </c>
      <c r="C34" s="10"/>
      <c r="D34" s="4">
        <f>SUM(OSRRefD16x_0)</f>
        <v>103691.41000000002</v>
      </c>
      <c r="E34" s="4"/>
      <c r="F34" s="12">
        <f t="shared" ref="F34:F49" si="5">IF(D$12=0,0,D34/D$12)</f>
        <v>0.46732522166210672</v>
      </c>
      <c r="G34" s="4"/>
      <c r="H34" s="4">
        <f>SUM(OSRRefH16x_0)</f>
        <v>91581.950000000055</v>
      </c>
      <c r="I34" s="4"/>
      <c r="J34" s="12">
        <f t="shared" ref="J34:J49" si="6">IF(H$12=0,0,H34/H$12)</f>
        <v>0.4722791988339215</v>
      </c>
      <c r="K34" s="4"/>
      <c r="L34" s="4">
        <f t="shared" ref="L34:L49" si="7">+D34-H34</f>
        <v>12109.459999999963</v>
      </c>
      <c r="M34" s="4"/>
      <c r="N34" s="12">
        <f t="shared" ref="N34:N49" si="8">IF(H34=0,0,L34/H34)</f>
        <v>0.13222540031086863</v>
      </c>
      <c r="O34" s="10"/>
      <c r="P34" s="4">
        <f>SUM(OSRRefP16x_0)</f>
        <v>428700.07</v>
      </c>
      <c r="Q34" s="4"/>
      <c r="R34" s="12">
        <f t="shared" ref="R34:R49" si="9">IF(P$12=0,0,P34/P$12)</f>
        <v>0.4619973659149586</v>
      </c>
      <c r="S34" s="4"/>
      <c r="T34" s="4">
        <f>SUM(OSRRefT16x_0)</f>
        <v>390640.69</v>
      </c>
      <c r="U34" s="4"/>
      <c r="V34" s="12">
        <f t="shared" ref="V34:V49" si="10">IF(T$12=0,0,T34/T$12)</f>
        <v>0.47303954251935504</v>
      </c>
      <c r="W34" s="4"/>
      <c r="X34" s="4">
        <f t="shared" ref="X34:X49" si="11">+P34-T34</f>
        <v>38059.380000000005</v>
      </c>
      <c r="Y34" s="4"/>
      <c r="Z34" s="12">
        <f t="shared" ref="Z34:Z49" si="12">IF(T34=0,0,X34/T34)</f>
        <v>9.7428099463985701E-2</v>
      </c>
    </row>
    <row r="35" spans="1:26" s="24" customFormat="1" hidden="1" outlineLevel="1" x14ac:dyDescent="0.25">
      <c r="A35" s="44"/>
      <c r="B35" s="11" t="str">
        <f>CONCATENATE("          ", "5040", " - ", "PURCHASES @ COST-LOGO CLOTHING")</f>
        <v xml:space="preserve">          5040 - PURCHASES @ COST-LOGO CLOTHING</v>
      </c>
      <c r="C35" s="11"/>
      <c r="D35" s="2">
        <v>160395.88</v>
      </c>
      <c r="E35" s="2"/>
      <c r="F35" s="19">
        <f t="shared" si="5"/>
        <v>0.72288572577698251</v>
      </c>
      <c r="G35" s="2"/>
      <c r="H35" s="2">
        <v>126126.27</v>
      </c>
      <c r="I35" s="2"/>
      <c r="J35" s="19">
        <f t="shared" si="6"/>
        <v>0.65042089350042054</v>
      </c>
      <c r="K35" s="2"/>
      <c r="L35" s="2">
        <f t="shared" si="7"/>
        <v>34269.61</v>
      </c>
      <c r="M35" s="2"/>
      <c r="N35" s="19">
        <f t="shared" si="8"/>
        <v>0.27170874077224355</v>
      </c>
      <c r="O35" s="11"/>
      <c r="P35" s="2">
        <v>411825.38</v>
      </c>
      <c r="Q35" s="2"/>
      <c r="R35" s="19">
        <f t="shared" si="9"/>
        <v>0.44381201238648471</v>
      </c>
      <c r="S35" s="2"/>
      <c r="T35" s="2">
        <v>359732.91</v>
      </c>
      <c r="U35" s="2"/>
      <c r="V35" s="19">
        <f t="shared" si="10"/>
        <v>0.43561230443135945</v>
      </c>
      <c r="W35" s="2"/>
      <c r="X35" s="2">
        <f t="shared" si="11"/>
        <v>52092.47000000003</v>
      </c>
      <c r="Y35" s="2"/>
      <c r="Z35" s="19">
        <f t="shared" si="12"/>
        <v>0.14480874157440873</v>
      </c>
    </row>
    <row r="36" spans="1:26" s="24" customFormat="1" hidden="1" outlineLevel="1" x14ac:dyDescent="0.25">
      <c r="A36" s="44"/>
      <c r="B36" s="11" t="str">
        <f>CONCATENATE("          ", "5041", " - ", "PURCHASES @ COST-LOGO GIFTS")</f>
        <v xml:space="preserve">          5041 - PURCHASES @ COST-LOGO GIFTS</v>
      </c>
      <c r="C36" s="11"/>
      <c r="D36" s="2">
        <v>27090.09</v>
      </c>
      <c r="E36" s="2"/>
      <c r="F36" s="19">
        <f t="shared" si="5"/>
        <v>0.12209191016012241</v>
      </c>
      <c r="G36" s="2"/>
      <c r="H36" s="2">
        <v>37566.71</v>
      </c>
      <c r="I36" s="2"/>
      <c r="J36" s="19">
        <f t="shared" si="6"/>
        <v>0.19372786560699196</v>
      </c>
      <c r="K36" s="2"/>
      <c r="L36" s="2">
        <f t="shared" si="7"/>
        <v>-10476.619999999999</v>
      </c>
      <c r="M36" s="2"/>
      <c r="N36" s="19">
        <f t="shared" si="8"/>
        <v>-0.27888042365168519</v>
      </c>
      <c r="O36" s="11"/>
      <c r="P36" s="2">
        <v>58401.82</v>
      </c>
      <c r="Q36" s="2"/>
      <c r="R36" s="19">
        <f t="shared" si="9"/>
        <v>6.2937911357559481E-2</v>
      </c>
      <c r="S36" s="2"/>
      <c r="T36" s="2">
        <v>73122.47</v>
      </c>
      <c r="U36" s="2"/>
      <c r="V36" s="19">
        <f t="shared" si="10"/>
        <v>8.8546381987716805E-2</v>
      </c>
      <c r="W36" s="2"/>
      <c r="X36" s="2">
        <f t="shared" si="11"/>
        <v>-14720.650000000001</v>
      </c>
      <c r="Y36" s="2"/>
      <c r="Z36" s="19">
        <f t="shared" si="12"/>
        <v>-0.20131499934288327</v>
      </c>
    </row>
    <row r="37" spans="1:26" s="24" customFormat="1" hidden="1" outlineLevel="1" x14ac:dyDescent="0.25">
      <c r="A37" s="44"/>
      <c r="B37" s="11" t="str">
        <f>CONCATENATE("          ", "5042", " - ", "PURCHASES @ COST-EVERYDAY GIFT")</f>
        <v xml:space="preserve">          5042 - PURCHASES @ COST-EVERYDAY GIFT</v>
      </c>
      <c r="C37" s="11"/>
      <c r="D37" s="2">
        <v>12151.42</v>
      </c>
      <c r="E37" s="2"/>
      <c r="F37" s="19">
        <f t="shared" si="5"/>
        <v>5.4765047992011644E-2</v>
      </c>
      <c r="G37" s="2"/>
      <c r="H37" s="2">
        <v>22475.919999999998</v>
      </c>
      <c r="I37" s="2"/>
      <c r="J37" s="19">
        <f t="shared" si="6"/>
        <v>0.11590613096418351</v>
      </c>
      <c r="K37" s="2"/>
      <c r="L37" s="2">
        <f t="shared" si="7"/>
        <v>-10324.499999999998</v>
      </c>
      <c r="M37" s="2"/>
      <c r="N37" s="19">
        <f t="shared" si="8"/>
        <v>-0.45935828210814056</v>
      </c>
      <c r="O37" s="11"/>
      <c r="P37" s="2">
        <v>39807.93</v>
      </c>
      <c r="Q37" s="2"/>
      <c r="R37" s="19">
        <f t="shared" si="9"/>
        <v>4.2899826917516148E-2</v>
      </c>
      <c r="S37" s="2"/>
      <c r="T37" s="2">
        <v>53381.23</v>
      </c>
      <c r="U37" s="2"/>
      <c r="V37" s="19">
        <f t="shared" si="10"/>
        <v>6.4641071103782033E-2</v>
      </c>
      <c r="W37" s="2"/>
      <c r="X37" s="2">
        <f t="shared" si="11"/>
        <v>-13573.300000000003</v>
      </c>
      <c r="Y37" s="2"/>
      <c r="Z37" s="19">
        <f t="shared" si="12"/>
        <v>-0.25427102372875265</v>
      </c>
    </row>
    <row r="38" spans="1:26" s="24" customFormat="1" hidden="1" outlineLevel="1" x14ac:dyDescent="0.25">
      <c r="A38" s="44"/>
      <c r="B38" s="11" t="str">
        <f>CONCATENATE("          ", "5043", " - ", "PURCHASES @ COST-CARDS")</f>
        <v xml:space="preserve">          5043 - PURCHASES @ COST-CARDS</v>
      </c>
      <c r="C38" s="11"/>
      <c r="D38" s="2">
        <v>331.09</v>
      </c>
      <c r="E38" s="2"/>
      <c r="F38" s="19">
        <f t="shared" si="5"/>
        <v>1.4921844310932496E-3</v>
      </c>
      <c r="G38" s="2"/>
      <c r="H38" s="2">
        <v>670.29</v>
      </c>
      <c r="I38" s="2"/>
      <c r="J38" s="19">
        <f t="shared" si="6"/>
        <v>3.4566202639973167E-3</v>
      </c>
      <c r="K38" s="2"/>
      <c r="L38" s="2">
        <f t="shared" si="7"/>
        <v>-339.2</v>
      </c>
      <c r="M38" s="2"/>
      <c r="N38" s="19">
        <f t="shared" si="8"/>
        <v>-0.50604962031359557</v>
      </c>
      <c r="O38" s="11"/>
      <c r="P38" s="2">
        <v>1340.08</v>
      </c>
      <c r="Q38" s="2"/>
      <c r="R38" s="19">
        <f t="shared" si="9"/>
        <v>1.4441645183666933E-3</v>
      </c>
      <c r="S38" s="2"/>
      <c r="T38" s="2">
        <v>1808.34</v>
      </c>
      <c r="U38" s="2"/>
      <c r="V38" s="19">
        <f t="shared" si="10"/>
        <v>2.1897778398851653E-3</v>
      </c>
      <c r="W38" s="2"/>
      <c r="X38" s="2">
        <f t="shared" si="11"/>
        <v>-468.26</v>
      </c>
      <c r="Y38" s="2"/>
      <c r="Z38" s="19">
        <f t="shared" si="12"/>
        <v>-0.25894466748509681</v>
      </c>
    </row>
    <row r="39" spans="1:26" s="24" customFormat="1" hidden="1" outlineLevel="1" x14ac:dyDescent="0.25">
      <c r="A39" s="44"/>
      <c r="B39" s="11" t="str">
        <f>CONCATENATE("          ", "5044", " - ", "PURCHASES @ COST-ACCESSORIES")</f>
        <v xml:space="preserve">          5044 - PURCHASES @ COST-ACCESSORIES</v>
      </c>
      <c r="C39" s="11"/>
      <c r="D39" s="2">
        <v>3142.34</v>
      </c>
      <c r="E39" s="2"/>
      <c r="F39" s="19">
        <f t="shared" si="5"/>
        <v>1.4162163838236014E-2</v>
      </c>
      <c r="G39" s="2"/>
      <c r="H39" s="2">
        <v>5290.92</v>
      </c>
      <c r="I39" s="2"/>
      <c r="J39" s="19">
        <f t="shared" si="6"/>
        <v>2.7284759264182196E-2</v>
      </c>
      <c r="K39" s="2"/>
      <c r="L39" s="2">
        <f t="shared" si="7"/>
        <v>-2148.58</v>
      </c>
      <c r="M39" s="2"/>
      <c r="N39" s="19">
        <f t="shared" si="8"/>
        <v>-0.40608816614123816</v>
      </c>
      <c r="O39" s="11"/>
      <c r="P39" s="2">
        <v>21798.560000000001</v>
      </c>
      <c r="Q39" s="2"/>
      <c r="R39" s="19">
        <f t="shared" si="9"/>
        <v>2.3491662366043421E-2</v>
      </c>
      <c r="S39" s="2"/>
      <c r="T39" s="2">
        <v>17213.32</v>
      </c>
      <c r="U39" s="2"/>
      <c r="V39" s="19">
        <f t="shared" si="10"/>
        <v>2.0844170170903766E-2</v>
      </c>
      <c r="W39" s="2"/>
      <c r="X39" s="2">
        <f t="shared" si="11"/>
        <v>4585.2400000000016</v>
      </c>
      <c r="Y39" s="2"/>
      <c r="Z39" s="19">
        <f t="shared" si="12"/>
        <v>0.26637743329003361</v>
      </c>
    </row>
    <row r="40" spans="1:26" s="24" customFormat="1" hidden="1" outlineLevel="1" x14ac:dyDescent="0.25">
      <c r="A40" s="44"/>
      <c r="B40" s="11" t="str">
        <f>CONCATENATE("          ", "5045", " - ", "PURCHASES @ COST-SPECIAL ORDER")</f>
        <v xml:space="preserve">          5045 - PURCHASES @ COST-SPECIAL ORDER</v>
      </c>
      <c r="C40" s="11"/>
      <c r="D40" s="2">
        <v>3599.17</v>
      </c>
      <c r="E40" s="2"/>
      <c r="F40" s="19">
        <f t="shared" si="5"/>
        <v>1.6221043942305387E-2</v>
      </c>
      <c r="G40" s="2"/>
      <c r="H40" s="2">
        <v>8698.84</v>
      </c>
      <c r="I40" s="2"/>
      <c r="J40" s="19">
        <f t="shared" si="6"/>
        <v>4.4859070875696218E-2</v>
      </c>
      <c r="K40" s="2"/>
      <c r="L40" s="2">
        <f t="shared" si="7"/>
        <v>-5099.67</v>
      </c>
      <c r="M40" s="2"/>
      <c r="N40" s="19">
        <f t="shared" si="8"/>
        <v>-0.58624713180148158</v>
      </c>
      <c r="O40" s="11"/>
      <c r="P40" s="2">
        <v>29031.4</v>
      </c>
      <c r="Q40" s="2"/>
      <c r="R40" s="19">
        <f t="shared" si="9"/>
        <v>3.128627977323057E-2</v>
      </c>
      <c r="S40" s="2"/>
      <c r="T40" s="2">
        <v>41764.29</v>
      </c>
      <c r="U40" s="2"/>
      <c r="V40" s="19">
        <f t="shared" si="10"/>
        <v>5.0573739861164167E-2</v>
      </c>
      <c r="W40" s="2"/>
      <c r="X40" s="2">
        <f t="shared" si="11"/>
        <v>-12732.89</v>
      </c>
      <c r="Y40" s="2"/>
      <c r="Z40" s="19">
        <f t="shared" si="12"/>
        <v>-0.30487504995296216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-217435</v>
      </c>
      <c r="E41" s="2"/>
      <c r="F41" s="19">
        <f t="shared" si="5"/>
        <v>-0.97995445883222299</v>
      </c>
      <c r="G41" s="2"/>
      <c r="H41" s="2">
        <v>-206900</v>
      </c>
      <c r="I41" s="2"/>
      <c r="J41" s="19">
        <f t="shared" si="6"/>
        <v>-1.0669631541885525</v>
      </c>
      <c r="K41" s="2"/>
      <c r="L41" s="2">
        <f t="shared" si="7"/>
        <v>-10535</v>
      </c>
      <c r="M41" s="2"/>
      <c r="N41" s="19">
        <f t="shared" si="8"/>
        <v>5.0918318028032865E-2</v>
      </c>
      <c r="O41" s="11"/>
      <c r="P41" s="2">
        <v>-579330</v>
      </c>
      <c r="Q41" s="2"/>
      <c r="R41" s="19">
        <f t="shared" si="9"/>
        <v>-0.62432677931569491</v>
      </c>
      <c r="S41" s="2"/>
      <c r="T41" s="2">
        <v>-563082</v>
      </c>
      <c r="U41" s="2"/>
      <c r="V41" s="19">
        <f t="shared" si="10"/>
        <v>-0.68185434466871198</v>
      </c>
      <c r="W41" s="2"/>
      <c r="X41" s="2">
        <f t="shared" si="11"/>
        <v>-16248</v>
      </c>
      <c r="Y41" s="2"/>
      <c r="Z41" s="19">
        <f t="shared" si="12"/>
        <v>2.8855477532579624E-2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103662</v>
      </c>
      <c r="E42" s="2"/>
      <c r="F42" s="19">
        <f t="shared" si="5"/>
        <v>0.46719267418523192</v>
      </c>
      <c r="G42" s="2"/>
      <c r="H42" s="2">
        <v>91581</v>
      </c>
      <c r="I42" s="2"/>
      <c r="J42" s="19">
        <f t="shared" si="6"/>
        <v>0.47227429977642255</v>
      </c>
      <c r="K42" s="2"/>
      <c r="L42" s="2">
        <f t="shared" si="7"/>
        <v>12081</v>
      </c>
      <c r="M42" s="2"/>
      <c r="N42" s="19">
        <f t="shared" si="8"/>
        <v>0.13191600877911358</v>
      </c>
      <c r="O42" s="11"/>
      <c r="P42" s="2">
        <v>428673</v>
      </c>
      <c r="Q42" s="2"/>
      <c r="R42" s="19">
        <f t="shared" si="9"/>
        <v>0.46196819337786216</v>
      </c>
      <c r="S42" s="2"/>
      <c r="T42" s="2">
        <v>390641</v>
      </c>
      <c r="U42" s="2"/>
      <c r="V42" s="19">
        <f t="shared" si="10"/>
        <v>0.47303991790845795</v>
      </c>
      <c r="W42" s="2"/>
      <c r="X42" s="2">
        <f t="shared" si="11"/>
        <v>38032</v>
      </c>
      <c r="Y42" s="2"/>
      <c r="Z42" s="19">
        <f t="shared" si="12"/>
        <v>9.7357932219096305E-2</v>
      </c>
    </row>
    <row r="43" spans="1:26" s="24" customFormat="1" hidden="1" outlineLevel="1" x14ac:dyDescent="0.25">
      <c r="A43" s="44"/>
      <c r="B43" s="11" t="str">
        <f>CONCATENATE("          ", "5500", " - ", "FREIGHT-IN")</f>
        <v xml:space="preserve">          5500 - FREIGHT-IN</v>
      </c>
      <c r="C43" s="11"/>
      <c r="D43" s="2">
        <v>29.23</v>
      </c>
      <c r="E43" s="2"/>
      <c r="F43" s="19">
        <f t="shared" si="5"/>
        <v>1.3173623764189702E-4</v>
      </c>
      <c r="G43" s="2"/>
      <c r="H43" s="2"/>
      <c r="I43" s="2"/>
      <c r="J43" s="19">
        <f t="shared" si="6"/>
        <v>0</v>
      </c>
      <c r="K43" s="2"/>
      <c r="L43" s="2">
        <f t="shared" si="7"/>
        <v>29.23</v>
      </c>
      <c r="M43" s="2"/>
      <c r="N43" s="19">
        <f t="shared" si="8"/>
        <v>0</v>
      </c>
      <c r="O43" s="11"/>
      <c r="P43" s="2">
        <v>29.23</v>
      </c>
      <c r="Q43" s="2"/>
      <c r="R43" s="19">
        <f t="shared" si="9"/>
        <v>3.1500305110037048E-5</v>
      </c>
      <c r="S43" s="2"/>
      <c r="T43" s="2"/>
      <c r="U43" s="2"/>
      <c r="V43" s="19">
        <f t="shared" si="10"/>
        <v>0</v>
      </c>
      <c r="W43" s="2"/>
      <c r="X43" s="2">
        <f t="shared" si="11"/>
        <v>29.23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"5540", " - ", "FREIGHT-IN-LOGO CLOTHING")</f>
        <v xml:space="preserve">          5540 - FREIGHT-IN-LOGO CLOTHING</v>
      </c>
      <c r="C44" s="11"/>
      <c r="D44" s="2">
        <v>9102.58</v>
      </c>
      <c r="E44" s="2"/>
      <c r="F44" s="19">
        <f t="shared" si="5"/>
        <v>4.102427786638313E-2</v>
      </c>
      <c r="G44" s="2"/>
      <c r="H44" s="2">
        <v>4650.07</v>
      </c>
      <c r="I44" s="2"/>
      <c r="J44" s="19">
        <f t="shared" si="6"/>
        <v>2.397995821361799E-2</v>
      </c>
      <c r="K44" s="2"/>
      <c r="L44" s="2">
        <f t="shared" si="7"/>
        <v>4452.51</v>
      </c>
      <c r="M44" s="2"/>
      <c r="N44" s="19">
        <f t="shared" si="8"/>
        <v>0.95751461805951321</v>
      </c>
      <c r="O44" s="11"/>
      <c r="P44" s="2">
        <v>14107.44</v>
      </c>
      <c r="Q44" s="2"/>
      <c r="R44" s="19">
        <f t="shared" si="9"/>
        <v>1.5203170178636368E-2</v>
      </c>
      <c r="S44" s="2"/>
      <c r="T44" s="2">
        <v>10331.35</v>
      </c>
      <c r="U44" s="2"/>
      <c r="V44" s="19">
        <f t="shared" si="10"/>
        <v>1.2510568414179636E-2</v>
      </c>
      <c r="W44" s="2"/>
      <c r="X44" s="2">
        <f t="shared" si="11"/>
        <v>3776.09</v>
      </c>
      <c r="Y44" s="2"/>
      <c r="Z44" s="19">
        <f t="shared" si="12"/>
        <v>0.36549821659318482</v>
      </c>
    </row>
    <row r="45" spans="1:26" s="24" customFormat="1" hidden="1" outlineLevel="1" x14ac:dyDescent="0.25">
      <c r="A45" s="44"/>
      <c r="B45" s="11" t="str">
        <f>CONCATENATE("          ", "5541", " - ", "FREIGHT-IN-LOGO GIFTS")</f>
        <v xml:space="preserve">          5541 - FREIGHT-IN-LOGO GIFTS</v>
      </c>
      <c r="C45" s="11"/>
      <c r="D45" s="2">
        <v>718.84</v>
      </c>
      <c r="E45" s="2"/>
      <c r="F45" s="19">
        <f t="shared" si="5"/>
        <v>3.2397289451420205E-3</v>
      </c>
      <c r="G45" s="2"/>
      <c r="H45" s="2">
        <v>953.44</v>
      </c>
      <c r="I45" s="2"/>
      <c r="J45" s="19">
        <f t="shared" si="6"/>
        <v>4.9167972437386834E-3</v>
      </c>
      <c r="K45" s="2"/>
      <c r="L45" s="2">
        <f t="shared" si="7"/>
        <v>-234.60000000000002</v>
      </c>
      <c r="M45" s="2"/>
      <c r="N45" s="19">
        <f t="shared" si="8"/>
        <v>-0.2460563852995469</v>
      </c>
      <c r="O45" s="11"/>
      <c r="P45" s="2">
        <v>1536.85</v>
      </c>
      <c r="Q45" s="2"/>
      <c r="R45" s="19">
        <f t="shared" si="9"/>
        <v>1.6562177183838669E-3</v>
      </c>
      <c r="S45" s="2"/>
      <c r="T45" s="2">
        <v>3124.56</v>
      </c>
      <c r="U45" s="2"/>
      <c r="V45" s="19">
        <f t="shared" si="10"/>
        <v>3.7836315335565171E-3</v>
      </c>
      <c r="W45" s="2"/>
      <c r="X45" s="2">
        <f t="shared" si="11"/>
        <v>-1587.71</v>
      </c>
      <c r="Y45" s="2"/>
      <c r="Z45" s="19">
        <f t="shared" si="12"/>
        <v>-0.50813874593542774</v>
      </c>
    </row>
    <row r="46" spans="1:26" s="24" customFormat="1" hidden="1" outlineLevel="1" x14ac:dyDescent="0.25">
      <c r="A46" s="44"/>
      <c r="B46" s="11" t="str">
        <f>CONCATENATE("          ", "5542", " - ", "FREIGHT-IN-EVERYDAY GIFTS")</f>
        <v xml:space="preserve">          5542 - FREIGHT-IN-EVERYDAY GIFTS</v>
      </c>
      <c r="C46" s="11"/>
      <c r="D46" s="2">
        <v>596.04999999999995</v>
      </c>
      <c r="E46" s="2"/>
      <c r="F46" s="19">
        <f t="shared" si="5"/>
        <v>2.6863285818150089E-3</v>
      </c>
      <c r="G46" s="2"/>
      <c r="H46" s="2">
        <v>286.66000000000003</v>
      </c>
      <c r="I46" s="2"/>
      <c r="J46" s="19">
        <f t="shared" si="6"/>
        <v>1.4782777079733712E-3</v>
      </c>
      <c r="K46" s="2"/>
      <c r="L46" s="2">
        <f t="shared" si="7"/>
        <v>309.38999999999993</v>
      </c>
      <c r="M46" s="2"/>
      <c r="N46" s="19">
        <f t="shared" si="8"/>
        <v>1.0792925416870156</v>
      </c>
      <c r="O46" s="11"/>
      <c r="P46" s="2">
        <v>767.73</v>
      </c>
      <c r="Q46" s="2"/>
      <c r="R46" s="19">
        <f t="shared" si="9"/>
        <v>8.2735987828014854E-4</v>
      </c>
      <c r="S46" s="2"/>
      <c r="T46" s="2">
        <v>764.19</v>
      </c>
      <c r="U46" s="2"/>
      <c r="V46" s="19">
        <f t="shared" si="10"/>
        <v>9.2538257598783673E-4</v>
      </c>
      <c r="W46" s="2"/>
      <c r="X46" s="2">
        <f t="shared" si="11"/>
        <v>3.5399999999999636</v>
      </c>
      <c r="Y46" s="2"/>
      <c r="Z46" s="19">
        <f t="shared" si="12"/>
        <v>4.6323558277391267E-3</v>
      </c>
    </row>
    <row r="47" spans="1:26" s="24" customFormat="1" hidden="1" outlineLevel="1" x14ac:dyDescent="0.25">
      <c r="A47" s="44"/>
      <c r="B47" s="11" t="str">
        <f>CONCATENATE("          ", "5543", " - ", "FREIGHT-IN-CARDS")</f>
        <v xml:space="preserve">          5543 - FREIGHT-IN-CARDS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4.58</v>
      </c>
      <c r="Q47" s="2"/>
      <c r="R47" s="19">
        <f t="shared" si="9"/>
        <v>4.9357303251443613E-6</v>
      </c>
      <c r="S47" s="2"/>
      <c r="T47" s="2"/>
      <c r="U47" s="2"/>
      <c r="V47" s="19">
        <f t="shared" si="10"/>
        <v>0</v>
      </c>
      <c r="W47" s="2"/>
      <c r="X47" s="2">
        <f t="shared" si="11"/>
        <v>4.58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"5544", " - ", "FREIGHT-IN-ACCESSORIES")</f>
        <v xml:space="preserve">          5544 - FREIGHT-IN-ACCESSORIES</v>
      </c>
      <c r="C48" s="11"/>
      <c r="D48" s="2">
        <v>223.25</v>
      </c>
      <c r="E48" s="2"/>
      <c r="F48" s="19">
        <f t="shared" si="5"/>
        <v>1.0061619929371711E-3</v>
      </c>
      <c r="G48" s="2"/>
      <c r="H48" s="2">
        <v>107.33</v>
      </c>
      <c r="I48" s="2"/>
      <c r="J48" s="19">
        <f t="shared" si="6"/>
        <v>5.5349035929945544E-4</v>
      </c>
      <c r="K48" s="2"/>
      <c r="L48" s="2">
        <f t="shared" si="7"/>
        <v>115.92</v>
      </c>
      <c r="M48" s="2"/>
      <c r="N48" s="19">
        <f t="shared" si="8"/>
        <v>1.0800335414143296</v>
      </c>
      <c r="O48" s="11"/>
      <c r="P48" s="2">
        <v>359.09</v>
      </c>
      <c r="Q48" s="2"/>
      <c r="R48" s="19">
        <f t="shared" si="9"/>
        <v>3.8698065555809792E-4</v>
      </c>
      <c r="S48" s="2"/>
      <c r="T48" s="2">
        <v>577.97</v>
      </c>
      <c r="U48" s="2"/>
      <c r="V48" s="19">
        <f t="shared" si="10"/>
        <v>6.998827090693283E-4</v>
      </c>
      <c r="W48" s="2"/>
      <c r="X48" s="2">
        <f t="shared" si="11"/>
        <v>-218.88000000000005</v>
      </c>
      <c r="Y48" s="2"/>
      <c r="Z48" s="19">
        <f t="shared" si="12"/>
        <v>-0.37870477706455358</v>
      </c>
    </row>
    <row r="49" spans="1:26" s="24" customFormat="1" hidden="1" outlineLevel="1" x14ac:dyDescent="0.25">
      <c r="A49" s="44"/>
      <c r="B49" s="11" t="str">
        <f>CONCATENATE("          ", "5545", " - ", "FREIGHT-IN-SPECIAL ORDERS")</f>
        <v xml:space="preserve">          5545 - FREIGHT-IN-SPECIAL ORDERS</v>
      </c>
      <c r="C49" s="11"/>
      <c r="D49" s="2">
        <v>84.47</v>
      </c>
      <c r="E49" s="2"/>
      <c r="F49" s="19">
        <f t="shared" si="5"/>
        <v>3.8069654442733636E-4</v>
      </c>
      <c r="G49" s="2"/>
      <c r="H49" s="2">
        <v>74.5</v>
      </c>
      <c r="I49" s="2"/>
      <c r="J49" s="19">
        <f t="shared" si="6"/>
        <v>3.8418924594996212E-4</v>
      </c>
      <c r="K49" s="2"/>
      <c r="L49" s="2">
        <f t="shared" si="7"/>
        <v>9.9699999999999989</v>
      </c>
      <c r="M49" s="2"/>
      <c r="N49" s="19">
        <f t="shared" si="8"/>
        <v>0.13382550335570467</v>
      </c>
      <c r="O49" s="11"/>
      <c r="P49" s="2">
        <v>346.98</v>
      </c>
      <c r="Q49" s="2"/>
      <c r="R49" s="19">
        <f t="shared" si="9"/>
        <v>3.7393006729663546E-4</v>
      </c>
      <c r="S49" s="2"/>
      <c r="T49" s="2">
        <v>1261.06</v>
      </c>
      <c r="U49" s="2"/>
      <c r="V49" s="19">
        <f t="shared" si="10"/>
        <v>1.5270586520043721E-3</v>
      </c>
      <c r="W49" s="2"/>
      <c r="X49" s="2">
        <f t="shared" si="11"/>
        <v>-914.07999999999993</v>
      </c>
      <c r="Y49" s="2"/>
      <c r="Z49" s="19">
        <f t="shared" si="12"/>
        <v>-0.72485052257624538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8" t="s">
        <v>6</v>
      </c>
      <c r="C51" s="28"/>
      <c r="D51" s="21">
        <f>D12-D34</f>
        <v>118191.34999999996</v>
      </c>
      <c r="E51" s="14"/>
      <c r="F51" s="22">
        <f>IF(D$12=0,0,D51/D$12)</f>
        <v>0.53267477833789323</v>
      </c>
      <c r="G51" s="14"/>
      <c r="H51" s="21">
        <f>H12-H34</f>
        <v>102332.89999999992</v>
      </c>
      <c r="I51" s="14"/>
      <c r="J51" s="22">
        <f>IF(H$12=0,0,H51/H$12)</f>
        <v>0.52772080116607845</v>
      </c>
      <c r="K51" s="16"/>
      <c r="L51" s="21">
        <f>+D51-H51</f>
        <v>15858.450000000041</v>
      </c>
      <c r="M51" s="16"/>
      <c r="N51" s="22">
        <f>IF(H51=0,0,L51/H51)</f>
        <v>0.15496922299671029</v>
      </c>
      <c r="O51" s="29"/>
      <c r="P51" s="21">
        <f>P12-P34</f>
        <v>499227.4499999999</v>
      </c>
      <c r="Q51" s="14"/>
      <c r="R51" s="22">
        <f>IF(P$12=0,0,P51/P$12)</f>
        <v>0.53800263408504145</v>
      </c>
      <c r="S51" s="14"/>
      <c r="T51" s="21">
        <f>T12-T34</f>
        <v>435169.10999999981</v>
      </c>
      <c r="U51" s="14"/>
      <c r="V51" s="22">
        <f>IF(T$12=0,0,T51/T$12)</f>
        <v>0.52696045748064491</v>
      </c>
      <c r="W51" s="16"/>
      <c r="X51" s="21">
        <f>+P51-T51</f>
        <v>64058.340000000084</v>
      </c>
      <c r="Y51" s="16"/>
      <c r="Z51" s="22">
        <f>IF(T51=0,0,X51/T51)</f>
        <v>0.14720332516248708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9" t="s">
        <v>9</v>
      </c>
      <c r="C53" s="10"/>
      <c r="D53" s="20">
        <f>SUM(OSRRefD22x_0)</f>
        <v>76370.34</v>
      </c>
      <c r="E53" s="20"/>
      <c r="F53" s="35">
        <f t="shared" ref="F53:F62" si="13">IF(D$12=0,0,D53/D$12)</f>
        <v>0.34419231129088174</v>
      </c>
      <c r="G53" s="20"/>
      <c r="H53" s="20">
        <f>SUM(OSRRefH22x_0)</f>
        <v>62637.69</v>
      </c>
      <c r="I53" s="20"/>
      <c r="J53" s="35">
        <f t="shared" ref="J53:J62" si="14">IF(H$12=0,0,H53/H$12)</f>
        <v>0.32301646831070446</v>
      </c>
      <c r="K53" s="4"/>
      <c r="L53" s="20">
        <f t="shared" ref="L53:L62" si="15">+D53-H53</f>
        <v>13732.649999999994</v>
      </c>
      <c r="M53" s="4"/>
      <c r="N53" s="35">
        <f t="shared" ref="N53:N62" si="16">IF(H53=0,0,L53/H53)</f>
        <v>0.21923940681720533</v>
      </c>
      <c r="O53" s="10"/>
      <c r="P53" s="20">
        <f>SUM(OSRRefP22x_0)</f>
        <v>232445.00000000006</v>
      </c>
      <c r="Q53" s="20"/>
      <c r="R53" s="35">
        <f t="shared" ref="R53:R62" si="17">IF(P$12=0,0,P53/P$12)</f>
        <v>0.25049909070484305</v>
      </c>
      <c r="S53" s="20"/>
      <c r="T53" s="20">
        <f>SUM(OSRRefT22x_0)</f>
        <v>187891.19000000003</v>
      </c>
      <c r="U53" s="20"/>
      <c r="V53" s="35">
        <f t="shared" ref="V53:V62" si="18">IF(T$12=0,0,T53/T$12)</f>
        <v>0.22752356535366869</v>
      </c>
      <c r="W53" s="4"/>
      <c r="X53" s="20">
        <f t="shared" ref="X53:X62" si="19">+P53-T53</f>
        <v>44553.810000000027</v>
      </c>
      <c r="Y53" s="4"/>
      <c r="Z53" s="35">
        <f t="shared" ref="Z53:Z62" si="20">IF(T53=0,0,X53/T53)</f>
        <v>0.2371255938077779</v>
      </c>
    </row>
    <row r="54" spans="1:26" s="27" customFormat="1" outlineLevel="1" collapsed="1" x14ac:dyDescent="0.25">
      <c r="A54" s="25"/>
      <c r="B54" s="13" t="str">
        <f>CONCATENATE("     ","*Benefits                                         ")</f>
        <v xml:space="preserve">     *Benefits                                         </v>
      </c>
      <c r="C54" s="13"/>
      <c r="D54" s="1">
        <f>SUM(OSRRefD22_0x_0)</f>
        <v>9835.81</v>
      </c>
      <c r="E54" s="1"/>
      <c r="F54" s="5">
        <f t="shared" si="13"/>
        <v>4.4328860881305068E-2</v>
      </c>
      <c r="G54" s="1"/>
      <c r="H54" s="1">
        <f>SUM(OSRRefH22_0x_0)</f>
        <v>7012.69</v>
      </c>
      <c r="I54" s="1"/>
      <c r="J54" s="5">
        <f t="shared" si="14"/>
        <v>3.6163759505783079E-2</v>
      </c>
      <c r="K54" s="1"/>
      <c r="L54" s="1">
        <f t="shared" si="15"/>
        <v>2823.12</v>
      </c>
      <c r="M54" s="1"/>
      <c r="N54" s="5">
        <f t="shared" si="16"/>
        <v>0.40257304971416102</v>
      </c>
      <c r="O54" s="13"/>
      <c r="P54" s="1">
        <f>SUM(OSRRefP22_0x_0)</f>
        <v>31552.45</v>
      </c>
      <c r="Q54" s="1"/>
      <c r="R54" s="5">
        <f t="shared" si="17"/>
        <v>3.4003140676332137E-2</v>
      </c>
      <c r="S54" s="1"/>
      <c r="T54" s="1">
        <f>SUM(OSRRefT22_0x_0)</f>
        <v>22409.78</v>
      </c>
      <c r="U54" s="1"/>
      <c r="V54" s="5">
        <f t="shared" si="18"/>
        <v>2.7136732937778171E-2</v>
      </c>
      <c r="W54" s="1"/>
      <c r="X54" s="1">
        <f t="shared" si="19"/>
        <v>9142.6700000000019</v>
      </c>
      <c r="Y54" s="1"/>
      <c r="Z54" s="5">
        <f t="shared" si="20"/>
        <v>0.40797678513577562</v>
      </c>
    </row>
    <row r="55" spans="1:26" s="24" customFormat="1" hidden="1" outlineLevel="2" x14ac:dyDescent="0.25">
      <c r="A55" s="26"/>
      <c r="B55" s="11" t="str">
        <f>CONCATENATE("          ", "6111", " - ", "F.I.C.A.")</f>
        <v xml:space="preserve">          6111 - F.I.C.A.</v>
      </c>
      <c r="C55" s="11"/>
      <c r="D55" s="6">
        <v>2583.54</v>
      </c>
      <c r="E55" s="2"/>
      <c r="F55" s="7">
        <f t="shared" si="13"/>
        <v>1.1643716708769984E-2</v>
      </c>
      <c r="G55" s="2"/>
      <c r="H55" s="6">
        <v>2011.5</v>
      </c>
      <c r="I55" s="2"/>
      <c r="J55" s="7">
        <f t="shared" si="14"/>
        <v>1.0373109640648977E-2</v>
      </c>
      <c r="K55" s="2"/>
      <c r="L55" s="6">
        <f t="shared" si="15"/>
        <v>572.04</v>
      </c>
      <c r="M55" s="2"/>
      <c r="N55" s="7">
        <f t="shared" si="16"/>
        <v>0.28438478747203577</v>
      </c>
      <c r="O55" s="11"/>
      <c r="P55" s="6">
        <v>7021.3</v>
      </c>
      <c r="Q55" s="2"/>
      <c r="R55" s="7">
        <f t="shared" si="17"/>
        <v>7.5666470157065725E-3</v>
      </c>
      <c r="S55" s="2"/>
      <c r="T55" s="6">
        <v>5680.5</v>
      </c>
      <c r="U55" s="2"/>
      <c r="V55" s="7">
        <f t="shared" si="18"/>
        <v>6.8787025777606436E-3</v>
      </c>
      <c r="W55" s="2"/>
      <c r="X55" s="6">
        <f t="shared" si="19"/>
        <v>1340.8000000000002</v>
      </c>
      <c r="Y55" s="2"/>
      <c r="Z55" s="7">
        <f t="shared" si="20"/>
        <v>0.23603556024997802</v>
      </c>
    </row>
    <row r="56" spans="1:26" s="24" customFormat="1" hidden="1" outlineLevel="2" x14ac:dyDescent="0.25">
      <c r="A56" s="26"/>
      <c r="B56" s="11" t="str">
        <f>CONCATENATE("          ", "6112", " - ", "COMPENSATION INSURANCE")</f>
        <v xml:space="preserve">          6112 - COMPENSATION INSURANCE</v>
      </c>
      <c r="C56" s="11"/>
      <c r="D56" s="6">
        <v>293.91000000000003</v>
      </c>
      <c r="E56" s="2"/>
      <c r="F56" s="7">
        <f t="shared" si="13"/>
        <v>1.3246184606681476E-3</v>
      </c>
      <c r="G56" s="2"/>
      <c r="H56" s="6">
        <v>570.14</v>
      </c>
      <c r="I56" s="2"/>
      <c r="J56" s="7">
        <f t="shared" si="14"/>
        <v>2.9401564655827032E-3</v>
      </c>
      <c r="K56" s="2"/>
      <c r="L56" s="6">
        <f t="shared" si="15"/>
        <v>-276.22999999999996</v>
      </c>
      <c r="M56" s="2"/>
      <c r="N56" s="7">
        <f t="shared" si="16"/>
        <v>-0.48449503630687196</v>
      </c>
      <c r="O56" s="11"/>
      <c r="P56" s="6">
        <v>1655.2</v>
      </c>
      <c r="Q56" s="2"/>
      <c r="R56" s="7">
        <f t="shared" si="17"/>
        <v>1.7837600074626521E-3</v>
      </c>
      <c r="S56" s="2"/>
      <c r="T56" s="6">
        <v>1070.1400000000001</v>
      </c>
      <c r="U56" s="2"/>
      <c r="V56" s="7">
        <f t="shared" si="18"/>
        <v>1.2958674019126443E-3</v>
      </c>
      <c r="W56" s="2"/>
      <c r="X56" s="6">
        <f t="shared" si="19"/>
        <v>585.05999999999995</v>
      </c>
      <c r="Y56" s="2"/>
      <c r="Z56" s="7">
        <f t="shared" si="20"/>
        <v>0.54671351411964775</v>
      </c>
    </row>
    <row r="57" spans="1:26" s="24" customFormat="1" hidden="1" outlineLevel="2" x14ac:dyDescent="0.25">
      <c r="A57" s="26"/>
      <c r="B57" s="11" t="str">
        <f>CONCATENATE("          ", "6113", " - ", "GROUP INSURANCE")</f>
        <v xml:space="preserve">          6113 - GROUP INSURANCE</v>
      </c>
      <c r="C57" s="11"/>
      <c r="D57" s="6">
        <v>3252.74</v>
      </c>
      <c r="E57" s="2"/>
      <c r="F57" s="7">
        <f t="shared" si="13"/>
        <v>1.4659723901036746E-2</v>
      </c>
      <c r="G57" s="2"/>
      <c r="H57" s="6">
        <v>1774.1</v>
      </c>
      <c r="I57" s="2"/>
      <c r="J57" s="7">
        <f t="shared" si="14"/>
        <v>9.1488609562392978E-3</v>
      </c>
      <c r="K57" s="2"/>
      <c r="L57" s="6">
        <f t="shared" si="15"/>
        <v>1478.6399999999999</v>
      </c>
      <c r="M57" s="2"/>
      <c r="N57" s="7">
        <f t="shared" si="16"/>
        <v>0.83345921875880724</v>
      </c>
      <c r="O57" s="11"/>
      <c r="P57" s="6">
        <v>11047.03</v>
      </c>
      <c r="Q57" s="2"/>
      <c r="R57" s="7">
        <f t="shared" si="17"/>
        <v>1.1905056981174566E-2</v>
      </c>
      <c r="S57" s="2"/>
      <c r="T57" s="6">
        <v>5764.6</v>
      </c>
      <c r="U57" s="2"/>
      <c r="V57" s="7">
        <f t="shared" si="18"/>
        <v>6.9805420085835767E-3</v>
      </c>
      <c r="W57" s="2"/>
      <c r="X57" s="6">
        <f t="shared" si="19"/>
        <v>5282.43</v>
      </c>
      <c r="Y57" s="2"/>
      <c r="Z57" s="7">
        <f t="shared" si="20"/>
        <v>0.91635672900114495</v>
      </c>
    </row>
    <row r="58" spans="1:26" s="24" customFormat="1" hidden="1" outlineLevel="2" x14ac:dyDescent="0.25">
      <c r="A58" s="26"/>
      <c r="B58" s="11" t="str">
        <f>CONCATENATE("          ", "6114", " - ", "STATE UNEMPLOYMENT INSURANCE")</f>
        <v xml:space="preserve">          6114 - STATE UNEMPLOYMENT INSURANCE</v>
      </c>
      <c r="C58" s="11"/>
      <c r="D58" s="6">
        <v>101.54</v>
      </c>
      <c r="E58" s="2"/>
      <c r="F58" s="7">
        <f t="shared" si="13"/>
        <v>4.5762906500712363E-4</v>
      </c>
      <c r="G58" s="2"/>
      <c r="H58" s="6">
        <v>73.930000000000007</v>
      </c>
      <c r="I58" s="2"/>
      <c r="J58" s="7">
        <f t="shared" si="14"/>
        <v>3.8124981145074764E-4</v>
      </c>
      <c r="K58" s="2"/>
      <c r="L58" s="6">
        <f t="shared" si="15"/>
        <v>27.61</v>
      </c>
      <c r="M58" s="2"/>
      <c r="N58" s="7">
        <f t="shared" si="16"/>
        <v>0.37346138238874604</v>
      </c>
      <c r="O58" s="11"/>
      <c r="P58" s="6">
        <v>279.08999999999997</v>
      </c>
      <c r="Q58" s="2"/>
      <c r="R58" s="7">
        <f t="shared" si="17"/>
        <v>3.0076702542457197E-4</v>
      </c>
      <c r="S58" s="2"/>
      <c r="T58" s="6">
        <v>233.81</v>
      </c>
      <c r="U58" s="2"/>
      <c r="V58" s="7">
        <f t="shared" si="18"/>
        <v>2.8312814887883391E-4</v>
      </c>
      <c r="W58" s="2"/>
      <c r="X58" s="6">
        <f t="shared" si="19"/>
        <v>45.279999999999973</v>
      </c>
      <c r="Y58" s="2"/>
      <c r="Z58" s="7">
        <f t="shared" si="20"/>
        <v>0.19366152003763729</v>
      </c>
    </row>
    <row r="59" spans="1:26" s="24" customFormat="1" hidden="1" outlineLevel="2" x14ac:dyDescent="0.25">
      <c r="A59" s="26"/>
      <c r="B59" s="11" t="str">
        <f>CONCATENATE("          ", "6115", " - ", "P.E.R.S.")</f>
        <v xml:space="preserve">          6115 - P.E.R.S.</v>
      </c>
      <c r="C59" s="11"/>
      <c r="D59" s="6">
        <v>1710.53</v>
      </c>
      <c r="E59" s="2"/>
      <c r="F59" s="7">
        <f t="shared" si="13"/>
        <v>7.7091613607113965E-3</v>
      </c>
      <c r="G59" s="2"/>
      <c r="H59" s="6">
        <v>1158.6199999999999</v>
      </c>
      <c r="I59" s="2"/>
      <c r="J59" s="7">
        <f t="shared" si="14"/>
        <v>5.9748905254032895E-3</v>
      </c>
      <c r="K59" s="2"/>
      <c r="L59" s="6">
        <f t="shared" si="15"/>
        <v>551.91000000000008</v>
      </c>
      <c r="M59" s="2"/>
      <c r="N59" s="7">
        <f t="shared" si="16"/>
        <v>0.47635117639950986</v>
      </c>
      <c r="O59" s="11"/>
      <c r="P59" s="6">
        <v>3977.44</v>
      </c>
      <c r="Q59" s="2"/>
      <c r="R59" s="7">
        <f t="shared" si="17"/>
        <v>4.2863692629786431E-3</v>
      </c>
      <c r="S59" s="2"/>
      <c r="T59" s="6">
        <v>3308.2</v>
      </c>
      <c r="U59" s="2"/>
      <c r="V59" s="7">
        <f t="shared" si="18"/>
        <v>4.0060071943927049E-3</v>
      </c>
      <c r="W59" s="2"/>
      <c r="X59" s="6">
        <f t="shared" si="19"/>
        <v>669.24000000000024</v>
      </c>
      <c r="Y59" s="2"/>
      <c r="Z59" s="7">
        <f t="shared" si="20"/>
        <v>0.20229732180642049</v>
      </c>
    </row>
    <row r="60" spans="1:26" s="24" customFormat="1" hidden="1" outlineLevel="2" x14ac:dyDescent="0.25">
      <c r="A60" s="26"/>
      <c r="B60" s="11" t="str">
        <f>CONCATENATE("          ", "6118", " - ", "VACATION")</f>
        <v xml:space="preserve">          6118 - VACATION</v>
      </c>
      <c r="C60" s="11"/>
      <c r="D60" s="6">
        <v>1130.4000000000001</v>
      </c>
      <c r="E60" s="2"/>
      <c r="F60" s="7">
        <f t="shared" si="13"/>
        <v>5.0945823821553337E-3</v>
      </c>
      <c r="G60" s="2"/>
      <c r="H60" s="6">
        <v>823.12</v>
      </c>
      <c r="I60" s="2"/>
      <c r="J60" s="7">
        <f t="shared" si="14"/>
        <v>4.2447496929709106E-3</v>
      </c>
      <c r="K60" s="2"/>
      <c r="L60" s="6">
        <f t="shared" si="15"/>
        <v>307.28000000000009</v>
      </c>
      <c r="M60" s="2"/>
      <c r="N60" s="7">
        <f t="shared" si="16"/>
        <v>0.37331130333365742</v>
      </c>
      <c r="O60" s="11"/>
      <c r="P60" s="6">
        <v>3403.01</v>
      </c>
      <c r="Q60" s="2"/>
      <c r="R60" s="7">
        <f t="shared" si="17"/>
        <v>3.6673230685086273E-3</v>
      </c>
      <c r="S60" s="2"/>
      <c r="T60" s="6">
        <v>2975.24</v>
      </c>
      <c r="U60" s="2"/>
      <c r="V60" s="7">
        <f t="shared" si="18"/>
        <v>3.602815079210734E-3</v>
      </c>
      <c r="W60" s="2"/>
      <c r="X60" s="6">
        <f t="shared" si="19"/>
        <v>427.77000000000044</v>
      </c>
      <c r="Y60" s="2"/>
      <c r="Z60" s="7">
        <f t="shared" si="20"/>
        <v>0.14377663650663491</v>
      </c>
    </row>
    <row r="61" spans="1:26" s="24" customFormat="1" hidden="1" outlineLevel="2" x14ac:dyDescent="0.25">
      <c r="A61" s="26"/>
      <c r="B61" s="11" t="str">
        <f>CONCATENATE("          ", "6119", " - ", "SICK LEAVE")</f>
        <v xml:space="preserve">          6119 - SICK LEAVE</v>
      </c>
      <c r="C61" s="11"/>
      <c r="D61" s="6">
        <v>698.55</v>
      </c>
      <c r="E61" s="2"/>
      <c r="F61" s="7">
        <f t="shared" si="13"/>
        <v>3.1482842560638783E-3</v>
      </c>
      <c r="G61" s="2"/>
      <c r="H61" s="6">
        <v>508.65</v>
      </c>
      <c r="I61" s="2"/>
      <c r="J61" s="7">
        <f t="shared" si="14"/>
        <v>2.6230585228516541E-3</v>
      </c>
      <c r="K61" s="2"/>
      <c r="L61" s="6">
        <f t="shared" si="15"/>
        <v>189.89999999999998</v>
      </c>
      <c r="M61" s="2"/>
      <c r="N61" s="7">
        <f t="shared" si="16"/>
        <v>0.37334119728693599</v>
      </c>
      <c r="O61" s="11"/>
      <c r="P61" s="6">
        <v>3544.75</v>
      </c>
      <c r="Q61" s="2"/>
      <c r="R61" s="7">
        <f t="shared" si="17"/>
        <v>3.8200720676977015E-3</v>
      </c>
      <c r="S61" s="2"/>
      <c r="T61" s="6">
        <v>2854.59</v>
      </c>
      <c r="U61" s="2"/>
      <c r="V61" s="7">
        <f t="shared" si="18"/>
        <v>3.4567160622215923E-3</v>
      </c>
      <c r="W61" s="2"/>
      <c r="X61" s="6">
        <f t="shared" si="19"/>
        <v>690.15999999999985</v>
      </c>
      <c r="Y61" s="2"/>
      <c r="Z61" s="7">
        <f t="shared" si="20"/>
        <v>0.24177202330282102</v>
      </c>
    </row>
    <row r="62" spans="1:26" s="24" customFormat="1" hidden="1" outlineLevel="2" x14ac:dyDescent="0.25">
      <c r="A62" s="26"/>
      <c r="B62" s="11" t="str">
        <f>CONCATENATE("          ", "6156", " - ", "EMPLOYEE MEALS")</f>
        <v xml:space="preserve">          6156 - EMPLOYEE MEALS</v>
      </c>
      <c r="C62" s="11"/>
      <c r="D62" s="6">
        <v>64.599999999999994</v>
      </c>
      <c r="E62" s="2"/>
      <c r="F62" s="7">
        <f t="shared" si="13"/>
        <v>2.91144746892458E-4</v>
      </c>
      <c r="G62" s="2"/>
      <c r="H62" s="6">
        <v>92.63</v>
      </c>
      <c r="I62" s="2"/>
      <c r="J62" s="7">
        <f t="shared" si="14"/>
        <v>4.7768389063550319E-4</v>
      </c>
      <c r="K62" s="2"/>
      <c r="L62" s="6">
        <f t="shared" si="15"/>
        <v>-28.03</v>
      </c>
      <c r="M62" s="2"/>
      <c r="N62" s="7">
        <f t="shared" si="16"/>
        <v>-0.3026017488934471</v>
      </c>
      <c r="O62" s="11"/>
      <c r="P62" s="6">
        <v>624.63</v>
      </c>
      <c r="Q62" s="2"/>
      <c r="R62" s="7">
        <f t="shared" si="17"/>
        <v>6.7314524737880396E-4</v>
      </c>
      <c r="S62" s="2"/>
      <c r="T62" s="6">
        <v>522.70000000000005</v>
      </c>
      <c r="U62" s="2"/>
      <c r="V62" s="7">
        <f t="shared" si="18"/>
        <v>6.3295446481744367E-4</v>
      </c>
      <c r="W62" s="2"/>
      <c r="X62" s="6">
        <f t="shared" si="19"/>
        <v>101.92999999999995</v>
      </c>
      <c r="Y62" s="2"/>
      <c r="Z62" s="7">
        <f t="shared" si="20"/>
        <v>0.19500669600153039</v>
      </c>
    </row>
    <row r="63" spans="1:26" s="27" customFormat="1" outlineLevel="1" collapsed="1" x14ac:dyDescent="0.25">
      <c r="A63" s="25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31497.199999999997</v>
      </c>
      <c r="E63" s="1"/>
      <c r="F63" s="5">
        <f t="shared" ref="F63:F68" si="21">IF(D$12=0,0,D63/D$12)</f>
        <v>0.14195424646781932</v>
      </c>
      <c r="G63" s="1"/>
      <c r="H63" s="1">
        <f>SUM(OSRRefH22_1x_0)</f>
        <v>22638.83</v>
      </c>
      <c r="I63" s="1"/>
      <c r="J63" s="5">
        <f t="shared" ref="J63:J68" si="22">IF(H$12=0,0,H63/H$12)</f>
        <v>0.11674624197166955</v>
      </c>
      <c r="K63" s="1"/>
      <c r="L63" s="1">
        <f t="shared" ref="L63:L68" si="23">+D63-H63</f>
        <v>8858.3699999999953</v>
      </c>
      <c r="M63" s="1"/>
      <c r="N63" s="5">
        <f t="shared" ref="N63:N68" si="24">IF(H63=0,0,L63/H63)</f>
        <v>0.39129098102684612</v>
      </c>
      <c r="O63" s="13"/>
      <c r="P63" s="1">
        <f>SUM(OSRRefP22_1x_0)</f>
        <v>107429.95000000001</v>
      </c>
      <c r="Q63" s="1"/>
      <c r="R63" s="5">
        <f t="shared" ref="R63:R68" si="25">IF(P$12=0,0,P63/P$12)</f>
        <v>0.11577407468203985</v>
      </c>
      <c r="S63" s="1"/>
      <c r="T63" s="1">
        <f>SUM(OSRRefT22_1x_0)</f>
        <v>79256.599999999991</v>
      </c>
      <c r="U63" s="1"/>
      <c r="V63" s="5">
        <f t="shared" ref="V63:V68" si="26">IF(T$12=0,0,T63/T$12)</f>
        <v>9.5974399916300357E-2</v>
      </c>
      <c r="W63" s="1"/>
      <c r="X63" s="1">
        <f t="shared" ref="X63:X68" si="27">+P63-T63</f>
        <v>28173.35000000002</v>
      </c>
      <c r="Y63" s="1"/>
      <c r="Z63" s="5">
        <f t="shared" ref="Z63:Z68" si="28">IF(T63=0,0,X63/T63)</f>
        <v>0.35547008072513864</v>
      </c>
    </row>
    <row r="64" spans="1:26" s="24" customFormat="1" hidden="1" outlineLevel="2" x14ac:dyDescent="0.25">
      <c r="A64" s="26"/>
      <c r="B64" s="11" t="str">
        <f>CONCATENATE("          ", "6002", " - ", "STAFF SALARIES")</f>
        <v xml:space="preserve">          6002 - STAFF SALARIES</v>
      </c>
      <c r="C64" s="11"/>
      <c r="D64" s="6">
        <v>11306.98</v>
      </c>
      <c r="E64" s="2"/>
      <c r="F64" s="7">
        <f t="shared" si="21"/>
        <v>5.0959254337741247E-2</v>
      </c>
      <c r="G64" s="2"/>
      <c r="H64" s="6">
        <v>7507.45</v>
      </c>
      <c r="I64" s="2"/>
      <c r="J64" s="7">
        <f t="shared" si="22"/>
        <v>3.8715188651101247E-2</v>
      </c>
      <c r="K64" s="2"/>
      <c r="L64" s="6">
        <f t="shared" si="23"/>
        <v>3799.5299999999997</v>
      </c>
      <c r="M64" s="2"/>
      <c r="N64" s="7">
        <f t="shared" si="24"/>
        <v>0.50610127273574912</v>
      </c>
      <c r="O64" s="11"/>
      <c r="P64" s="6">
        <v>38026.61</v>
      </c>
      <c r="Q64" s="2"/>
      <c r="R64" s="7">
        <f t="shared" si="25"/>
        <v>4.0980151122147992E-2</v>
      </c>
      <c r="S64" s="2"/>
      <c r="T64" s="6">
        <v>28969.279999999999</v>
      </c>
      <c r="U64" s="2"/>
      <c r="V64" s="7">
        <f t="shared" si="26"/>
        <v>3.5079845262189921E-2</v>
      </c>
      <c r="W64" s="2"/>
      <c r="X64" s="6">
        <f t="shared" si="27"/>
        <v>9057.3300000000017</v>
      </c>
      <c r="Y64" s="2"/>
      <c r="Z64" s="7">
        <f t="shared" si="28"/>
        <v>0.31265292061107497</v>
      </c>
    </row>
    <row r="65" spans="1:26" s="24" customFormat="1" hidden="1" outlineLevel="2" x14ac:dyDescent="0.25">
      <c r="A65" s="26"/>
      <c r="B65" s="11" t="str">
        <f>CONCATENATE("          ", "6005", " - ", "TEMPORARY WAGES-HOURLY")</f>
        <v xml:space="preserve">          6005 - TEMPORARY WAGES-HOURLY</v>
      </c>
      <c r="C65" s="11"/>
      <c r="D65" s="6">
        <v>5384.23</v>
      </c>
      <c r="E65" s="2"/>
      <c r="F65" s="7">
        <f t="shared" si="21"/>
        <v>2.4266103414253545E-2</v>
      </c>
      <c r="G65" s="2"/>
      <c r="H65" s="6">
        <v>6068.03</v>
      </c>
      <c r="I65" s="2"/>
      <c r="J65" s="7">
        <f t="shared" si="22"/>
        <v>3.1292239867137563E-2</v>
      </c>
      <c r="K65" s="2"/>
      <c r="L65" s="6">
        <f t="shared" si="23"/>
        <v>-683.80000000000018</v>
      </c>
      <c r="M65" s="2"/>
      <c r="N65" s="7">
        <f t="shared" si="24"/>
        <v>-0.11268896165641901</v>
      </c>
      <c r="O65" s="11"/>
      <c r="P65" s="6">
        <v>15736.42</v>
      </c>
      <c r="Q65" s="2"/>
      <c r="R65" s="7">
        <f t="shared" si="25"/>
        <v>1.6958673668822758E-2</v>
      </c>
      <c r="S65" s="2"/>
      <c r="T65" s="6">
        <v>16121.28</v>
      </c>
      <c r="U65" s="2"/>
      <c r="V65" s="7">
        <f t="shared" si="26"/>
        <v>1.9521783345269099E-2</v>
      </c>
      <c r="W65" s="2"/>
      <c r="X65" s="6">
        <f t="shared" si="27"/>
        <v>-384.86000000000058</v>
      </c>
      <c r="Y65" s="2"/>
      <c r="Z65" s="7">
        <f t="shared" si="28"/>
        <v>-2.3872794219813847E-2</v>
      </c>
    </row>
    <row r="66" spans="1:26" s="24" customFormat="1" hidden="1" outlineLevel="2" x14ac:dyDescent="0.25">
      <c r="A66" s="26"/>
      <c r="B66" s="11" t="str">
        <f>CONCATENATE("          ", "6006", " - ", "TEMPORARY PART TIME")</f>
        <v xml:space="preserve">          6006 - TEMPORARY PART TIME</v>
      </c>
      <c r="C66" s="11"/>
      <c r="D66" s="6">
        <v>66.5</v>
      </c>
      <c r="E66" s="2"/>
      <c r="F66" s="7">
        <f t="shared" si="21"/>
        <v>2.9970782768341266E-4</v>
      </c>
      <c r="G66" s="2"/>
      <c r="H66" s="6">
        <v>1571.88</v>
      </c>
      <c r="I66" s="2"/>
      <c r="J66" s="7">
        <f t="shared" si="22"/>
        <v>8.1060321063600865E-3</v>
      </c>
      <c r="K66" s="2"/>
      <c r="L66" s="6">
        <f t="shared" si="23"/>
        <v>-1505.38</v>
      </c>
      <c r="M66" s="2"/>
      <c r="N66" s="7">
        <f t="shared" si="24"/>
        <v>-0.95769397154999114</v>
      </c>
      <c r="O66" s="11"/>
      <c r="P66" s="6">
        <v>66.5</v>
      </c>
      <c r="Q66" s="2"/>
      <c r="R66" s="7">
        <f t="shared" si="25"/>
        <v>7.1665080048493454E-5</v>
      </c>
      <c r="S66" s="2"/>
      <c r="T66" s="6">
        <v>5362.63</v>
      </c>
      <c r="U66" s="2"/>
      <c r="V66" s="7">
        <f t="shared" si="26"/>
        <v>6.4937834353624782E-3</v>
      </c>
      <c r="W66" s="2"/>
      <c r="X66" s="6">
        <f t="shared" si="27"/>
        <v>-5296.13</v>
      </c>
      <c r="Y66" s="2"/>
      <c r="Z66" s="7">
        <f t="shared" si="28"/>
        <v>-0.98759936822044403</v>
      </c>
    </row>
    <row r="67" spans="1:26" s="24" customFormat="1" hidden="1" outlineLevel="2" x14ac:dyDescent="0.25">
      <c r="A67" s="26"/>
      <c r="B67" s="11" t="str">
        <f>CONCATENATE("          ", "6007", " - ", "STUDENT HOURLY")</f>
        <v xml:space="preserve">          6007 - STUDENT HOURLY</v>
      </c>
      <c r="C67" s="11"/>
      <c r="D67" s="6">
        <v>14739.49</v>
      </c>
      <c r="E67" s="2"/>
      <c r="F67" s="7">
        <f t="shared" si="21"/>
        <v>6.6429180888141107E-2</v>
      </c>
      <c r="G67" s="2"/>
      <c r="H67" s="6">
        <v>7491.47</v>
      </c>
      <c r="I67" s="2"/>
      <c r="J67" s="7">
        <f t="shared" si="22"/>
        <v>3.8632781347070641E-2</v>
      </c>
      <c r="K67" s="2"/>
      <c r="L67" s="6">
        <f t="shared" si="23"/>
        <v>7248.0199999999995</v>
      </c>
      <c r="M67" s="2"/>
      <c r="N67" s="7">
        <f t="shared" si="24"/>
        <v>0.96750304012430133</v>
      </c>
      <c r="O67" s="11"/>
      <c r="P67" s="6">
        <v>53405.420000000006</v>
      </c>
      <c r="Q67" s="2"/>
      <c r="R67" s="7">
        <f t="shared" si="25"/>
        <v>5.755343908757013E-2</v>
      </c>
      <c r="S67" s="2"/>
      <c r="T67" s="6">
        <v>28803.41</v>
      </c>
      <c r="U67" s="2"/>
      <c r="V67" s="7">
        <f t="shared" si="26"/>
        <v>3.4878987873478866E-2</v>
      </c>
      <c r="W67" s="2"/>
      <c r="X67" s="6">
        <f t="shared" si="27"/>
        <v>24602.010000000006</v>
      </c>
      <c r="Y67" s="2"/>
      <c r="Z67" s="7">
        <f t="shared" si="28"/>
        <v>0.85413532633809697</v>
      </c>
    </row>
    <row r="68" spans="1:26" s="24" customFormat="1" hidden="1" outlineLevel="2" x14ac:dyDescent="0.25">
      <c r="A68" s="26"/>
      <c r="B68" s="11" t="str">
        <f>CONCATENATE("          ", "6008", " - ", "STUDENT HOURLY-FICA EXEMPT")</f>
        <v xml:space="preserve">          6008 - STUDENT HOURLY-FICA EXEMPT</v>
      </c>
      <c r="C68" s="11"/>
      <c r="D68" s="6"/>
      <c r="E68" s="2"/>
      <c r="F68" s="7">
        <f t="shared" si="21"/>
        <v>0</v>
      </c>
      <c r="G68" s="2"/>
      <c r="H68" s="6"/>
      <c r="I68" s="2"/>
      <c r="J68" s="7">
        <f t="shared" si="22"/>
        <v>0</v>
      </c>
      <c r="K68" s="2"/>
      <c r="L68" s="6">
        <f t="shared" si="23"/>
        <v>0</v>
      </c>
      <c r="M68" s="2"/>
      <c r="N68" s="7">
        <f t="shared" si="24"/>
        <v>0</v>
      </c>
      <c r="O68" s="11"/>
      <c r="P68" s="6">
        <v>195</v>
      </c>
      <c r="Q68" s="2"/>
      <c r="R68" s="7">
        <f t="shared" si="25"/>
        <v>2.1014572345046952E-4</v>
      </c>
      <c r="S68" s="2"/>
      <c r="T68" s="6"/>
      <c r="U68" s="2"/>
      <c r="V68" s="7">
        <f t="shared" si="26"/>
        <v>0</v>
      </c>
      <c r="W68" s="2"/>
      <c r="X68" s="6">
        <f t="shared" si="27"/>
        <v>195</v>
      </c>
      <c r="Y68" s="2"/>
      <c r="Z68" s="7">
        <f t="shared" si="28"/>
        <v>0</v>
      </c>
    </row>
    <row r="69" spans="1:26" s="27" customFormat="1" outlineLevel="1" collapsed="1" x14ac:dyDescent="0.25">
      <c r="A69" s="25"/>
      <c r="B69" s="13" t="str">
        <f>CONCATENATE("     ","Advertising/Promo                                 ")</f>
        <v xml:space="preserve">     Advertising/Promo                                 </v>
      </c>
      <c r="C69" s="13"/>
      <c r="D69" s="1">
        <f>SUM(OSRRefD22_2x_0)</f>
        <v>2800.37</v>
      </c>
      <c r="E69" s="1"/>
      <c r="F69" s="5">
        <f t="shared" ref="F69:F73" si="29">IF(D$12=0,0,D69/D$12)</f>
        <v>1.2620944502402981E-2</v>
      </c>
      <c r="G69" s="1"/>
      <c r="H69" s="1">
        <f>SUM(OSRRefH22_2x_0)</f>
        <v>212</v>
      </c>
      <c r="I69" s="1"/>
      <c r="J69" s="5">
        <f t="shared" ref="J69:J73" si="30">IF(H$12=0,0,H69/H$12)</f>
        <v>1.0932633576025768E-3</v>
      </c>
      <c r="K69" s="1"/>
      <c r="L69" s="1">
        <f t="shared" ref="L69:L73" si="31">+D69-H69</f>
        <v>2588.37</v>
      </c>
      <c r="M69" s="1"/>
      <c r="N69" s="5">
        <f t="shared" ref="N69:N73" si="32">IF(H69=0,0,L69/H69)</f>
        <v>12.209292452830189</v>
      </c>
      <c r="O69" s="13"/>
      <c r="P69" s="1">
        <f>SUM(OSRRefP22_2x_0)</f>
        <v>5562.48</v>
      </c>
      <c r="Q69" s="1"/>
      <c r="R69" s="5">
        <f t="shared" ref="R69:R73" si="33">IF(P$12=0,0,P69/P$12)</f>
        <v>5.9945199168141925E-3</v>
      </c>
      <c r="S69" s="1"/>
      <c r="T69" s="1">
        <f>SUM(OSRRefT22_2x_0)</f>
        <v>1616.91</v>
      </c>
      <c r="U69" s="1"/>
      <c r="V69" s="5">
        <f t="shared" ref="V69:V73" si="34">IF(T$12=0,0,T69/T$12)</f>
        <v>1.9579690141725134E-3</v>
      </c>
      <c r="W69" s="1"/>
      <c r="X69" s="1">
        <f t="shared" ref="X69:X73" si="35">+P69-T69</f>
        <v>3945.5699999999997</v>
      </c>
      <c r="Y69" s="1"/>
      <c r="Z69" s="5">
        <f t="shared" ref="Z69:Z73" si="36">IF(T69=0,0,X69/T69)</f>
        <v>2.4401914763344896</v>
      </c>
    </row>
    <row r="70" spans="1:26" s="24" customFormat="1" hidden="1" outlineLevel="2" x14ac:dyDescent="0.25">
      <c r="A70" s="26"/>
      <c r="B70" s="11" t="str">
        <f>CONCATENATE("          ", "6362", " - ", "ADVERTISING EXPENSE")</f>
        <v xml:space="preserve">          6362 - ADVERTISING EXPENSE</v>
      </c>
      <c r="C70" s="11"/>
      <c r="D70" s="6">
        <v>2800.37</v>
      </c>
      <c r="E70" s="2"/>
      <c r="F70" s="7">
        <f t="shared" si="29"/>
        <v>1.2620944502402981E-2</v>
      </c>
      <c r="G70" s="2"/>
      <c r="H70" s="6">
        <v>212</v>
      </c>
      <c r="I70" s="2"/>
      <c r="J70" s="7">
        <f t="shared" si="30"/>
        <v>1.0932633576025768E-3</v>
      </c>
      <c r="K70" s="2"/>
      <c r="L70" s="6">
        <f t="shared" si="31"/>
        <v>2588.37</v>
      </c>
      <c r="M70" s="2"/>
      <c r="N70" s="7">
        <f t="shared" si="32"/>
        <v>12.209292452830189</v>
      </c>
      <c r="O70" s="11"/>
      <c r="P70" s="6">
        <v>5562.48</v>
      </c>
      <c r="Q70" s="2"/>
      <c r="R70" s="7">
        <f t="shared" si="33"/>
        <v>5.9945199168141925E-3</v>
      </c>
      <c r="S70" s="2"/>
      <c r="T70" s="6">
        <v>1616.91</v>
      </c>
      <c r="U70" s="2"/>
      <c r="V70" s="7">
        <f t="shared" si="34"/>
        <v>1.9579690141725134E-3</v>
      </c>
      <c r="W70" s="2"/>
      <c r="X70" s="6">
        <f t="shared" si="35"/>
        <v>3945.5699999999997</v>
      </c>
      <c r="Y70" s="2"/>
      <c r="Z70" s="7">
        <f t="shared" si="36"/>
        <v>2.4401914763344896</v>
      </c>
    </row>
    <row r="71" spans="1:26" s="27" customFormat="1" outlineLevel="1" collapsed="1" x14ac:dyDescent="0.25">
      <c r="A71" s="25"/>
      <c r="B71" s="13" t="str">
        <f>CONCATENATE("     ","Discounts and Markdowns                           ")</f>
        <v xml:space="preserve">     Discounts and Markdowns                           </v>
      </c>
      <c r="C71" s="13"/>
      <c r="D71" s="1">
        <f>SUM(OSRRefD22_3x_0)</f>
        <v>26169.39</v>
      </c>
      <c r="E71" s="1"/>
      <c r="F71" s="5">
        <f t="shared" si="29"/>
        <v>0.11794242148421086</v>
      </c>
      <c r="G71" s="1"/>
      <c r="H71" s="1">
        <f>SUM(OSRRefH22_3x_0)</f>
        <v>13261.56</v>
      </c>
      <c r="I71" s="1"/>
      <c r="J71" s="5">
        <f t="shared" si="30"/>
        <v>6.8388573644566159E-2</v>
      </c>
      <c r="K71" s="1"/>
      <c r="L71" s="1">
        <f t="shared" si="31"/>
        <v>12907.83</v>
      </c>
      <c r="M71" s="1"/>
      <c r="N71" s="5">
        <f t="shared" si="32"/>
        <v>0.97332666745088814</v>
      </c>
      <c r="O71" s="13"/>
      <c r="P71" s="1">
        <f>SUM(OSRRefP22_3x_0)</f>
        <v>64404.840000000004</v>
      </c>
      <c r="Q71" s="1"/>
      <c r="R71" s="5">
        <f t="shared" si="33"/>
        <v>6.9407188182111473E-2</v>
      </c>
      <c r="S71" s="1"/>
      <c r="T71" s="1">
        <f>SUM(OSRRefT22_3x_0)</f>
        <v>51921.66</v>
      </c>
      <c r="U71" s="1"/>
      <c r="V71" s="5">
        <f t="shared" si="34"/>
        <v>6.2873630223327467E-2</v>
      </c>
      <c r="W71" s="1"/>
      <c r="X71" s="1">
        <f t="shared" si="35"/>
        <v>12483.18</v>
      </c>
      <c r="Y71" s="1"/>
      <c r="Z71" s="5">
        <f t="shared" si="36"/>
        <v>0.2404233608863815</v>
      </c>
    </row>
    <row r="72" spans="1:26" s="24" customFormat="1" hidden="1" outlineLevel="2" x14ac:dyDescent="0.25">
      <c r="A72" s="26"/>
      <c r="B72" s="11" t="str">
        <f>CONCATENATE("          ", "6382", " - ", "DISCOUNTS/MARK DOWNS")</f>
        <v xml:space="preserve">          6382 - DISCOUNTS/MARK DOWNS</v>
      </c>
      <c r="C72" s="11"/>
      <c r="D72" s="6">
        <v>26138.6</v>
      </c>
      <c r="E72" s="2"/>
      <c r="F72" s="7">
        <f t="shared" si="29"/>
        <v>0.11780365450655113</v>
      </c>
      <c r="G72" s="2"/>
      <c r="H72" s="6">
        <v>13278.85</v>
      </c>
      <c r="I72" s="2"/>
      <c r="J72" s="7">
        <f t="shared" si="30"/>
        <v>6.8477736491042343E-2</v>
      </c>
      <c r="K72" s="2"/>
      <c r="L72" s="6">
        <f t="shared" si="31"/>
        <v>12859.749999999998</v>
      </c>
      <c r="M72" s="2"/>
      <c r="N72" s="7">
        <f t="shared" si="32"/>
        <v>0.96843853195118534</v>
      </c>
      <c r="O72" s="11"/>
      <c r="P72" s="6">
        <v>64412.310000000005</v>
      </c>
      <c r="Q72" s="2"/>
      <c r="R72" s="7">
        <f t="shared" si="33"/>
        <v>6.9415238379825189E-2</v>
      </c>
      <c r="S72" s="2"/>
      <c r="T72" s="6">
        <v>51955.55</v>
      </c>
      <c r="U72" s="2"/>
      <c r="V72" s="7">
        <f t="shared" si="34"/>
        <v>6.2914668728804163E-2</v>
      </c>
      <c r="W72" s="2"/>
      <c r="X72" s="6">
        <f t="shared" si="35"/>
        <v>12456.760000000002</v>
      </c>
      <c r="Y72" s="2"/>
      <c r="Z72" s="7">
        <f t="shared" si="36"/>
        <v>0.23975802392622159</v>
      </c>
    </row>
    <row r="73" spans="1:26" s="24" customFormat="1" hidden="1" outlineLevel="2" x14ac:dyDescent="0.25">
      <c r="A73" s="26"/>
      <c r="B73" s="11" t="str">
        <f>CONCATENATE("          ", "9175", " - ", "EARNED DISCOUNTS")</f>
        <v xml:space="preserve">          9175 - EARNED DISCOUNTS</v>
      </c>
      <c r="C73" s="11"/>
      <c r="D73" s="6">
        <v>30.79</v>
      </c>
      <c r="E73" s="2"/>
      <c r="F73" s="7">
        <f t="shared" si="29"/>
        <v>1.3876697765973346E-4</v>
      </c>
      <c r="G73" s="2"/>
      <c r="H73" s="6">
        <v>-17.29</v>
      </c>
      <c r="I73" s="2"/>
      <c r="J73" s="7">
        <f t="shared" si="30"/>
        <v>-8.9162846476172411E-5</v>
      </c>
      <c r="K73" s="2"/>
      <c r="L73" s="6">
        <f t="shared" si="31"/>
        <v>48.08</v>
      </c>
      <c r="M73" s="2"/>
      <c r="N73" s="7">
        <f t="shared" si="32"/>
        <v>-2.7807981492192018</v>
      </c>
      <c r="O73" s="11"/>
      <c r="P73" s="6">
        <v>-7.47</v>
      </c>
      <c r="Q73" s="2"/>
      <c r="R73" s="7">
        <f t="shared" si="33"/>
        <v>-8.0501977137179859E-6</v>
      </c>
      <c r="S73" s="2"/>
      <c r="T73" s="6">
        <v>-33.89</v>
      </c>
      <c r="U73" s="2"/>
      <c r="V73" s="7">
        <f t="shared" si="34"/>
        <v>-4.1038505476684837E-5</v>
      </c>
      <c r="W73" s="2"/>
      <c r="X73" s="6">
        <f t="shared" si="35"/>
        <v>26.42</v>
      </c>
      <c r="Y73" s="2"/>
      <c r="Z73" s="7">
        <f t="shared" si="36"/>
        <v>-0.77958099734434938</v>
      </c>
    </row>
    <row r="74" spans="1:26" s="27" customFormat="1" outlineLevel="1" collapsed="1" x14ac:dyDescent="0.25">
      <c r="A74" s="25"/>
      <c r="B74" s="13" t="str">
        <f>CONCATENATE("     ","Employees' Appreciation                           ")</f>
        <v xml:space="preserve">     Employees' Appreciation                           </v>
      </c>
      <c r="C74" s="13"/>
      <c r="D74" s="1">
        <f>SUM(OSRRefD22_4x_0)</f>
        <v>60</v>
      </c>
      <c r="E74" s="1"/>
      <c r="F74" s="5">
        <f t="shared" ref="F74:F78" si="37">IF(D$12=0,0,D74/D$12)</f>
        <v>2.7041307760909412E-4</v>
      </c>
      <c r="G74" s="1"/>
      <c r="H74" s="1">
        <f>SUM(OSRRefH22_4x_0)</f>
        <v>75</v>
      </c>
      <c r="I74" s="1"/>
      <c r="J74" s="5">
        <f t="shared" ref="J74:J78" si="38">IF(H$12=0,0,H74/H$12)</f>
        <v>3.8676769726506252E-4</v>
      </c>
      <c r="K74" s="1"/>
      <c r="L74" s="1">
        <f t="shared" ref="L74:L78" si="39">+D74-H74</f>
        <v>-15</v>
      </c>
      <c r="M74" s="1"/>
      <c r="N74" s="5">
        <f t="shared" ref="N74:N78" si="40">IF(H74=0,0,L74/H74)</f>
        <v>-0.2</v>
      </c>
      <c r="O74" s="13"/>
      <c r="P74" s="1">
        <f>SUM(OSRRefP22_4x_0)</f>
        <v>72.98</v>
      </c>
      <c r="Q74" s="1"/>
      <c r="R74" s="5">
        <f t="shared" ref="R74:R78" si="41">IF(P$12=0,0,P74/P$12)</f>
        <v>7.864838408930906E-5</v>
      </c>
      <c r="S74" s="1"/>
      <c r="T74" s="1">
        <f>SUM(OSRRefT22_4x_0)</f>
        <v>88.76</v>
      </c>
      <c r="U74" s="1"/>
      <c r="V74" s="5">
        <f t="shared" ref="V74:V78" si="42">IF(T$12=0,0,T74/T$12)</f>
        <v>1.0748237669255078E-4</v>
      </c>
      <c r="W74" s="1"/>
      <c r="X74" s="1">
        <f t="shared" ref="X74:X78" si="43">+P74-T74</f>
        <v>-15.780000000000001</v>
      </c>
      <c r="Y74" s="1"/>
      <c r="Z74" s="5">
        <f t="shared" ref="Z74:Z78" si="44">IF(T74=0,0,X74/T74)</f>
        <v>-0.17778278503830555</v>
      </c>
    </row>
    <row r="75" spans="1:26" s="24" customFormat="1" hidden="1" outlineLevel="2" x14ac:dyDescent="0.25">
      <c r="A75" s="26"/>
      <c r="B75" s="11" t="str">
        <f>CONCATENATE("          ", "6277", " - ", "EMPLOYEE APPRECIATION")</f>
        <v xml:space="preserve">          6277 - EMPLOYEE APPRECIATION</v>
      </c>
      <c r="C75" s="11"/>
      <c r="D75" s="6">
        <v>60</v>
      </c>
      <c r="E75" s="2"/>
      <c r="F75" s="7">
        <f t="shared" si="37"/>
        <v>2.7041307760909412E-4</v>
      </c>
      <c r="G75" s="2"/>
      <c r="H75" s="6">
        <v>75</v>
      </c>
      <c r="I75" s="2"/>
      <c r="J75" s="7">
        <f t="shared" si="38"/>
        <v>3.8676769726506252E-4</v>
      </c>
      <c r="K75" s="2"/>
      <c r="L75" s="6">
        <f t="shared" si="39"/>
        <v>-15</v>
      </c>
      <c r="M75" s="2"/>
      <c r="N75" s="7">
        <f t="shared" si="40"/>
        <v>-0.2</v>
      </c>
      <c r="O75" s="11"/>
      <c r="P75" s="6">
        <v>72.98</v>
      </c>
      <c r="Q75" s="2"/>
      <c r="R75" s="7">
        <f t="shared" si="41"/>
        <v>7.864838408930906E-5</v>
      </c>
      <c r="S75" s="2"/>
      <c r="T75" s="6">
        <v>88.76</v>
      </c>
      <c r="U75" s="2"/>
      <c r="V75" s="7">
        <f t="shared" si="42"/>
        <v>1.0748237669255078E-4</v>
      </c>
      <c r="W75" s="2"/>
      <c r="X75" s="6">
        <f t="shared" si="43"/>
        <v>-15.780000000000001</v>
      </c>
      <c r="Y75" s="2"/>
      <c r="Z75" s="7">
        <f t="shared" si="44"/>
        <v>-0.17778278503830555</v>
      </c>
    </row>
    <row r="76" spans="1:26" s="27" customFormat="1" outlineLevel="1" collapsed="1" x14ac:dyDescent="0.25">
      <c r="A76" s="25"/>
      <c r="B76" s="13" t="str">
        <f>CONCATENATE("     ","Freight out/Postage                               ")</f>
        <v xml:space="preserve">     Freight out/Postage                               </v>
      </c>
      <c r="C76" s="13"/>
      <c r="D76" s="1">
        <f>SUM(OSRRefD22_5x_0)</f>
        <v>70.5</v>
      </c>
      <c r="E76" s="1"/>
      <c r="F76" s="5">
        <f t="shared" si="37"/>
        <v>3.1773536619068561E-4</v>
      </c>
      <c r="G76" s="1"/>
      <c r="H76" s="1">
        <f>SUM(OSRRefH22_5x_0)</f>
        <v>6.16</v>
      </c>
      <c r="I76" s="1"/>
      <c r="J76" s="5">
        <f t="shared" si="38"/>
        <v>3.1766520202037134E-5</v>
      </c>
      <c r="K76" s="1"/>
      <c r="L76" s="1">
        <f t="shared" si="39"/>
        <v>64.34</v>
      </c>
      <c r="M76" s="1"/>
      <c r="N76" s="5">
        <f t="shared" si="40"/>
        <v>10.444805194805195</v>
      </c>
      <c r="O76" s="13"/>
      <c r="P76" s="1">
        <f>SUM(OSRRefP22_5x_0)</f>
        <v>70.5</v>
      </c>
      <c r="Q76" s="1"/>
      <c r="R76" s="5">
        <f t="shared" si="41"/>
        <v>7.5975761555169746E-5</v>
      </c>
      <c r="S76" s="1"/>
      <c r="T76" s="1">
        <f>SUM(OSRRefT22_5x_0)</f>
        <v>11.04</v>
      </c>
      <c r="U76" s="1"/>
      <c r="V76" s="5">
        <f t="shared" si="42"/>
        <v>1.3368695794116274E-5</v>
      </c>
      <c r="W76" s="1"/>
      <c r="X76" s="1">
        <f t="shared" si="43"/>
        <v>59.46</v>
      </c>
      <c r="Y76" s="1"/>
      <c r="Z76" s="5">
        <f t="shared" si="44"/>
        <v>5.3858695652173916</v>
      </c>
    </row>
    <row r="77" spans="1:26" s="24" customFormat="1" hidden="1" outlineLevel="2" x14ac:dyDescent="0.25">
      <c r="A77" s="26"/>
      <c r="B77" s="11" t="str">
        <f>CONCATENATE("          ", "6305", " - ", "FREIGHT OUT")</f>
        <v xml:space="preserve">          6305 - FREIGHT OUT</v>
      </c>
      <c r="C77" s="11"/>
      <c r="D77" s="6">
        <v>70</v>
      </c>
      <c r="E77" s="2"/>
      <c r="F77" s="7">
        <f t="shared" si="37"/>
        <v>3.1548192387727649E-4</v>
      </c>
      <c r="G77" s="2"/>
      <c r="H77" s="6">
        <v>6.16</v>
      </c>
      <c r="I77" s="2"/>
      <c r="J77" s="7">
        <f t="shared" si="38"/>
        <v>3.1766520202037134E-5</v>
      </c>
      <c r="K77" s="2"/>
      <c r="L77" s="6">
        <f t="shared" si="39"/>
        <v>63.84</v>
      </c>
      <c r="M77" s="2"/>
      <c r="N77" s="7">
        <f t="shared" si="40"/>
        <v>10.363636363636363</v>
      </c>
      <c r="O77" s="11"/>
      <c r="P77" s="6">
        <v>70</v>
      </c>
      <c r="Q77" s="2"/>
      <c r="R77" s="7">
        <f t="shared" si="41"/>
        <v>7.5436926366835211E-5</v>
      </c>
      <c r="S77" s="2"/>
      <c r="T77" s="6">
        <v>11.04</v>
      </c>
      <c r="U77" s="2"/>
      <c r="V77" s="7">
        <f t="shared" si="42"/>
        <v>1.3368695794116274E-5</v>
      </c>
      <c r="W77" s="2"/>
      <c r="X77" s="6">
        <f t="shared" si="43"/>
        <v>58.96</v>
      </c>
      <c r="Y77" s="2"/>
      <c r="Z77" s="7">
        <f t="shared" si="44"/>
        <v>5.3405797101449277</v>
      </c>
    </row>
    <row r="78" spans="1:26" s="24" customFormat="1" hidden="1" outlineLevel="2" x14ac:dyDescent="0.25">
      <c r="A78" s="26"/>
      <c r="B78" s="11" t="str">
        <f>CONCATENATE("          ", "6307", " - ", "POSTAGE")</f>
        <v xml:space="preserve">          6307 - POSTAGE</v>
      </c>
      <c r="C78" s="11"/>
      <c r="D78" s="6">
        <v>0.5</v>
      </c>
      <c r="E78" s="2"/>
      <c r="F78" s="7">
        <f t="shared" si="37"/>
        <v>2.2534423134091177E-6</v>
      </c>
      <c r="G78" s="2"/>
      <c r="H78" s="6"/>
      <c r="I78" s="2"/>
      <c r="J78" s="7">
        <f t="shared" si="38"/>
        <v>0</v>
      </c>
      <c r="K78" s="2"/>
      <c r="L78" s="6">
        <f t="shared" si="39"/>
        <v>0.5</v>
      </c>
      <c r="M78" s="2"/>
      <c r="N78" s="7">
        <f t="shared" si="40"/>
        <v>0</v>
      </c>
      <c r="O78" s="11"/>
      <c r="P78" s="6">
        <v>0.5</v>
      </c>
      <c r="Q78" s="2"/>
      <c r="R78" s="7">
        <f t="shared" si="41"/>
        <v>5.3883518833453724E-7</v>
      </c>
      <c r="S78" s="2"/>
      <c r="T78" s="6"/>
      <c r="U78" s="2"/>
      <c r="V78" s="7">
        <f t="shared" si="42"/>
        <v>0</v>
      </c>
      <c r="W78" s="2"/>
      <c r="X78" s="6">
        <f t="shared" si="43"/>
        <v>0.5</v>
      </c>
      <c r="Y78" s="2"/>
      <c r="Z78" s="7">
        <f t="shared" si="44"/>
        <v>0</v>
      </c>
    </row>
    <row r="79" spans="1:26" s="27" customFormat="1" outlineLevel="1" collapsed="1" x14ac:dyDescent="0.25">
      <c r="A79" s="25"/>
      <c r="B79" s="13" t="str">
        <f>CONCATENATE("     ","General                                           ")</f>
        <v xml:space="preserve">     General                                           </v>
      </c>
      <c r="C79" s="13"/>
      <c r="D79" s="1">
        <f>SUM(OSRRefD22_6x_0)</f>
        <v>0</v>
      </c>
      <c r="E79" s="1"/>
      <c r="F79" s="5">
        <f t="shared" ref="F79:F85" si="45">IF(D$12=0,0,D79/D$12)</f>
        <v>0</v>
      </c>
      <c r="G79" s="1"/>
      <c r="H79" s="1">
        <f>SUM(OSRRefH22_6x_0)</f>
        <v>0</v>
      </c>
      <c r="I79" s="1"/>
      <c r="J79" s="5">
        <f t="shared" ref="J79:J85" si="46">IF(H$12=0,0,H79/H$12)</f>
        <v>0</v>
      </c>
      <c r="K79" s="1"/>
      <c r="L79" s="1">
        <f t="shared" ref="L79:L85" si="47">+D79-H79</f>
        <v>0</v>
      </c>
      <c r="M79" s="1"/>
      <c r="N79" s="5">
        <f t="shared" ref="N79:N85" si="48">IF(H79=0,0,L79/H79)</f>
        <v>0</v>
      </c>
      <c r="O79" s="13"/>
      <c r="P79" s="1">
        <f>SUM(OSRRefP22_6x_0)</f>
        <v>0</v>
      </c>
      <c r="Q79" s="1"/>
      <c r="R79" s="5">
        <f t="shared" ref="R79:R85" si="49">IF(P$12=0,0,P79/P$12)</f>
        <v>0</v>
      </c>
      <c r="S79" s="1"/>
      <c r="T79" s="1">
        <f>SUM(OSRRefT22_6x_0)</f>
        <v>33.06</v>
      </c>
      <c r="U79" s="1"/>
      <c r="V79" s="5">
        <f t="shared" ref="V79:V85" si="50">IF(T$12=0,0,T79/T$12)</f>
        <v>4.0033431426946022E-5</v>
      </c>
      <c r="W79" s="1"/>
      <c r="X79" s="1">
        <f t="shared" ref="X79:X85" si="51">+P79-T79</f>
        <v>-33.06</v>
      </c>
      <c r="Y79" s="1"/>
      <c r="Z79" s="5">
        <f t="shared" ref="Z79:Z85" si="52">IF(T79=0,0,X79/T79)</f>
        <v>-1</v>
      </c>
    </row>
    <row r="80" spans="1:26" s="24" customFormat="1" hidden="1" outlineLevel="2" x14ac:dyDescent="0.25">
      <c r="A80" s="26"/>
      <c r="B80" s="11" t="str">
        <f>CONCATENATE("          ", "6279", " - ", "GENERAL EXPENSE")</f>
        <v xml:space="preserve">          6279 - GENERAL EXPENSE</v>
      </c>
      <c r="C80" s="11"/>
      <c r="D80" s="6"/>
      <c r="E80" s="2"/>
      <c r="F80" s="7">
        <f t="shared" si="45"/>
        <v>0</v>
      </c>
      <c r="G80" s="2"/>
      <c r="H80" s="6"/>
      <c r="I80" s="2"/>
      <c r="J80" s="7">
        <f t="shared" si="46"/>
        <v>0</v>
      </c>
      <c r="K80" s="2"/>
      <c r="L80" s="6">
        <f t="shared" si="47"/>
        <v>0</v>
      </c>
      <c r="M80" s="2"/>
      <c r="N80" s="7">
        <f t="shared" si="48"/>
        <v>0</v>
      </c>
      <c r="O80" s="11"/>
      <c r="P80" s="6"/>
      <c r="Q80" s="2"/>
      <c r="R80" s="7">
        <f t="shared" si="49"/>
        <v>0</v>
      </c>
      <c r="S80" s="2"/>
      <c r="T80" s="6">
        <v>33.06</v>
      </c>
      <c r="U80" s="2"/>
      <c r="V80" s="7">
        <f t="shared" si="50"/>
        <v>4.0033431426946022E-5</v>
      </c>
      <c r="W80" s="2"/>
      <c r="X80" s="6">
        <f t="shared" si="51"/>
        <v>-33.06</v>
      </c>
      <c r="Y80" s="2"/>
      <c r="Z80" s="7">
        <f t="shared" si="52"/>
        <v>-1</v>
      </c>
    </row>
    <row r="81" spans="1:26" s="27" customFormat="1" outlineLevel="1" collapsed="1" x14ac:dyDescent="0.25">
      <c r="A81" s="25"/>
      <c r="B81" s="13" t="str">
        <f>CONCATENATE("     ","Inventory Adjustment                              ")</f>
        <v xml:space="preserve">     Inventory Adjustment                              </v>
      </c>
      <c r="C81" s="13"/>
      <c r="D81" s="1">
        <f>SUM(OSRRefD22_7x_0)</f>
        <v>2850</v>
      </c>
      <c r="E81" s="1"/>
      <c r="F81" s="5">
        <f t="shared" si="45"/>
        <v>1.2844621186431971E-2</v>
      </c>
      <c r="G81" s="1"/>
      <c r="H81" s="1">
        <f>SUM(OSRRefH22_7x_0)</f>
        <v>1000</v>
      </c>
      <c r="I81" s="1"/>
      <c r="J81" s="5">
        <f t="shared" si="46"/>
        <v>5.1569026302008339E-3</v>
      </c>
      <c r="K81" s="1"/>
      <c r="L81" s="1">
        <f t="shared" si="47"/>
        <v>1850</v>
      </c>
      <c r="M81" s="1"/>
      <c r="N81" s="5">
        <f t="shared" si="48"/>
        <v>1.85</v>
      </c>
      <c r="O81" s="13"/>
      <c r="P81" s="1">
        <f>SUM(OSRRefP22_7x_0)</f>
        <v>11400</v>
      </c>
      <c r="Q81" s="1"/>
      <c r="R81" s="5">
        <f t="shared" si="49"/>
        <v>1.2285442294027449E-2</v>
      </c>
      <c r="S81" s="1"/>
      <c r="T81" s="1">
        <f>SUM(OSRRefT22_7x_0)</f>
        <v>4000</v>
      </c>
      <c r="U81" s="1"/>
      <c r="V81" s="5">
        <f t="shared" si="50"/>
        <v>4.8437303601870565E-3</v>
      </c>
      <c r="W81" s="1"/>
      <c r="X81" s="1">
        <f t="shared" si="51"/>
        <v>7400</v>
      </c>
      <c r="Y81" s="1"/>
      <c r="Z81" s="5">
        <f t="shared" si="52"/>
        <v>1.85</v>
      </c>
    </row>
    <row r="82" spans="1:26" s="24" customFormat="1" hidden="1" outlineLevel="2" x14ac:dyDescent="0.25">
      <c r="A82" s="26"/>
      <c r="B82" s="11" t="str">
        <f>CONCATENATE("          ", "6408", " - ", "INVENTORY ADJUSTMENT")</f>
        <v xml:space="preserve">          6408 - INVENTORY ADJUSTMENT</v>
      </c>
      <c r="C82" s="11"/>
      <c r="D82" s="6">
        <v>2850</v>
      </c>
      <c r="E82" s="2"/>
      <c r="F82" s="7">
        <f t="shared" si="45"/>
        <v>1.2844621186431971E-2</v>
      </c>
      <c r="G82" s="2"/>
      <c r="H82" s="6">
        <v>1000</v>
      </c>
      <c r="I82" s="2"/>
      <c r="J82" s="7">
        <f t="shared" si="46"/>
        <v>5.1569026302008339E-3</v>
      </c>
      <c r="K82" s="2"/>
      <c r="L82" s="6">
        <f t="shared" si="47"/>
        <v>1850</v>
      </c>
      <c r="M82" s="2"/>
      <c r="N82" s="7">
        <f t="shared" si="48"/>
        <v>1.85</v>
      </c>
      <c r="O82" s="11"/>
      <c r="P82" s="6">
        <v>11400</v>
      </c>
      <c r="Q82" s="2"/>
      <c r="R82" s="7">
        <f t="shared" si="49"/>
        <v>1.2285442294027449E-2</v>
      </c>
      <c r="S82" s="2"/>
      <c r="T82" s="6">
        <v>4000</v>
      </c>
      <c r="U82" s="2"/>
      <c r="V82" s="7">
        <f t="shared" si="50"/>
        <v>4.8437303601870565E-3</v>
      </c>
      <c r="W82" s="2"/>
      <c r="X82" s="6">
        <f t="shared" si="51"/>
        <v>7400</v>
      </c>
      <c r="Y82" s="2"/>
      <c r="Z82" s="7">
        <f t="shared" si="52"/>
        <v>1.85</v>
      </c>
    </row>
    <row r="83" spans="1:26" s="27" customFormat="1" outlineLevel="1" collapsed="1" x14ac:dyDescent="0.25">
      <c r="A83" s="25"/>
      <c r="B83" s="13" t="str">
        <f>CONCATENATE("     ","Repair and Maintenance                            ")</f>
        <v xml:space="preserve">     Repair and Maintenance                            </v>
      </c>
      <c r="C83" s="13"/>
      <c r="D83" s="1">
        <f>SUM(OSRRefD22_8x_0)</f>
        <v>0</v>
      </c>
      <c r="E83" s="1"/>
      <c r="F83" s="5">
        <f t="shared" si="45"/>
        <v>0</v>
      </c>
      <c r="G83" s="1"/>
      <c r="H83" s="1">
        <f>SUM(OSRRefH22_8x_0)</f>
        <v>22.09</v>
      </c>
      <c r="I83" s="1"/>
      <c r="J83" s="5">
        <f t="shared" si="46"/>
        <v>1.1391597910113641E-4</v>
      </c>
      <c r="K83" s="1"/>
      <c r="L83" s="1">
        <f t="shared" si="47"/>
        <v>-22.09</v>
      </c>
      <c r="M83" s="1"/>
      <c r="N83" s="5">
        <f t="shared" si="48"/>
        <v>-1</v>
      </c>
      <c r="O83" s="13"/>
      <c r="P83" s="1">
        <f>SUM(OSRRefP22_8x_0)</f>
        <v>0</v>
      </c>
      <c r="Q83" s="1"/>
      <c r="R83" s="5">
        <f t="shared" si="49"/>
        <v>0</v>
      </c>
      <c r="S83" s="1"/>
      <c r="T83" s="1">
        <f>SUM(OSRRefT22_8x_0)</f>
        <v>208.67000000000002</v>
      </c>
      <c r="U83" s="1"/>
      <c r="V83" s="5">
        <f t="shared" si="50"/>
        <v>2.5268530356505829E-4</v>
      </c>
      <c r="W83" s="1"/>
      <c r="X83" s="1">
        <f t="shared" si="51"/>
        <v>-208.67000000000002</v>
      </c>
      <c r="Y83" s="1"/>
      <c r="Z83" s="5">
        <f t="shared" si="52"/>
        <v>-1</v>
      </c>
    </row>
    <row r="84" spans="1:26" s="24" customFormat="1" hidden="1" outlineLevel="2" x14ac:dyDescent="0.25">
      <c r="A84" s="26"/>
      <c r="B84" s="11" t="str">
        <f>CONCATENATE("          ", "6371", " - ", "COMPUTER SOFTWARE MAINTENANCE")</f>
        <v xml:space="preserve">          6371 - COMPUTER SOFTWARE MAINTENANCE</v>
      </c>
      <c r="C84" s="11"/>
      <c r="D84" s="6"/>
      <c r="E84" s="2"/>
      <c r="F84" s="7">
        <f t="shared" si="45"/>
        <v>0</v>
      </c>
      <c r="G84" s="2"/>
      <c r="H84" s="6"/>
      <c r="I84" s="2"/>
      <c r="J84" s="7">
        <f t="shared" si="46"/>
        <v>0</v>
      </c>
      <c r="K84" s="2"/>
      <c r="L84" s="6">
        <f t="shared" si="47"/>
        <v>0</v>
      </c>
      <c r="M84" s="2"/>
      <c r="N84" s="7">
        <f t="shared" si="48"/>
        <v>0</v>
      </c>
      <c r="O84" s="11"/>
      <c r="P84" s="6"/>
      <c r="Q84" s="2"/>
      <c r="R84" s="7">
        <f t="shared" si="49"/>
        <v>0</v>
      </c>
      <c r="S84" s="2"/>
      <c r="T84" s="6">
        <v>186.58</v>
      </c>
      <c r="U84" s="2"/>
      <c r="V84" s="7">
        <f t="shared" si="50"/>
        <v>2.2593580265092524E-4</v>
      </c>
      <c r="W84" s="2"/>
      <c r="X84" s="6">
        <f t="shared" si="51"/>
        <v>-186.58</v>
      </c>
      <c r="Y84" s="2"/>
      <c r="Z84" s="7">
        <f t="shared" si="52"/>
        <v>-1</v>
      </c>
    </row>
    <row r="85" spans="1:26" s="24" customFormat="1" hidden="1" outlineLevel="2" x14ac:dyDescent="0.25">
      <c r="A85" s="26"/>
      <c r="B85" s="11" t="str">
        <f>CONCATENATE("          ", "6375", " - ", "OUTSIDE REPAIRS &amp; MAINTENANCE")</f>
        <v xml:space="preserve">          6375 - OUTSIDE REPAIRS &amp; MAINTENANCE</v>
      </c>
      <c r="C85" s="11"/>
      <c r="D85" s="6"/>
      <c r="E85" s="2"/>
      <c r="F85" s="7">
        <f t="shared" si="45"/>
        <v>0</v>
      </c>
      <c r="G85" s="2"/>
      <c r="H85" s="6">
        <v>22.09</v>
      </c>
      <c r="I85" s="2"/>
      <c r="J85" s="7">
        <f t="shared" si="46"/>
        <v>1.1391597910113641E-4</v>
      </c>
      <c r="K85" s="2"/>
      <c r="L85" s="6">
        <f t="shared" si="47"/>
        <v>-22.09</v>
      </c>
      <c r="M85" s="2"/>
      <c r="N85" s="7">
        <f t="shared" si="48"/>
        <v>-1</v>
      </c>
      <c r="O85" s="11"/>
      <c r="P85" s="6"/>
      <c r="Q85" s="2"/>
      <c r="R85" s="7">
        <f t="shared" si="49"/>
        <v>0</v>
      </c>
      <c r="S85" s="2"/>
      <c r="T85" s="6">
        <v>22.09</v>
      </c>
      <c r="U85" s="2"/>
      <c r="V85" s="7">
        <f t="shared" si="50"/>
        <v>2.6749500914133019E-5</v>
      </c>
      <c r="W85" s="2"/>
      <c r="X85" s="6">
        <f t="shared" si="51"/>
        <v>-22.09</v>
      </c>
      <c r="Y85" s="2"/>
      <c r="Z85" s="7">
        <f t="shared" si="52"/>
        <v>-1</v>
      </c>
    </row>
    <row r="86" spans="1:26" s="27" customFormat="1" outlineLevel="1" collapsed="1" x14ac:dyDescent="0.25">
      <c r="A86" s="25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SUM(OSRRefD22_9x_0)</f>
        <v>882.02</v>
      </c>
      <c r="E86" s="1"/>
      <c r="F86" s="5">
        <f t="shared" ref="F86:F88" si="53">IF(D$12=0,0,D86/D$12)</f>
        <v>3.9751623785462195E-3</v>
      </c>
      <c r="G86" s="1"/>
      <c r="H86" s="1">
        <f>SUM(OSRRefH22_9x_0)</f>
        <v>16936.920000000002</v>
      </c>
      <c r="I86" s="1"/>
      <c r="J86" s="5">
        <f t="shared" ref="J86:J88" si="54">IF(H$12=0,0,H86/H$12)</f>
        <v>8.7342047295501116E-2</v>
      </c>
      <c r="K86" s="1"/>
      <c r="L86" s="1">
        <f t="shared" ref="L86:L88" si="55">+D86-H86</f>
        <v>-16054.900000000001</v>
      </c>
      <c r="M86" s="1"/>
      <c r="N86" s="5">
        <f t="shared" ref="N86:N88" si="56">IF(H86=0,0,L86/H86)</f>
        <v>-0.94792323515727772</v>
      </c>
      <c r="O86" s="13"/>
      <c r="P86" s="1">
        <f>SUM(OSRRefP22_9x_0)</f>
        <v>5864.84</v>
      </c>
      <c r="Q86" s="1"/>
      <c r="R86" s="5">
        <f t="shared" ref="R86:R88" si="57">IF(P$12=0,0,P86/P$12)</f>
        <v>6.3203643319038544E-3</v>
      </c>
      <c r="S86" s="1"/>
      <c r="T86" s="1">
        <f>SUM(OSRRefT22_9x_0)</f>
        <v>24143.39</v>
      </c>
      <c r="U86" s="1"/>
      <c r="V86" s="5">
        <f t="shared" ref="V86:V88" si="58">IF(T$12=0,0,T86/T$12)</f>
        <v>2.9236017785209144E-2</v>
      </c>
      <c r="W86" s="1"/>
      <c r="X86" s="1">
        <f t="shared" ref="X86:X88" si="59">+P86-T86</f>
        <v>-18278.55</v>
      </c>
      <c r="Y86" s="1"/>
      <c r="Z86" s="5">
        <f t="shared" ref="Z86:Z88" si="60">IF(T86=0,0,X86/T86)</f>
        <v>-0.75708299455875916</v>
      </c>
    </row>
    <row r="87" spans="1:26" s="24" customFormat="1" hidden="1" outlineLevel="2" x14ac:dyDescent="0.25">
      <c r="A87" s="26"/>
      <c r="B87" s="11" t="str">
        <f>CONCATENATE("          ", "6253", " - ", "ROYALTY DUE ATHLETICS-LRG")</f>
        <v xml:space="preserve">          6253 - ROYALTY DUE ATHLETICS-LRG</v>
      </c>
      <c r="C87" s="11"/>
      <c r="D87" s="6"/>
      <c r="E87" s="2"/>
      <c r="F87" s="7">
        <f t="shared" si="53"/>
        <v>0</v>
      </c>
      <c r="G87" s="2"/>
      <c r="H87" s="6">
        <v>16349.030000000002</v>
      </c>
      <c r="I87" s="2"/>
      <c r="J87" s="7">
        <f t="shared" si="54"/>
        <v>8.4310355808232346E-2</v>
      </c>
      <c r="K87" s="2"/>
      <c r="L87" s="6">
        <f t="shared" si="55"/>
        <v>-16349.030000000002</v>
      </c>
      <c r="M87" s="2"/>
      <c r="N87" s="7">
        <f t="shared" si="56"/>
        <v>-1</v>
      </c>
      <c r="O87" s="11"/>
      <c r="P87" s="6">
        <v>4366.95</v>
      </c>
      <c r="Q87" s="2"/>
      <c r="R87" s="7">
        <f t="shared" si="57"/>
        <v>4.7061326513950143E-3</v>
      </c>
      <c r="S87" s="2"/>
      <c r="T87" s="6">
        <v>22994.42</v>
      </c>
      <c r="U87" s="2"/>
      <c r="V87" s="7">
        <f t="shared" si="58"/>
        <v>2.784469256722311E-2</v>
      </c>
      <c r="W87" s="2"/>
      <c r="X87" s="6">
        <f t="shared" si="59"/>
        <v>-18627.469999999998</v>
      </c>
      <c r="Y87" s="2"/>
      <c r="Z87" s="7">
        <f t="shared" si="60"/>
        <v>-0.81008653403738817</v>
      </c>
    </row>
    <row r="88" spans="1:26" s="24" customFormat="1" hidden="1" outlineLevel="2" x14ac:dyDescent="0.25">
      <c r="A88" s="26"/>
      <c r="B88" s="11" t="str">
        <f>CONCATENATE("          ", "6254", " - ", "ROYALTY &amp; COMMISSIONS")</f>
        <v xml:space="preserve">          6254 - ROYALTY &amp; COMMISSIONS</v>
      </c>
      <c r="C88" s="11"/>
      <c r="D88" s="6">
        <v>882.02</v>
      </c>
      <c r="E88" s="2"/>
      <c r="F88" s="7">
        <f t="shared" si="53"/>
        <v>3.9751623785462195E-3</v>
      </c>
      <c r="G88" s="2"/>
      <c r="H88" s="6">
        <v>587.89</v>
      </c>
      <c r="I88" s="2"/>
      <c r="J88" s="7">
        <f t="shared" si="54"/>
        <v>3.0316914872687679E-3</v>
      </c>
      <c r="K88" s="2"/>
      <c r="L88" s="6">
        <f t="shared" si="55"/>
        <v>294.13</v>
      </c>
      <c r="M88" s="2"/>
      <c r="N88" s="7">
        <f t="shared" si="56"/>
        <v>0.50031468471993057</v>
      </c>
      <c r="O88" s="11"/>
      <c r="P88" s="6">
        <v>1497.89</v>
      </c>
      <c r="Q88" s="2"/>
      <c r="R88" s="7">
        <f t="shared" si="57"/>
        <v>1.6142316805088401E-3</v>
      </c>
      <c r="S88" s="2"/>
      <c r="T88" s="6">
        <v>1148.97</v>
      </c>
      <c r="U88" s="2"/>
      <c r="V88" s="7">
        <f t="shared" si="58"/>
        <v>1.3913252179860306E-3</v>
      </c>
      <c r="W88" s="2"/>
      <c r="X88" s="6">
        <f t="shared" si="59"/>
        <v>348.92000000000007</v>
      </c>
      <c r="Y88" s="2"/>
      <c r="Z88" s="7">
        <f t="shared" si="60"/>
        <v>0.30368068792048536</v>
      </c>
    </row>
    <row r="89" spans="1:26" s="27" customFormat="1" outlineLevel="1" collapsed="1" x14ac:dyDescent="0.25">
      <c r="A89" s="25"/>
      <c r="B89" s="13" t="str">
        <f>CONCATENATE("     ","Subscriptions &amp; Dues                              ")</f>
        <v xml:space="preserve">     Subscriptions &amp; Dues                              </v>
      </c>
      <c r="C89" s="13"/>
      <c r="D89" s="1">
        <f>SUM(OSRRefD22_10x_0)</f>
        <v>0</v>
      </c>
      <c r="E89" s="1"/>
      <c r="F89" s="5">
        <f t="shared" ref="F89:F95" si="61">IF(D$12=0,0,D89/D$12)</f>
        <v>0</v>
      </c>
      <c r="G89" s="1"/>
      <c r="H89" s="1">
        <f>SUM(OSRRefH22_10x_0)</f>
        <v>0</v>
      </c>
      <c r="I89" s="1"/>
      <c r="J89" s="5">
        <f t="shared" ref="J89:J95" si="62">IF(H$12=0,0,H89/H$12)</f>
        <v>0</v>
      </c>
      <c r="K89" s="1"/>
      <c r="L89" s="1">
        <f t="shared" ref="L89:L95" si="63">+D89-H89</f>
        <v>0</v>
      </c>
      <c r="M89" s="1"/>
      <c r="N89" s="5">
        <f t="shared" ref="N89:N95" si="64">IF(H89=0,0,L89/H89)</f>
        <v>0</v>
      </c>
      <c r="O89" s="13"/>
      <c r="P89" s="1">
        <f>SUM(OSRRefP22_10x_0)</f>
        <v>296.64</v>
      </c>
      <c r="Q89" s="1"/>
      <c r="R89" s="5">
        <f t="shared" ref="R89:R95" si="65">IF(P$12=0,0,P89/P$12)</f>
        <v>3.1968014053511423E-4</v>
      </c>
      <c r="S89" s="1"/>
      <c r="T89" s="1">
        <f>SUM(OSRRefT22_10x_0)</f>
        <v>283.5</v>
      </c>
      <c r="U89" s="1"/>
      <c r="V89" s="5">
        <f t="shared" ref="V89:V95" si="66">IF(T$12=0,0,T89/T$12)</f>
        <v>3.4329938927825761E-4</v>
      </c>
      <c r="W89" s="1"/>
      <c r="X89" s="1">
        <f t="shared" ref="X89:X95" si="67">+P89-T89</f>
        <v>13.139999999999986</v>
      </c>
      <c r="Y89" s="1"/>
      <c r="Z89" s="5">
        <f t="shared" ref="Z89:Z95" si="68">IF(T89=0,0,X89/T89)</f>
        <v>4.63492063492063E-2</v>
      </c>
    </row>
    <row r="90" spans="1:26" s="24" customFormat="1" hidden="1" outlineLevel="2" x14ac:dyDescent="0.25">
      <c r="A90" s="26"/>
      <c r="B90" s="11" t="str">
        <f>CONCATENATE("          ", "6275", " - ", "SUBSCRIPTIONS")</f>
        <v xml:space="preserve">          6275 - SUBSCRIPTIONS</v>
      </c>
      <c r="C90" s="11"/>
      <c r="D90" s="6"/>
      <c r="E90" s="2"/>
      <c r="F90" s="7">
        <f t="shared" si="61"/>
        <v>0</v>
      </c>
      <c r="G90" s="2"/>
      <c r="H90" s="6"/>
      <c r="I90" s="2"/>
      <c r="J90" s="7">
        <f t="shared" si="62"/>
        <v>0</v>
      </c>
      <c r="K90" s="2"/>
      <c r="L90" s="6">
        <f t="shared" si="63"/>
        <v>0</v>
      </c>
      <c r="M90" s="2"/>
      <c r="N90" s="7">
        <f t="shared" si="64"/>
        <v>0</v>
      </c>
      <c r="O90" s="11"/>
      <c r="P90" s="6">
        <v>296.64</v>
      </c>
      <c r="Q90" s="2"/>
      <c r="R90" s="7">
        <f t="shared" si="65"/>
        <v>3.1968014053511423E-4</v>
      </c>
      <c r="S90" s="2"/>
      <c r="T90" s="6">
        <v>283.5</v>
      </c>
      <c r="U90" s="2"/>
      <c r="V90" s="7">
        <f t="shared" si="66"/>
        <v>3.4329938927825761E-4</v>
      </c>
      <c r="W90" s="2"/>
      <c r="X90" s="6">
        <f t="shared" si="67"/>
        <v>13.139999999999986</v>
      </c>
      <c r="Y90" s="2"/>
      <c r="Z90" s="7">
        <f t="shared" si="68"/>
        <v>4.63492063492063E-2</v>
      </c>
    </row>
    <row r="91" spans="1:26" s="27" customFormat="1" outlineLevel="1" collapsed="1" x14ac:dyDescent="0.25">
      <c r="A91" s="25"/>
      <c r="B91" s="13" t="str">
        <f>CONCATENATE("     ","Supplies                                          ")</f>
        <v xml:space="preserve">     Supplies                                          </v>
      </c>
      <c r="C91" s="13"/>
      <c r="D91" s="1">
        <f>SUM(OSRRefD22_11x_0)</f>
        <v>500.04999999999995</v>
      </c>
      <c r="E91" s="1"/>
      <c r="F91" s="5">
        <f t="shared" si="61"/>
        <v>2.2536676576404586E-3</v>
      </c>
      <c r="G91" s="1"/>
      <c r="H91" s="1">
        <f>SUM(OSRRefH22_11x_0)</f>
        <v>203.43</v>
      </c>
      <c r="I91" s="1"/>
      <c r="J91" s="5">
        <f t="shared" si="62"/>
        <v>1.0490687020617555E-3</v>
      </c>
      <c r="K91" s="1"/>
      <c r="L91" s="1">
        <f t="shared" si="63"/>
        <v>296.61999999999995</v>
      </c>
      <c r="M91" s="1"/>
      <c r="N91" s="5">
        <f t="shared" si="64"/>
        <v>1.4580936931622668</v>
      </c>
      <c r="O91" s="13"/>
      <c r="P91" s="1">
        <f>SUM(OSRRefP22_11x_0)</f>
        <v>1933.3</v>
      </c>
      <c r="Q91" s="1"/>
      <c r="R91" s="5">
        <f t="shared" si="65"/>
        <v>2.0834601392143216E-3</v>
      </c>
      <c r="S91" s="1"/>
      <c r="T91" s="1">
        <f>SUM(OSRRefT22_11x_0)</f>
        <v>924.25000000000011</v>
      </c>
      <c r="U91" s="1"/>
      <c r="V91" s="5">
        <f t="shared" si="66"/>
        <v>1.1192044463507217E-3</v>
      </c>
      <c r="W91" s="1"/>
      <c r="X91" s="1">
        <f t="shared" si="67"/>
        <v>1009.0499999999998</v>
      </c>
      <c r="Y91" s="1"/>
      <c r="Z91" s="5">
        <f t="shared" si="68"/>
        <v>1.0917500676223961</v>
      </c>
    </row>
    <row r="92" spans="1:26" s="24" customFormat="1" hidden="1" outlineLevel="2" x14ac:dyDescent="0.25">
      <c r="A92" s="26"/>
      <c r="B92" s="11" t="str">
        <f>CONCATENATE("          ", "6234", " - ", "EXPENDABLE SUPPLIES &amp; EQUIPMEN")</f>
        <v xml:space="preserve">          6234 - EXPENDABLE SUPPLIES &amp; EQUIPMEN</v>
      </c>
      <c r="C92" s="11"/>
      <c r="D92" s="6"/>
      <c r="E92" s="2"/>
      <c r="F92" s="7">
        <f t="shared" si="61"/>
        <v>0</v>
      </c>
      <c r="G92" s="2"/>
      <c r="H92" s="6">
        <v>150</v>
      </c>
      <c r="I92" s="2"/>
      <c r="J92" s="7">
        <f t="shared" si="62"/>
        <v>7.7353539453012504E-4</v>
      </c>
      <c r="K92" s="2"/>
      <c r="L92" s="6">
        <f t="shared" si="63"/>
        <v>-150</v>
      </c>
      <c r="M92" s="2"/>
      <c r="N92" s="7">
        <f t="shared" si="64"/>
        <v>-1</v>
      </c>
      <c r="O92" s="11"/>
      <c r="P92" s="6">
        <v>-15.95</v>
      </c>
      <c r="Q92" s="2"/>
      <c r="R92" s="7">
        <f t="shared" si="65"/>
        <v>-1.7188842507871738E-5</v>
      </c>
      <c r="S92" s="2"/>
      <c r="T92" s="6">
        <v>150</v>
      </c>
      <c r="U92" s="2"/>
      <c r="V92" s="7">
        <f t="shared" si="66"/>
        <v>1.8163988850701461E-4</v>
      </c>
      <c r="W92" s="2"/>
      <c r="X92" s="6">
        <f t="shared" si="67"/>
        <v>-165.95</v>
      </c>
      <c r="Y92" s="2"/>
      <c r="Z92" s="7">
        <f t="shared" si="68"/>
        <v>-1.1063333333333332</v>
      </c>
    </row>
    <row r="93" spans="1:26" s="24" customFormat="1" hidden="1" outlineLevel="2" x14ac:dyDescent="0.25">
      <c r="A93" s="26"/>
      <c r="B93" s="11" t="str">
        <f>CONCATENATE("          ", "6241", " - ", "OFFICE EXPENSE")</f>
        <v xml:space="preserve">          6241 - OFFICE EXPENSE</v>
      </c>
      <c r="C93" s="11"/>
      <c r="D93" s="6">
        <v>386.89</v>
      </c>
      <c r="E93" s="2"/>
      <c r="F93" s="7">
        <f t="shared" si="61"/>
        <v>1.7436685932697071E-3</v>
      </c>
      <c r="G93" s="2"/>
      <c r="H93" s="6">
        <v>36.19</v>
      </c>
      <c r="I93" s="2"/>
      <c r="J93" s="7">
        <f t="shared" si="62"/>
        <v>1.8662830618696816E-4</v>
      </c>
      <c r="K93" s="2"/>
      <c r="L93" s="6">
        <f t="shared" si="63"/>
        <v>350.7</v>
      </c>
      <c r="M93" s="2"/>
      <c r="N93" s="7">
        <f t="shared" si="64"/>
        <v>9.6905222437137333</v>
      </c>
      <c r="O93" s="11"/>
      <c r="P93" s="6">
        <v>1656.46</v>
      </c>
      <c r="Q93" s="2"/>
      <c r="R93" s="7">
        <f t="shared" si="65"/>
        <v>1.7851178721372551E-3</v>
      </c>
      <c r="S93" s="2"/>
      <c r="T93" s="6">
        <v>315.91000000000003</v>
      </c>
      <c r="U93" s="2"/>
      <c r="V93" s="7">
        <f t="shared" si="66"/>
        <v>3.8254571452167325E-4</v>
      </c>
      <c r="W93" s="2"/>
      <c r="X93" s="6">
        <f t="shared" si="67"/>
        <v>1340.55</v>
      </c>
      <c r="Y93" s="2"/>
      <c r="Z93" s="7">
        <f t="shared" si="68"/>
        <v>4.2434554145167924</v>
      </c>
    </row>
    <row r="94" spans="1:26" s="24" customFormat="1" hidden="1" outlineLevel="2" x14ac:dyDescent="0.25">
      <c r="A94" s="26"/>
      <c r="B94" s="11" t="str">
        <f>CONCATENATE("          ", "6245", " - ", "PRINTING")</f>
        <v xml:space="preserve">          6245 - PRINTING</v>
      </c>
      <c r="C94" s="11"/>
      <c r="D94" s="6"/>
      <c r="E94" s="2"/>
      <c r="F94" s="7">
        <f t="shared" si="61"/>
        <v>0</v>
      </c>
      <c r="G94" s="2"/>
      <c r="H94" s="6"/>
      <c r="I94" s="2"/>
      <c r="J94" s="7">
        <f t="shared" si="62"/>
        <v>0</v>
      </c>
      <c r="K94" s="2"/>
      <c r="L94" s="6">
        <f t="shared" si="63"/>
        <v>0</v>
      </c>
      <c r="M94" s="2"/>
      <c r="N94" s="7">
        <f t="shared" si="64"/>
        <v>0</v>
      </c>
      <c r="O94" s="11"/>
      <c r="P94" s="6"/>
      <c r="Q94" s="2"/>
      <c r="R94" s="7">
        <f t="shared" si="65"/>
        <v>0</v>
      </c>
      <c r="S94" s="2"/>
      <c r="T94" s="6">
        <v>220.5</v>
      </c>
      <c r="U94" s="2"/>
      <c r="V94" s="7">
        <f t="shared" si="66"/>
        <v>2.6701063610531147E-4</v>
      </c>
      <c r="W94" s="2"/>
      <c r="X94" s="6">
        <f t="shared" si="67"/>
        <v>-220.5</v>
      </c>
      <c r="Y94" s="2"/>
      <c r="Z94" s="7">
        <f t="shared" si="68"/>
        <v>-1</v>
      </c>
    </row>
    <row r="95" spans="1:26" s="24" customFormat="1" hidden="1" outlineLevel="2" x14ac:dyDescent="0.25">
      <c r="A95" s="26"/>
      <c r="B95" s="11" t="str">
        <f>CONCATENATE("          ", "6247", " - ", "STORE SUPPLIES")</f>
        <v xml:space="preserve">          6247 - STORE SUPPLIES</v>
      </c>
      <c r="C95" s="11"/>
      <c r="D95" s="6">
        <v>113.16</v>
      </c>
      <c r="E95" s="2"/>
      <c r="F95" s="7">
        <f t="shared" si="61"/>
        <v>5.0999906437075148E-4</v>
      </c>
      <c r="G95" s="2"/>
      <c r="H95" s="6">
        <v>17.239999999999998</v>
      </c>
      <c r="I95" s="2"/>
      <c r="J95" s="7">
        <f t="shared" si="62"/>
        <v>8.8905001344662368E-5</v>
      </c>
      <c r="K95" s="2"/>
      <c r="L95" s="6">
        <f t="shared" si="63"/>
        <v>95.92</v>
      </c>
      <c r="M95" s="2"/>
      <c r="N95" s="7">
        <f t="shared" si="64"/>
        <v>5.5638051044083534</v>
      </c>
      <c r="O95" s="11"/>
      <c r="P95" s="6">
        <v>292.79000000000002</v>
      </c>
      <c r="Q95" s="2"/>
      <c r="R95" s="7">
        <f t="shared" si="65"/>
        <v>3.1553110958493832E-4</v>
      </c>
      <c r="S95" s="2"/>
      <c r="T95" s="6">
        <v>237.84</v>
      </c>
      <c r="U95" s="2"/>
      <c r="V95" s="7">
        <f t="shared" si="66"/>
        <v>2.8800820721672238E-4</v>
      </c>
      <c r="W95" s="2"/>
      <c r="X95" s="6">
        <f t="shared" si="67"/>
        <v>54.950000000000017</v>
      </c>
      <c r="Y95" s="2"/>
      <c r="Z95" s="7">
        <f t="shared" si="68"/>
        <v>0.23103767238479658</v>
      </c>
    </row>
    <row r="96" spans="1:26" s="27" customFormat="1" outlineLevel="1" collapsed="1" x14ac:dyDescent="0.25">
      <c r="A96" s="25"/>
      <c r="B96" s="13" t="str">
        <f>CONCATENATE("     ","Telephone/Data Lines                              ")</f>
        <v xml:space="preserve">     Telephone/Data Lines                              </v>
      </c>
      <c r="C96" s="13"/>
      <c r="D96" s="1">
        <f>SUM(OSRRefD22_12x_0)</f>
        <v>555.4</v>
      </c>
      <c r="E96" s="1"/>
      <c r="F96" s="5">
        <f t="shared" ref="F96:F102" si="69">IF(D$12=0,0,D96/D$12)</f>
        <v>2.503123721734848E-3</v>
      </c>
      <c r="G96" s="1"/>
      <c r="H96" s="1">
        <f>SUM(OSRRefH22_12x_0)</f>
        <v>611.41</v>
      </c>
      <c r="I96" s="1"/>
      <c r="J96" s="5">
        <f t="shared" ref="J96:J102" si="70">IF(H$12=0,0,H96/H$12)</f>
        <v>3.1529818371310915E-3</v>
      </c>
      <c r="K96" s="1"/>
      <c r="L96" s="1">
        <f t="shared" ref="L96:L102" si="71">+D96-H96</f>
        <v>-56.009999999999991</v>
      </c>
      <c r="M96" s="1"/>
      <c r="N96" s="5">
        <f t="shared" ref="N96:N102" si="72">IF(H96=0,0,L96/H96)</f>
        <v>-9.1607922670548389E-2</v>
      </c>
      <c r="O96" s="13"/>
      <c r="P96" s="1">
        <f>SUM(OSRRefP22_12x_0)</f>
        <v>2603.92</v>
      </c>
      <c r="Q96" s="1"/>
      <c r="R96" s="5">
        <f t="shared" ref="R96:R102" si="73">IF(P$12=0,0,P96/P$12)</f>
        <v>2.8061674472161366E-3</v>
      </c>
      <c r="S96" s="1"/>
      <c r="T96" s="1">
        <f>SUM(OSRRefT22_12x_0)</f>
        <v>2213.2199999999998</v>
      </c>
      <c r="U96" s="1"/>
      <c r="V96" s="5">
        <f t="shared" ref="V96:V102" si="74">IF(T$12=0,0,T96/T$12)</f>
        <v>2.680060226943299E-3</v>
      </c>
      <c r="W96" s="1"/>
      <c r="X96" s="1">
        <f t="shared" ref="X96:X102" si="75">+P96-T96</f>
        <v>390.70000000000027</v>
      </c>
      <c r="Y96" s="1"/>
      <c r="Z96" s="5">
        <f t="shared" ref="Z96:Z102" si="76">IF(T96=0,0,X96/T96)</f>
        <v>0.17653012353042188</v>
      </c>
    </row>
    <row r="97" spans="1:26" s="24" customFormat="1" hidden="1" outlineLevel="2" x14ac:dyDescent="0.25">
      <c r="A97" s="26"/>
      <c r="B97" s="11" t="str">
        <f>CONCATENATE("          ", "6309", " - ", "TELEPHONE")</f>
        <v xml:space="preserve">          6309 - TELEPHONE</v>
      </c>
      <c r="C97" s="11"/>
      <c r="D97" s="6">
        <v>555.4</v>
      </c>
      <c r="E97" s="2"/>
      <c r="F97" s="7">
        <f t="shared" si="69"/>
        <v>2.503123721734848E-3</v>
      </c>
      <c r="G97" s="2"/>
      <c r="H97" s="6">
        <v>611.41</v>
      </c>
      <c r="I97" s="2"/>
      <c r="J97" s="7">
        <f t="shared" si="70"/>
        <v>3.1529818371310915E-3</v>
      </c>
      <c r="K97" s="2"/>
      <c r="L97" s="6">
        <f t="shared" si="71"/>
        <v>-56.009999999999991</v>
      </c>
      <c r="M97" s="2"/>
      <c r="N97" s="7">
        <f t="shared" si="72"/>
        <v>-9.1607922670548389E-2</v>
      </c>
      <c r="O97" s="11"/>
      <c r="P97" s="6">
        <v>2603.92</v>
      </c>
      <c r="Q97" s="2"/>
      <c r="R97" s="7">
        <f t="shared" si="73"/>
        <v>2.8061674472161366E-3</v>
      </c>
      <c r="S97" s="2"/>
      <c r="T97" s="6">
        <v>2213.2199999999998</v>
      </c>
      <c r="U97" s="2"/>
      <c r="V97" s="7">
        <f t="shared" si="74"/>
        <v>2.680060226943299E-3</v>
      </c>
      <c r="W97" s="2"/>
      <c r="X97" s="6">
        <f t="shared" si="75"/>
        <v>390.70000000000027</v>
      </c>
      <c r="Y97" s="2"/>
      <c r="Z97" s="7">
        <f t="shared" si="76"/>
        <v>0.17653012353042188</v>
      </c>
    </row>
    <row r="98" spans="1:26" s="27" customFormat="1" outlineLevel="1" collapsed="1" x14ac:dyDescent="0.25">
      <c r="A98" s="25"/>
      <c r="B98" s="13" t="str">
        <f>CONCATENATE("     ","Training                                          ")</f>
        <v xml:space="preserve">     Training                                          </v>
      </c>
      <c r="C98" s="13"/>
      <c r="D98" s="1">
        <f>SUM(OSRRefD22_13x_0)</f>
        <v>1042.56</v>
      </c>
      <c r="E98" s="1"/>
      <c r="F98" s="5">
        <f t="shared" si="69"/>
        <v>4.6986976365356193E-3</v>
      </c>
      <c r="G98" s="1"/>
      <c r="H98" s="1">
        <f>SUM(OSRRefH22_13x_0)</f>
        <v>657.6</v>
      </c>
      <c r="I98" s="1"/>
      <c r="J98" s="5">
        <f t="shared" si="70"/>
        <v>3.3911791696200682E-3</v>
      </c>
      <c r="K98" s="1"/>
      <c r="L98" s="1">
        <f t="shared" si="71"/>
        <v>384.95999999999992</v>
      </c>
      <c r="M98" s="1"/>
      <c r="N98" s="5">
        <f t="shared" si="72"/>
        <v>0.58540145985401448</v>
      </c>
      <c r="O98" s="13"/>
      <c r="P98" s="1">
        <f>SUM(OSRRefP22_13x_0)</f>
        <v>1146.06</v>
      </c>
      <c r="Q98" s="1"/>
      <c r="R98" s="5">
        <f t="shared" si="73"/>
        <v>1.2350749118853594E-3</v>
      </c>
      <c r="S98" s="1"/>
      <c r="T98" s="1">
        <f>SUM(OSRRefT22_13x_0)</f>
        <v>741</v>
      </c>
      <c r="U98" s="1"/>
      <c r="V98" s="5">
        <f t="shared" si="74"/>
        <v>8.9730104922465222E-4</v>
      </c>
      <c r="W98" s="1"/>
      <c r="X98" s="1">
        <f t="shared" si="75"/>
        <v>405.05999999999995</v>
      </c>
      <c r="Y98" s="1"/>
      <c r="Z98" s="5">
        <f t="shared" si="76"/>
        <v>0.54663967611336028</v>
      </c>
    </row>
    <row r="99" spans="1:26" s="24" customFormat="1" hidden="1" outlineLevel="2" x14ac:dyDescent="0.25">
      <c r="A99" s="26"/>
      <c r="B99" s="11" t="str">
        <f>CONCATENATE("          ", "6376", " - ", "TRAINING")</f>
        <v xml:space="preserve">          6376 - TRAINING</v>
      </c>
      <c r="C99" s="11"/>
      <c r="D99" s="6">
        <v>1042.56</v>
      </c>
      <c r="E99" s="2"/>
      <c r="F99" s="7">
        <f t="shared" si="69"/>
        <v>4.6986976365356193E-3</v>
      </c>
      <c r="G99" s="2"/>
      <c r="H99" s="6">
        <v>657.6</v>
      </c>
      <c r="I99" s="2"/>
      <c r="J99" s="7">
        <f t="shared" si="70"/>
        <v>3.3911791696200682E-3</v>
      </c>
      <c r="K99" s="2"/>
      <c r="L99" s="6">
        <f t="shared" si="71"/>
        <v>384.95999999999992</v>
      </c>
      <c r="M99" s="2"/>
      <c r="N99" s="7">
        <f t="shared" si="72"/>
        <v>0.58540145985401448</v>
      </c>
      <c r="O99" s="11"/>
      <c r="P99" s="6">
        <v>1146.06</v>
      </c>
      <c r="Q99" s="2"/>
      <c r="R99" s="7">
        <f t="shared" si="73"/>
        <v>1.2350749118853594E-3</v>
      </c>
      <c r="S99" s="2"/>
      <c r="T99" s="6">
        <v>741</v>
      </c>
      <c r="U99" s="2"/>
      <c r="V99" s="7">
        <f t="shared" si="74"/>
        <v>8.9730104922465222E-4</v>
      </c>
      <c r="W99" s="2"/>
      <c r="X99" s="6">
        <f t="shared" si="75"/>
        <v>405.05999999999995</v>
      </c>
      <c r="Y99" s="2"/>
      <c r="Z99" s="7">
        <f t="shared" si="76"/>
        <v>0.54663967611336028</v>
      </c>
    </row>
    <row r="100" spans="1:26" s="27" customFormat="1" outlineLevel="1" collapsed="1" x14ac:dyDescent="0.25">
      <c r="A100" s="25"/>
      <c r="B100" s="13" t="str">
        <f>CONCATENATE("     ","Travel                                            ")</f>
        <v xml:space="preserve">     Travel                                            </v>
      </c>
      <c r="C100" s="13"/>
      <c r="D100" s="1">
        <f>SUM(OSRRefD22_14x_0)</f>
        <v>107.04</v>
      </c>
      <c r="E100" s="1"/>
      <c r="F100" s="5">
        <f t="shared" si="69"/>
        <v>4.8241693045462394E-4</v>
      </c>
      <c r="G100" s="1"/>
      <c r="H100" s="1">
        <f>SUM(OSRRefH22_14x_0)</f>
        <v>0</v>
      </c>
      <c r="I100" s="1"/>
      <c r="J100" s="5">
        <f t="shared" si="70"/>
        <v>0</v>
      </c>
      <c r="K100" s="1"/>
      <c r="L100" s="1">
        <f t="shared" si="71"/>
        <v>107.04</v>
      </c>
      <c r="M100" s="1"/>
      <c r="N100" s="5">
        <f t="shared" si="72"/>
        <v>0</v>
      </c>
      <c r="O100" s="13"/>
      <c r="P100" s="1">
        <f>SUM(OSRRefP22_14x_0)</f>
        <v>107.04</v>
      </c>
      <c r="Q100" s="1"/>
      <c r="R100" s="5">
        <f t="shared" si="73"/>
        <v>1.1535383711865774E-4</v>
      </c>
      <c r="S100" s="1"/>
      <c r="T100" s="1">
        <f>SUM(OSRRefT22_14x_0)</f>
        <v>39.35</v>
      </c>
      <c r="U100" s="1"/>
      <c r="V100" s="5">
        <f t="shared" si="74"/>
        <v>4.7650197418340166E-5</v>
      </c>
      <c r="W100" s="1"/>
      <c r="X100" s="1">
        <f t="shared" si="75"/>
        <v>67.69</v>
      </c>
      <c r="Y100" s="1"/>
      <c r="Z100" s="5">
        <f t="shared" si="76"/>
        <v>1.7202033036848792</v>
      </c>
    </row>
    <row r="101" spans="1:26" s="24" customFormat="1" hidden="1" outlineLevel="2" x14ac:dyDescent="0.25">
      <c r="A101" s="26"/>
      <c r="B101" s="11" t="str">
        <f>CONCATENATE("          ", "6292", " - ", "TRAVEL/CONFERENCE")</f>
        <v xml:space="preserve">          6292 - TRAVEL/CONFERENCE</v>
      </c>
      <c r="C101" s="11"/>
      <c r="D101" s="6">
        <v>107.04</v>
      </c>
      <c r="E101" s="2"/>
      <c r="F101" s="7">
        <f t="shared" si="69"/>
        <v>4.8241693045462394E-4</v>
      </c>
      <c r="G101" s="2"/>
      <c r="H101" s="6"/>
      <c r="I101" s="2"/>
      <c r="J101" s="7">
        <f t="shared" si="70"/>
        <v>0</v>
      </c>
      <c r="K101" s="2"/>
      <c r="L101" s="6">
        <f t="shared" si="71"/>
        <v>107.04</v>
      </c>
      <c r="M101" s="2"/>
      <c r="N101" s="7">
        <f t="shared" si="72"/>
        <v>0</v>
      </c>
      <c r="O101" s="11"/>
      <c r="P101" s="6">
        <v>107.04</v>
      </c>
      <c r="Q101" s="2"/>
      <c r="R101" s="7">
        <f t="shared" si="73"/>
        <v>1.1535383711865774E-4</v>
      </c>
      <c r="S101" s="2"/>
      <c r="T101" s="6"/>
      <c r="U101" s="2"/>
      <c r="V101" s="7">
        <f t="shared" si="74"/>
        <v>0</v>
      </c>
      <c r="W101" s="2"/>
      <c r="X101" s="6">
        <f t="shared" si="75"/>
        <v>107.04</v>
      </c>
      <c r="Y101" s="2"/>
      <c r="Z101" s="7">
        <f t="shared" si="76"/>
        <v>0</v>
      </c>
    </row>
    <row r="102" spans="1:26" s="24" customFormat="1" hidden="1" outlineLevel="2" x14ac:dyDescent="0.25">
      <c r="A102" s="26"/>
      <c r="B102" s="11" t="str">
        <f>CONCATENATE("          ", "6294", " - ", "TRAVEL OPERATIONAL")</f>
        <v xml:space="preserve">          6294 - TRAVEL OPERATIONAL</v>
      </c>
      <c r="C102" s="11"/>
      <c r="D102" s="6"/>
      <c r="E102" s="2"/>
      <c r="F102" s="7">
        <f t="shared" si="69"/>
        <v>0</v>
      </c>
      <c r="G102" s="2"/>
      <c r="H102" s="6"/>
      <c r="I102" s="2"/>
      <c r="J102" s="7">
        <f t="shared" si="70"/>
        <v>0</v>
      </c>
      <c r="K102" s="2"/>
      <c r="L102" s="6">
        <f t="shared" si="71"/>
        <v>0</v>
      </c>
      <c r="M102" s="2"/>
      <c r="N102" s="7">
        <f t="shared" si="72"/>
        <v>0</v>
      </c>
      <c r="O102" s="11"/>
      <c r="P102" s="6"/>
      <c r="Q102" s="2"/>
      <c r="R102" s="7">
        <f t="shared" si="73"/>
        <v>0</v>
      </c>
      <c r="S102" s="2"/>
      <c r="T102" s="6">
        <v>39.35</v>
      </c>
      <c r="U102" s="2"/>
      <c r="V102" s="7">
        <f t="shared" si="74"/>
        <v>4.7650197418340166E-5</v>
      </c>
      <c r="W102" s="2"/>
      <c r="X102" s="6">
        <f t="shared" si="75"/>
        <v>-39.35</v>
      </c>
      <c r="Y102" s="2"/>
      <c r="Z102" s="7">
        <f t="shared" si="76"/>
        <v>-1</v>
      </c>
    </row>
    <row r="103" spans="1:26" s="55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9" t="s">
        <v>0</v>
      </c>
      <c r="C104" s="10"/>
      <c r="D104" s="4">
        <f>SUM(OSRRefD25x_0)</f>
        <v>0</v>
      </c>
      <c r="E104" s="4"/>
      <c r="F104" s="12">
        <f t="shared" ref="F104:F105" si="77">IF(D$12=0,0,D104/D$12)</f>
        <v>0</v>
      </c>
      <c r="G104" s="4"/>
      <c r="H104" s="4">
        <f>SUM(OSRRefH25x_0)</f>
        <v>11898.07</v>
      </c>
      <c r="I104" s="4"/>
      <c r="J104" s="12">
        <f t="shared" ref="J104:J105" si="78">IF(H$12=0,0,H104/H$12)</f>
        <v>6.1357188477313633E-2</v>
      </c>
      <c r="K104" s="4"/>
      <c r="L104" s="4">
        <f t="shared" ref="L104:L105" si="79">+D104-H104</f>
        <v>-11898.07</v>
      </c>
      <c r="M104" s="4"/>
      <c r="N104" s="12">
        <f t="shared" ref="N104:N105" si="80">IF(H104=0,0,L104/H104)</f>
        <v>-1</v>
      </c>
      <c r="O104" s="10"/>
      <c r="P104" s="4">
        <f>SUM(OSRRefP25x_0)</f>
        <v>14396.98</v>
      </c>
      <c r="Q104" s="4"/>
      <c r="R104" s="12">
        <f t="shared" ref="R104:R105" si="81">IF(P$12=0,0,P104/P$12)</f>
        <v>1.5515198859497131E-2</v>
      </c>
      <c r="S104" s="4"/>
      <c r="T104" s="4">
        <f>SUM(OSRRefT25x_0)</f>
        <v>45451.3</v>
      </c>
      <c r="U104" s="4"/>
      <c r="V104" s="12">
        <f t="shared" ref="V104:V105" si="82">IF(T$12=0,0,T104/T$12)</f>
        <v>5.503846042999249E-2</v>
      </c>
      <c r="W104" s="4"/>
      <c r="X104" s="4">
        <f t="shared" ref="X104:X105" si="83">+P104-T104</f>
        <v>-31054.320000000003</v>
      </c>
      <c r="Y104" s="4"/>
      <c r="Z104" s="12">
        <f t="shared" ref="Z104:Z105" si="84">IF(T104=0,0,X104/T104)</f>
        <v>-0.68324382360900571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0</f>
        <v>0</v>
      </c>
      <c r="E105" s="2"/>
      <c r="F105" s="19">
        <f t="shared" si="77"/>
        <v>0</v>
      </c>
      <c r="G105" s="2"/>
      <c r="H105" s="2">
        <f>--11898.07</f>
        <v>11898.07</v>
      </c>
      <c r="I105" s="2"/>
      <c r="J105" s="19">
        <f t="shared" si="78"/>
        <v>6.1357188477313633E-2</v>
      </c>
      <c r="K105" s="2"/>
      <c r="L105" s="2">
        <f t="shared" si="79"/>
        <v>-11898.07</v>
      </c>
      <c r="M105" s="2"/>
      <c r="N105" s="19">
        <f t="shared" si="80"/>
        <v>-1</v>
      </c>
      <c r="O105" s="11"/>
      <c r="P105" s="2">
        <f>--14396.98</f>
        <v>14396.98</v>
      </c>
      <c r="Q105" s="2"/>
      <c r="R105" s="19">
        <f t="shared" si="81"/>
        <v>1.5515198859497131E-2</v>
      </c>
      <c r="S105" s="2"/>
      <c r="T105" s="2">
        <f>--45451.3</f>
        <v>45451.3</v>
      </c>
      <c r="U105" s="2"/>
      <c r="V105" s="19">
        <f t="shared" si="82"/>
        <v>5.503846042999249E-2</v>
      </c>
      <c r="W105" s="2"/>
      <c r="X105" s="2">
        <f t="shared" si="83"/>
        <v>-31054.320000000003</v>
      </c>
      <c r="Y105" s="2"/>
      <c r="Z105" s="19">
        <f t="shared" si="84"/>
        <v>-0.68324382360900571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8" t="s">
        <v>3</v>
      </c>
      <c r="C107" s="28"/>
      <c r="D107" s="21">
        <f>+D51-D53+D104</f>
        <v>41821.009999999966</v>
      </c>
      <c r="E107" s="14"/>
      <c r="F107" s="22">
        <f>IF(D$12=0,0,D107/D$12)</f>
        <v>0.18848246704701155</v>
      </c>
      <c r="G107" s="14"/>
      <c r="H107" s="21">
        <f>+H51-H53+H104</f>
        <v>51593.279999999919</v>
      </c>
      <c r="I107" s="14"/>
      <c r="J107" s="22">
        <f>IF(H$12=0,0,H107/H$12)</f>
        <v>0.26606152133268762</v>
      </c>
      <c r="K107" s="16"/>
      <c r="L107" s="21">
        <f>+D107-H107</f>
        <v>-9772.2699999999531</v>
      </c>
      <c r="M107" s="16"/>
      <c r="N107" s="22">
        <f>IF(H107=0,0,L107/H107)</f>
        <v>-0.18940974483498565</v>
      </c>
      <c r="O107" s="29"/>
      <c r="P107" s="21">
        <f>+P51-P53+P104</f>
        <v>281179.42999999982</v>
      </c>
      <c r="Q107" s="14"/>
      <c r="R107" s="22">
        <f>IF(P$12=0,0,P107/P$12)</f>
        <v>0.30301874223969544</v>
      </c>
      <c r="S107" s="14"/>
      <c r="T107" s="21">
        <f>+T51-T53+T104</f>
        <v>292729.2199999998</v>
      </c>
      <c r="U107" s="14"/>
      <c r="V107" s="22">
        <f>IF(T$12=0,0,T107/T$12)</f>
        <v>0.35447535255696877</v>
      </c>
      <c r="W107" s="16"/>
      <c r="X107" s="21">
        <f>+P107-T107</f>
        <v>-11549.789999999979</v>
      </c>
      <c r="Y107" s="16"/>
      <c r="Z107" s="22">
        <f>IF(T107=0,0,X107/T107)</f>
        <v>-3.9455541882699605E-2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13</v>
      </c>
      <c r="C109" s="10"/>
      <c r="D109" s="4">
        <v>17568.990000000002</v>
      </c>
      <c r="E109" s="4"/>
      <c r="F109" s="12">
        <f>IF(D$12=0,0,D109/D$12)</f>
        <v>7.9181410939723321E-2</v>
      </c>
      <c r="G109" s="4"/>
      <c r="H109" s="4">
        <v>19700.16</v>
      </c>
      <c r="I109" s="4"/>
      <c r="J109" s="12">
        <f>IF(H$12=0,0,H109/H$12)</f>
        <v>0.10159180691937725</v>
      </c>
      <c r="K109" s="4"/>
      <c r="L109" s="4">
        <f>+D109-H109</f>
        <v>-2131.1699999999983</v>
      </c>
      <c r="M109" s="4"/>
      <c r="N109" s="12">
        <f>IF(H109=0,0,L109/H109)</f>
        <v>-0.10818033965206365</v>
      </c>
      <c r="O109" s="10"/>
      <c r="P109" s="4">
        <v>93407.549999999988</v>
      </c>
      <c r="Q109" s="4"/>
      <c r="R109" s="12">
        <f>IF(P$12=0,0,P109/P$12)</f>
        <v>0.10066254959223539</v>
      </c>
      <c r="S109" s="4"/>
      <c r="T109" s="4">
        <v>75842.200000000012</v>
      </c>
      <c r="U109" s="4"/>
      <c r="V109" s="12">
        <f>IF(T$12=0,0,T109/T$12)</f>
        <v>9.1839791680844704E-2</v>
      </c>
      <c r="W109" s="4"/>
      <c r="X109" s="4">
        <f>+P109-T109</f>
        <v>17565.349999999977</v>
      </c>
      <c r="Y109" s="4"/>
      <c r="Z109" s="12">
        <f>IF(T109=0,0,X109/T109)</f>
        <v>0.23160390916930118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4</v>
      </c>
      <c r="C111" s="28"/>
      <c r="D111" s="31">
        <f>+D107-D109</f>
        <v>24252.019999999964</v>
      </c>
      <c r="E111" s="14"/>
      <c r="F111" s="34">
        <f>IF(D$12=0,0,D111/D$12)</f>
        <v>0.10930105610728821</v>
      </c>
      <c r="G111" s="14"/>
      <c r="H111" s="31">
        <f>+H107-H109</f>
        <v>31893.119999999919</v>
      </c>
      <c r="I111" s="14"/>
      <c r="J111" s="34">
        <f>IF(H$12=0,0,H111/H$12)</f>
        <v>0.1644697144133104</v>
      </c>
      <c r="K111" s="16"/>
      <c r="L111" s="31">
        <f>D111-H111</f>
        <v>-7641.0999999999549</v>
      </c>
      <c r="M111" s="16"/>
      <c r="N111" s="34">
        <f>IF(H111=0,0,L111/H111)</f>
        <v>-0.23958458752232376</v>
      </c>
      <c r="O111" s="29"/>
      <c r="P111" s="31">
        <f>+P107-P109</f>
        <v>187771.87999999983</v>
      </c>
      <c r="Q111" s="14"/>
      <c r="R111" s="34">
        <f>IF(P$12=0,0,P111/P$12)</f>
        <v>0.20235619264746008</v>
      </c>
      <c r="S111" s="14"/>
      <c r="T111" s="31">
        <f>+T107-T109</f>
        <v>216887.01999999979</v>
      </c>
      <c r="U111" s="14"/>
      <c r="V111" s="34">
        <f>IF(T$12=0,0,T111/T$12)</f>
        <v>0.26263556087612405</v>
      </c>
      <c r="W111" s="16"/>
      <c r="X111" s="31">
        <f>P111-T111</f>
        <v>-29115.139999999956</v>
      </c>
      <c r="Y111" s="16"/>
      <c r="Z111" s="34">
        <f>IF(T111=0,0,X111/T111)</f>
        <v>-0.13424104402375017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8" t="s">
        <v>5</v>
      </c>
      <c r="C114" s="28"/>
      <c r="D114" s="36">
        <f>SUM(D111:D113)</f>
        <v>24252.019999999964</v>
      </c>
      <c r="E114" s="14"/>
      <c r="F114" s="33">
        <f>IF(D$12=0,0,D114/D$12)</f>
        <v>0.10930105610728821</v>
      </c>
      <c r="G114" s="14"/>
      <c r="H114" s="36">
        <f>SUM(H111:H113)</f>
        <v>31893.119999999919</v>
      </c>
      <c r="I114" s="14"/>
      <c r="J114" s="33">
        <f>IF(H$12=0,0,H114/H$12)</f>
        <v>0.1644697144133104</v>
      </c>
      <c r="K114" s="16"/>
      <c r="L114" s="36">
        <f>+D114-H114</f>
        <v>-7641.0999999999549</v>
      </c>
      <c r="M114" s="16"/>
      <c r="N114" s="33">
        <f>IF(H114=0,0,L114/H114)</f>
        <v>-0.23958458752232376</v>
      </c>
      <c r="O114" s="29"/>
      <c r="P114" s="36">
        <f>SUM(P111:P113)</f>
        <v>187771.87999999983</v>
      </c>
      <c r="Q114" s="14"/>
      <c r="R114" s="33">
        <f>IF(P$12=0,0,P114/P$12)</f>
        <v>0.20235619264746008</v>
      </c>
      <c r="S114" s="14"/>
      <c r="T114" s="36">
        <f>SUM(T111:T113)</f>
        <v>216887.01999999979</v>
      </c>
      <c r="U114" s="14"/>
      <c r="V114" s="33">
        <f>IF(T$12=0,0,T114/T$12)</f>
        <v>0.26263556087612405</v>
      </c>
      <c r="W114" s="16"/>
      <c r="X114" s="36">
        <f>+P114-T114</f>
        <v>-29115.139999999956</v>
      </c>
      <c r="Y114" s="16"/>
      <c r="Z114" s="33">
        <f>IF(T114=0,0,X114/T114)</f>
        <v>-0.13424104402375017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61">
        <v>43791.355332407409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6" t="s">
        <v>313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7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SUM(0)</f>
        <v>0</v>
      </c>
      <c r="E18" s="20"/>
      <c r="F18" s="35">
        <f>IF(D$12=0,0,D18/D$12)</f>
        <v>0</v>
      </c>
      <c r="G18" s="20"/>
      <c r="H18" s="20">
        <f>SUM(0)</f>
        <v>0</v>
      </c>
      <c r="I18" s="20"/>
      <c r="J18" s="35">
        <f>IF(H$12=0,0,H18/H$12)</f>
        <v>0</v>
      </c>
      <c r="K18" s="4"/>
      <c r="L18" s="20">
        <f>+D18-H18</f>
        <v>0</v>
      </c>
      <c r="M18" s="4"/>
      <c r="N18" s="35">
        <f>IF(H18=0,0,L18/H18)</f>
        <v>0</v>
      </c>
      <c r="O18" s="10"/>
      <c r="P18" s="20">
        <f>SUM(0)</f>
        <v>0</v>
      </c>
      <c r="Q18" s="20"/>
      <c r="R18" s="35">
        <f>IF(P$12=0,0,P18/P$12)</f>
        <v>0</v>
      </c>
      <c r="S18" s="20"/>
      <c r="T18" s="20">
        <f>SUM(0)</f>
        <v>0</v>
      </c>
      <c r="U18" s="20"/>
      <c r="V18" s="35">
        <f>IF(T$12=0,0,T18/T$12)</f>
        <v>0</v>
      </c>
      <c r="W18" s="4"/>
      <c r="X18" s="20">
        <f>+P18-T18</f>
        <v>0</v>
      </c>
      <c r="Y18" s="4"/>
      <c r="Z18" s="35">
        <f>IF(T18=0,0,X18/T18)</f>
        <v>0</v>
      </c>
    </row>
    <row r="19" spans="1:26" s="55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1">
        <f>+D16-D18+D20</f>
        <v>0</v>
      </c>
      <c r="E22" s="14"/>
      <c r="F22" s="22">
        <f>IF(D$12=0,0,D22/D$12)</f>
        <v>0</v>
      </c>
      <c r="G22" s="14"/>
      <c r="H22" s="21">
        <f>+H16-H18+H20</f>
        <v>0</v>
      </c>
      <c r="I22" s="14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9"/>
      <c r="P22" s="21">
        <f>+P16-P18+P20</f>
        <v>0</v>
      </c>
      <c r="Q22" s="14"/>
      <c r="R22" s="22">
        <f>IF(P$12=0,0,P22/P$12)</f>
        <v>0</v>
      </c>
      <c r="S22" s="14"/>
      <c r="T22" s="21">
        <f>+T16-T18+T20</f>
        <v>0</v>
      </c>
      <c r="U22" s="14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4">
        <f>IF(D$12=0,0,D26/D$12)</f>
        <v>0</v>
      </c>
      <c r="G26" s="14"/>
      <c r="H26" s="31">
        <f>+H22-H24</f>
        <v>0</v>
      </c>
      <c r="I26" s="14"/>
      <c r="J26" s="34">
        <f>IF(H$12=0,0,H26/H$12)</f>
        <v>0</v>
      </c>
      <c r="K26" s="16"/>
      <c r="L26" s="31">
        <f>D26-H26</f>
        <v>0</v>
      </c>
      <c r="M26" s="16"/>
      <c r="N26" s="34">
        <f>IF(H26=0,0,L26/H26)</f>
        <v>0</v>
      </c>
      <c r="O26" s="29"/>
      <c r="P26" s="31">
        <f>+P22-P24</f>
        <v>0</v>
      </c>
      <c r="Q26" s="14"/>
      <c r="R26" s="34">
        <f>IF(P$12=0,0,P26/P$12)</f>
        <v>0</v>
      </c>
      <c r="S26" s="14"/>
      <c r="T26" s="31">
        <f>+T22-T24</f>
        <v>0</v>
      </c>
      <c r="U26" s="14"/>
      <c r="V26" s="34">
        <f>IF(T$12=0,0,T26/T$12)</f>
        <v>0</v>
      </c>
      <c r="W26" s="16"/>
      <c r="X26" s="31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--215833.16</f>
        <v>215833.16</v>
      </c>
      <c r="E28" s="4"/>
      <c r="F28" s="12">
        <f t="shared" ref="F28:F29" si="0">IF(D$12=0,0,D28/D$12)</f>
        <v>0</v>
      </c>
      <c r="G28" s="4"/>
      <c r="H28" s="4">
        <f>-666188.97</f>
        <v>-666188.97</v>
      </c>
      <c r="I28" s="4"/>
      <c r="J28" s="12">
        <f t="shared" ref="J28:J29" si="1">IF(H$12=0,0,H28/H$12)</f>
        <v>0</v>
      </c>
      <c r="K28" s="4"/>
      <c r="L28" s="4">
        <f t="shared" ref="L28:L29" si="2">+D28-H28</f>
        <v>882022.13</v>
      </c>
      <c r="M28" s="4"/>
      <c r="N28" s="12">
        <f t="shared" ref="N28:N29" si="3">IF(H28=0,0,L28/H28)</f>
        <v>-1.3239818876016516</v>
      </c>
      <c r="O28" s="10"/>
      <c r="P28" s="4">
        <f>--118303.25</f>
        <v>118303.25</v>
      </c>
      <c r="Q28" s="4"/>
      <c r="R28" s="12">
        <f t="shared" ref="R28:R29" si="4">IF(P$12=0,0,P28/P$12)</f>
        <v>0</v>
      </c>
      <c r="S28" s="4"/>
      <c r="T28" s="4">
        <f>-511523.83</f>
        <v>-511523.83</v>
      </c>
      <c r="U28" s="4"/>
      <c r="V28" s="12">
        <f t="shared" ref="V28:V29" si="5">IF(T$12=0,0,T28/T$12)</f>
        <v>0</v>
      </c>
      <c r="W28" s="4"/>
      <c r="X28" s="4">
        <f t="shared" ref="X28:X29" si="6">+P28-T28</f>
        <v>629827.08000000007</v>
      </c>
      <c r="Y28" s="4"/>
      <c r="Z28" s="12">
        <f t="shared" ref="Z28:Z29" si="7">IF(T28=0,0,X28/T28)</f>
        <v>-1.2312761264709799</v>
      </c>
    </row>
    <row r="29" spans="1:26" s="23" customFormat="1" x14ac:dyDescent="0.25">
      <c r="A29" s="51"/>
      <c r="B29" s="10" t="s">
        <v>1</v>
      </c>
      <c r="C29" s="10"/>
      <c r="D29" s="4">
        <f>--13441.85</f>
        <v>13441.85</v>
      </c>
      <c r="E29" s="4"/>
      <c r="F29" s="12">
        <f t="shared" si="0"/>
        <v>0</v>
      </c>
      <c r="G29" s="4"/>
      <c r="H29" s="4">
        <f>--16823.03</f>
        <v>16823.03</v>
      </c>
      <c r="I29" s="4"/>
      <c r="J29" s="12">
        <f t="shared" si="1"/>
        <v>0</v>
      </c>
      <c r="K29" s="4"/>
      <c r="L29" s="4">
        <f t="shared" si="2"/>
        <v>-3381.1799999999985</v>
      </c>
      <c r="M29" s="4"/>
      <c r="N29" s="12">
        <f t="shared" si="3"/>
        <v>-0.20098519707805304</v>
      </c>
      <c r="O29" s="10"/>
      <c r="P29" s="4">
        <f>--65213.01</f>
        <v>65213.01</v>
      </c>
      <c r="Q29" s="4"/>
      <c r="R29" s="12">
        <f t="shared" si="4"/>
        <v>0</v>
      </c>
      <c r="S29" s="4"/>
      <c r="T29" s="4">
        <f>--59805.07</f>
        <v>59805.07</v>
      </c>
      <c r="U29" s="4"/>
      <c r="V29" s="12">
        <f t="shared" si="5"/>
        <v>0</v>
      </c>
      <c r="W29" s="4"/>
      <c r="X29" s="4">
        <f t="shared" si="6"/>
        <v>5407.9400000000023</v>
      </c>
      <c r="Y29" s="4"/>
      <c r="Z29" s="12">
        <f t="shared" si="7"/>
        <v>9.0426112702484962E-2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6">
        <f>SUM(D26:D30)</f>
        <v>229275.01</v>
      </c>
      <c r="E31" s="14"/>
      <c r="F31" s="33">
        <f>IF(D$12=0,0,D31/D$12)</f>
        <v>0</v>
      </c>
      <c r="G31" s="14"/>
      <c r="H31" s="36">
        <f>SUM(H26:H30)</f>
        <v>-649365.93999999994</v>
      </c>
      <c r="I31" s="14"/>
      <c r="J31" s="33">
        <f>IF(H$12=0,0,H31/H$12)</f>
        <v>0</v>
      </c>
      <c r="K31" s="16"/>
      <c r="L31" s="36">
        <f>+D31-H31</f>
        <v>878640.95</v>
      </c>
      <c r="M31" s="16"/>
      <c r="N31" s="33">
        <f>IF(H31=0,0,L31/H31)</f>
        <v>-1.3530752013263894</v>
      </c>
      <c r="O31" s="29"/>
      <c r="P31" s="36">
        <f>SUM(P26:P30)</f>
        <v>183516.26</v>
      </c>
      <c r="Q31" s="14"/>
      <c r="R31" s="33">
        <f>IF(P$12=0,0,P31/P$12)</f>
        <v>0</v>
      </c>
      <c r="S31" s="14"/>
      <c r="T31" s="36">
        <f>SUM(T26:T30)</f>
        <v>-451718.76</v>
      </c>
      <c r="U31" s="14"/>
      <c r="V31" s="33">
        <f>IF(T$12=0,0,T31/T$12)</f>
        <v>0</v>
      </c>
      <c r="W31" s="16"/>
      <c r="X31" s="36">
        <f>+P31-T31</f>
        <v>635235.02</v>
      </c>
      <c r="Y31" s="16"/>
      <c r="Z31" s="33">
        <f>IF(T31=0,0,X31/T31)</f>
        <v>-1.4062622061567689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1">
        <v>43791.354679201388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6" t="s">
        <v>313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","326", " - ", "2nd Street Store")</f>
        <v>Department 326 - 2nd Street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40929.759999999995</v>
      </c>
      <c r="E12" s="4"/>
      <c r="F12" s="12"/>
      <c r="G12" s="4"/>
      <c r="H12" s="4">
        <f>SUM(OSRRefH13x_0)</f>
        <v>37689.130000000005</v>
      </c>
      <c r="I12" s="4"/>
      <c r="J12" s="12"/>
      <c r="K12" s="4"/>
      <c r="L12" s="4">
        <f t="shared" ref="L12:L34" si="0">+D12-H12</f>
        <v>3240.6299999999901</v>
      </c>
      <c r="M12" s="4"/>
      <c r="N12" s="12">
        <f t="shared" ref="N12:N34" si="1">IF(H12=0,0,L12/H12)</f>
        <v>8.5983146864891544E-2</v>
      </c>
      <c r="O12" s="10"/>
      <c r="P12" s="4">
        <f>SUM(OSRRefP13x_0)</f>
        <v>194468.44000000003</v>
      </c>
      <c r="Q12" s="4"/>
      <c r="R12" s="12"/>
      <c r="S12" s="4"/>
      <c r="T12" s="4">
        <f>SUM(OSRRefT13x_0)</f>
        <v>167315.46</v>
      </c>
      <c r="U12" s="4"/>
      <c r="V12" s="12"/>
      <c r="W12" s="4"/>
      <c r="X12" s="4">
        <f t="shared" ref="X12:X34" si="2">+P12-T12</f>
        <v>27152.98000000004</v>
      </c>
      <c r="Y12" s="4"/>
      <c r="Z12" s="12">
        <f t="shared" ref="Z12:Z34" si="3">IF(T12=0,0,X12/T12)</f>
        <v>0.16228613900950958</v>
      </c>
    </row>
    <row r="13" spans="1:26" s="24" customFormat="1" hidden="1" outlineLevel="1" x14ac:dyDescent="0.25">
      <c r="A13" s="44"/>
      <c r="B13" s="11" t="str">
        <f>CONCATENATE("          ", "4025", " - ", "TAXABLE SALES-TEST FORMS")</f>
        <v xml:space="preserve">          4025 - TAXABLE SALES-TEST FORMS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--14.49</f>
        <v>14.49</v>
      </c>
      <c r="U13" s="2"/>
      <c r="V13" s="19"/>
      <c r="W13" s="2"/>
      <c r="X13" s="2">
        <f t="shared" si="2"/>
        <v>-14.49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--16.56</f>
        <v>16.559999999999999</v>
      </c>
      <c r="E14" s="2"/>
      <c r="F14" s="19"/>
      <c r="G14" s="2"/>
      <c r="H14" s="2">
        <f>--97.58</f>
        <v>97.58</v>
      </c>
      <c r="I14" s="2"/>
      <c r="J14" s="19"/>
      <c r="K14" s="2"/>
      <c r="L14" s="2">
        <f t="shared" si="0"/>
        <v>-81.02</v>
      </c>
      <c r="M14" s="2"/>
      <c r="N14" s="19">
        <f t="shared" si="1"/>
        <v>-0.83029309284689479</v>
      </c>
      <c r="O14" s="11"/>
      <c r="P14" s="2">
        <f>--100.28</f>
        <v>100.28</v>
      </c>
      <c r="Q14" s="2"/>
      <c r="R14" s="19"/>
      <c r="S14" s="2"/>
      <c r="T14" s="2">
        <f>--168.23</f>
        <v>168.23</v>
      </c>
      <c r="U14" s="2"/>
      <c r="V14" s="19"/>
      <c r="W14" s="2"/>
      <c r="X14" s="2">
        <f t="shared" si="2"/>
        <v>-67.949999999999989</v>
      </c>
      <c r="Y14" s="2"/>
      <c r="Z14" s="19">
        <f t="shared" si="3"/>
        <v>-0.40391131189443019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ref="D15:D16" si="4"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>
        <f>--294.47</f>
        <v>294.47000000000003</v>
      </c>
      <c r="U15" s="2"/>
      <c r="V15" s="19"/>
      <c r="W15" s="2"/>
      <c r="X15" s="2">
        <f t="shared" si="2"/>
        <v>-246.56000000000003</v>
      </c>
      <c r="Y15" s="2"/>
      <c r="Z15" s="19">
        <f t="shared" si="3"/>
        <v>-0.8373009135056203</v>
      </c>
    </row>
    <row r="16" spans="1:26" s="24" customFormat="1" hidden="1" outlineLevel="1" x14ac:dyDescent="0.25">
      <c r="A16" s="44"/>
      <c r="B16" s="11" t="str">
        <f>CONCATENATE("          ", "4034", " - ", "TAXABLE SALES-SODA")</f>
        <v xml:space="preserve">          4034 - TAXABLE SALES-SODA</v>
      </c>
      <c r="C16" s="11"/>
      <c r="D16" s="2">
        <f t="shared" si="4"/>
        <v>0</v>
      </c>
      <c r="E16" s="2"/>
      <c r="F16" s="19"/>
      <c r="G16" s="2"/>
      <c r="H16" s="2">
        <f>--11.34</f>
        <v>11.34</v>
      </c>
      <c r="I16" s="2"/>
      <c r="J16" s="19"/>
      <c r="K16" s="2"/>
      <c r="L16" s="2">
        <f t="shared" si="0"/>
        <v>-11.34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--51.59</f>
        <v>51.59</v>
      </c>
      <c r="U16" s="2"/>
      <c r="V16" s="19"/>
      <c r="W16" s="2"/>
      <c r="X16" s="2">
        <f t="shared" si="2"/>
        <v>-51.59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--35189.92</f>
        <v>35189.919999999998</v>
      </c>
      <c r="E17" s="2"/>
      <c r="F17" s="19"/>
      <c r="G17" s="2"/>
      <c r="H17" s="2">
        <f>--32252.82</f>
        <v>32252.82</v>
      </c>
      <c r="I17" s="2"/>
      <c r="J17" s="19"/>
      <c r="K17" s="2"/>
      <c r="L17" s="2">
        <f t="shared" si="0"/>
        <v>2937.0999999999985</v>
      </c>
      <c r="M17" s="2"/>
      <c r="N17" s="19">
        <f t="shared" si="1"/>
        <v>9.1064905332308876E-2</v>
      </c>
      <c r="O17" s="11"/>
      <c r="P17" s="2">
        <f>--163546.37</f>
        <v>163546.37</v>
      </c>
      <c r="Q17" s="2"/>
      <c r="R17" s="19"/>
      <c r="S17" s="2"/>
      <c r="T17" s="2">
        <f>--140056.62</f>
        <v>140056.62</v>
      </c>
      <c r="U17" s="2"/>
      <c r="V17" s="19"/>
      <c r="W17" s="2"/>
      <c r="X17" s="2">
        <f t="shared" si="2"/>
        <v>23489.75</v>
      </c>
      <c r="Y17" s="2"/>
      <c r="Z17" s="19">
        <f t="shared" si="3"/>
        <v>0.16771609938894713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--3782</f>
        <v>3782</v>
      </c>
      <c r="E18" s="2"/>
      <c r="F18" s="19"/>
      <c r="G18" s="2"/>
      <c r="H18" s="2">
        <f>--4011.8</f>
        <v>4011.8</v>
      </c>
      <c r="I18" s="2"/>
      <c r="J18" s="19"/>
      <c r="K18" s="2"/>
      <c r="L18" s="2">
        <f t="shared" si="0"/>
        <v>-229.80000000000018</v>
      </c>
      <c r="M18" s="2"/>
      <c r="N18" s="19">
        <f t="shared" si="1"/>
        <v>-5.7281020988085192E-2</v>
      </c>
      <c r="O18" s="11"/>
      <c r="P18" s="2">
        <f>--21176.69</f>
        <v>21176.69</v>
      </c>
      <c r="Q18" s="2"/>
      <c r="R18" s="19"/>
      <c r="S18" s="2"/>
      <c r="T18" s="2">
        <f>--20491.07</f>
        <v>20491.07</v>
      </c>
      <c r="U18" s="2"/>
      <c r="V18" s="19"/>
      <c r="W18" s="2"/>
      <c r="X18" s="2">
        <f t="shared" si="2"/>
        <v>685.61999999999898</v>
      </c>
      <c r="Y18" s="2"/>
      <c r="Z18" s="19">
        <f t="shared" si="3"/>
        <v>3.3459453313077307E-2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--2731.46</f>
        <v>2731.46</v>
      </c>
      <c r="E19" s="2"/>
      <c r="F19" s="19"/>
      <c r="G19" s="2"/>
      <c r="H19" s="2">
        <f>--1976.16</f>
        <v>1976.16</v>
      </c>
      <c r="I19" s="2"/>
      <c r="J19" s="19"/>
      <c r="K19" s="2"/>
      <c r="L19" s="2">
        <f t="shared" si="0"/>
        <v>755.3</v>
      </c>
      <c r="M19" s="2"/>
      <c r="N19" s="19">
        <f t="shared" si="1"/>
        <v>0.38220589425957407</v>
      </c>
      <c r="O19" s="11"/>
      <c r="P19" s="2">
        <f>--14213.96</f>
        <v>14213.96</v>
      </c>
      <c r="Q19" s="2"/>
      <c r="R19" s="19"/>
      <c r="S19" s="2"/>
      <c r="T19" s="2">
        <f>--9517.97</f>
        <v>9517.9699999999993</v>
      </c>
      <c r="U19" s="2"/>
      <c r="V19" s="19"/>
      <c r="W19" s="2"/>
      <c r="X19" s="2">
        <f t="shared" si="2"/>
        <v>4695.99</v>
      </c>
      <c r="Y19" s="2"/>
      <c r="Z19" s="19">
        <f t="shared" si="3"/>
        <v>0.49338146684639689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0</f>
        <v>0</v>
      </c>
      <c r="E20" s="2"/>
      <c r="F20" s="19"/>
      <c r="G20" s="2"/>
      <c r="H20" s="2">
        <f>--221.83</f>
        <v>221.83</v>
      </c>
      <c r="I20" s="2"/>
      <c r="J20" s="19"/>
      <c r="K20" s="2"/>
      <c r="L20" s="2">
        <f t="shared" si="0"/>
        <v>-221.83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--305.79</f>
        <v>305.79000000000002</v>
      </c>
      <c r="U20" s="2"/>
      <c r="V20" s="19"/>
      <c r="W20" s="2"/>
      <c r="X20" s="2">
        <f t="shared" si="2"/>
        <v>-305.79000000000002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--274.45</f>
        <v>274.45</v>
      </c>
      <c r="E21" s="2"/>
      <c r="F21" s="19"/>
      <c r="G21" s="2"/>
      <c r="H21" s="2">
        <f>--358.25</f>
        <v>358.25</v>
      </c>
      <c r="I21" s="2"/>
      <c r="J21" s="19"/>
      <c r="K21" s="2"/>
      <c r="L21" s="2">
        <f t="shared" si="0"/>
        <v>-83.800000000000011</v>
      </c>
      <c r="M21" s="2"/>
      <c r="N21" s="19">
        <f t="shared" si="1"/>
        <v>-0.23391486392184233</v>
      </c>
      <c r="O21" s="11"/>
      <c r="P21" s="2">
        <f>--1212.95</f>
        <v>1212.95</v>
      </c>
      <c r="Q21" s="2"/>
      <c r="R21" s="19"/>
      <c r="S21" s="2"/>
      <c r="T21" s="2">
        <f>--2746.9</f>
        <v>2746.9</v>
      </c>
      <c r="U21" s="2"/>
      <c r="V21" s="19"/>
      <c r="W21" s="2"/>
      <c r="X21" s="2">
        <f t="shared" si="2"/>
        <v>-1533.95</v>
      </c>
      <c r="Y21" s="2"/>
      <c r="Z21" s="19">
        <f t="shared" si="3"/>
        <v>-0.55842950234810151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 t="shared" ref="D22:D23" si="5">0</f>
        <v>0</v>
      </c>
      <c r="E22" s="2"/>
      <c r="F22" s="19"/>
      <c r="G22" s="2"/>
      <c r="H22" s="2">
        <f>--19.95</f>
        <v>19.95</v>
      </c>
      <c r="I22" s="2"/>
      <c r="J22" s="19"/>
      <c r="K22" s="2"/>
      <c r="L22" s="2">
        <f t="shared" si="0"/>
        <v>-19.95</v>
      </c>
      <c r="M22" s="2"/>
      <c r="N22" s="19">
        <f t="shared" si="1"/>
        <v>-1</v>
      </c>
      <c r="O22" s="11"/>
      <c r="P22" s="2">
        <f>--367.76</f>
        <v>367.76</v>
      </c>
      <c r="Q22" s="2"/>
      <c r="R22" s="19"/>
      <c r="S22" s="2"/>
      <c r="T22" s="2">
        <f>--506.7</f>
        <v>506.7</v>
      </c>
      <c r="U22" s="2"/>
      <c r="V22" s="19"/>
      <c r="W22" s="2"/>
      <c r="X22" s="2">
        <f t="shared" si="2"/>
        <v>-138.94</v>
      </c>
      <c r="Y22" s="2"/>
      <c r="Z22" s="19">
        <f t="shared" si="3"/>
        <v>-0.27420564436550227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si="5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>--2.97</f>
        <v>2.97</v>
      </c>
      <c r="E24" s="2"/>
      <c r="F24" s="19"/>
      <c r="G24" s="2"/>
      <c r="H24" s="2">
        <f>--0.99</f>
        <v>0.99</v>
      </c>
      <c r="I24" s="2"/>
      <c r="J24" s="19"/>
      <c r="K24" s="2"/>
      <c r="L24" s="2">
        <f t="shared" si="0"/>
        <v>1.9800000000000002</v>
      </c>
      <c r="M24" s="2"/>
      <c r="N24" s="19">
        <f t="shared" si="1"/>
        <v>2.0000000000000004</v>
      </c>
      <c r="O24" s="11"/>
      <c r="P24" s="2">
        <f>--26.73</f>
        <v>26.73</v>
      </c>
      <c r="Q24" s="2"/>
      <c r="R24" s="19"/>
      <c r="S24" s="2"/>
      <c r="T24" s="2">
        <f>--11.88</f>
        <v>11.88</v>
      </c>
      <c r="U24" s="2"/>
      <c r="V24" s="19"/>
      <c r="W24" s="2"/>
      <c r="X24" s="2">
        <f t="shared" si="2"/>
        <v>14.85</v>
      </c>
      <c r="Y24" s="2"/>
      <c r="Z24" s="19">
        <f t="shared" si="3"/>
        <v>1.2499999999999998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--12</f>
        <v>12</v>
      </c>
      <c r="E25" s="2"/>
      <c r="F25" s="19"/>
      <c r="G25" s="2"/>
      <c r="H25" s="2">
        <f>--13.5</f>
        <v>13.5</v>
      </c>
      <c r="I25" s="2"/>
      <c r="J25" s="19"/>
      <c r="K25" s="2"/>
      <c r="L25" s="2">
        <f t="shared" si="0"/>
        <v>-1.5</v>
      </c>
      <c r="M25" s="2"/>
      <c r="N25" s="19">
        <f t="shared" si="1"/>
        <v>-0.1111111111111111</v>
      </c>
      <c r="O25" s="11"/>
      <c r="P25" s="2">
        <f>--85.5</f>
        <v>85.5</v>
      </c>
      <c r="Q25" s="2"/>
      <c r="R25" s="19"/>
      <c r="S25" s="2"/>
      <c r="T25" s="2">
        <f>--55.5</f>
        <v>55.5</v>
      </c>
      <c r="U25" s="2"/>
      <c r="V25" s="19"/>
      <c r="W25" s="2"/>
      <c r="X25" s="2">
        <f t="shared" si="2"/>
        <v>30</v>
      </c>
      <c r="Y25" s="2"/>
      <c r="Z25" s="19">
        <f t="shared" si="3"/>
        <v>0.54054054054054057</v>
      </c>
    </row>
    <row r="26" spans="1:26" s="24" customFormat="1" hidden="1" outlineLevel="1" x14ac:dyDescent="0.25">
      <c r="A26" s="44"/>
      <c r="B26" s="11" t="str">
        <f>CONCATENATE("          ", "4142", " - ", "NON-TAXABLE SALES-EVERYDAY GIF")</f>
        <v xml:space="preserve">          4142 - NON-TAXABLE SALES-EVERYDAY GIF</v>
      </c>
      <c r="C26" s="11"/>
      <c r="D26" s="2">
        <f>--44.1</f>
        <v>44.1</v>
      </c>
      <c r="E26" s="2"/>
      <c r="F26" s="19"/>
      <c r="G26" s="2"/>
      <c r="H26" s="2">
        <f t="shared" ref="H26:H28" si="6">0</f>
        <v>0</v>
      </c>
      <c r="I26" s="2"/>
      <c r="J26" s="19"/>
      <c r="K26" s="2"/>
      <c r="L26" s="2">
        <f t="shared" si="0"/>
        <v>44.1</v>
      </c>
      <c r="M26" s="2"/>
      <c r="N26" s="19">
        <f t="shared" si="1"/>
        <v>0</v>
      </c>
      <c r="O26" s="11"/>
      <c r="P26" s="2">
        <f>--157.57</f>
        <v>157.57</v>
      </c>
      <c r="Q26" s="2"/>
      <c r="R26" s="19"/>
      <c r="S26" s="2"/>
      <c r="T26" s="2">
        <f t="shared" ref="T26:T27" si="7">0</f>
        <v>0</v>
      </c>
      <c r="U26" s="2"/>
      <c r="V26" s="19"/>
      <c r="W26" s="2"/>
      <c r="X26" s="2">
        <f t="shared" si="2"/>
        <v>157.57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>-134.8</f>
        <v>-134.80000000000001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-134.80000000000001</v>
      </c>
      <c r="M27" s="2"/>
      <c r="N27" s="19">
        <f t="shared" si="1"/>
        <v>0</v>
      </c>
      <c r="O27" s="11"/>
      <c r="P27" s="2">
        <f>-134.8</f>
        <v>-134.80000000000001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-134.80000000000001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"4227", " - ", "SALES RETURN TAXABLE-SCHOOL SU")</f>
        <v xml:space="preserve">          4227 - SALES RETURN TAXABLE-SCHOOL SU</v>
      </c>
      <c r="C28" s="11"/>
      <c r="D28" s="2">
        <f>0</f>
        <v>0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0</f>
        <v>0</v>
      </c>
      <c r="Q28" s="2"/>
      <c r="R28" s="19"/>
      <c r="S28" s="2"/>
      <c r="T28" s="2">
        <f>-4.99</f>
        <v>-4.99</v>
      </c>
      <c r="U28" s="2"/>
      <c r="V28" s="19"/>
      <c r="W28" s="2"/>
      <c r="X28" s="2">
        <f t="shared" si="2"/>
        <v>4.99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"4240", " - ", "SALES RETURN TAXABLE-LOGO CLOT")</f>
        <v xml:space="preserve">          4240 - SALES RETURN TAXABLE-LOGO CLOT</v>
      </c>
      <c r="C29" s="11"/>
      <c r="D29" s="2">
        <f>-882.2</f>
        <v>-882.2</v>
      </c>
      <c r="E29" s="2"/>
      <c r="F29" s="19"/>
      <c r="G29" s="2"/>
      <c r="H29" s="2">
        <f>-1097.39</f>
        <v>-1097.3900000000001</v>
      </c>
      <c r="I29" s="2"/>
      <c r="J29" s="19"/>
      <c r="K29" s="2"/>
      <c r="L29" s="2">
        <f t="shared" si="0"/>
        <v>215.19000000000005</v>
      </c>
      <c r="M29" s="2"/>
      <c r="N29" s="19">
        <f t="shared" si="1"/>
        <v>-0.19609254686118885</v>
      </c>
      <c r="O29" s="11"/>
      <c r="P29" s="2">
        <f>-5238.24</f>
        <v>-5238.24</v>
      </c>
      <c r="Q29" s="2"/>
      <c r="R29" s="19"/>
      <c r="S29" s="2"/>
      <c r="T29" s="2">
        <f>-6234.67</f>
        <v>-6234.67</v>
      </c>
      <c r="U29" s="2"/>
      <c r="V29" s="19"/>
      <c r="W29" s="2"/>
      <c r="X29" s="2">
        <f t="shared" si="2"/>
        <v>996.43000000000029</v>
      </c>
      <c r="Y29" s="2"/>
      <c r="Z29" s="19">
        <f t="shared" si="3"/>
        <v>-0.15982080847903743</v>
      </c>
    </row>
    <row r="30" spans="1:26" s="24" customFormat="1" hidden="1" outlineLevel="1" x14ac:dyDescent="0.25">
      <c r="A30" s="44"/>
      <c r="B30" s="11" t="str">
        <f>CONCATENATE("          ", "4241", " - ", "SALES RETURN TAXABLE-LOGO GIFT")</f>
        <v xml:space="preserve">          4241 - SALES RETURN TAXABLE-LOGO GIFT</v>
      </c>
      <c r="C30" s="11"/>
      <c r="D30" s="2">
        <f>-57.75</f>
        <v>-57.75</v>
      </c>
      <c r="E30" s="2"/>
      <c r="F30" s="19"/>
      <c r="G30" s="2"/>
      <c r="H30" s="2">
        <f>-71.8</f>
        <v>-71.8</v>
      </c>
      <c r="I30" s="2"/>
      <c r="J30" s="19"/>
      <c r="K30" s="2"/>
      <c r="L30" s="2">
        <f t="shared" si="0"/>
        <v>14.049999999999997</v>
      </c>
      <c r="M30" s="2"/>
      <c r="N30" s="19">
        <f t="shared" si="1"/>
        <v>-0.19568245125348185</v>
      </c>
      <c r="O30" s="11"/>
      <c r="P30" s="2">
        <f>-734.25</f>
        <v>-734.25</v>
      </c>
      <c r="Q30" s="2"/>
      <c r="R30" s="19"/>
      <c r="S30" s="2"/>
      <c r="T30" s="2">
        <f>-336.45</f>
        <v>-336.45</v>
      </c>
      <c r="U30" s="2"/>
      <c r="V30" s="19"/>
      <c r="W30" s="2"/>
      <c r="X30" s="2">
        <f t="shared" si="2"/>
        <v>-397.8</v>
      </c>
      <c r="Y30" s="2"/>
      <c r="Z30" s="19">
        <f t="shared" si="3"/>
        <v>1.1823450735621936</v>
      </c>
    </row>
    <row r="31" spans="1:26" s="24" customFormat="1" hidden="1" outlineLevel="1" x14ac:dyDescent="0.25">
      <c r="A31" s="44"/>
      <c r="B31" s="11" t="str">
        <f>CONCATENATE("          ", "4242", " - ", "SALES RETURN TAXABLE-EVERYDAY")</f>
        <v xml:space="preserve">          4242 - SALES RETURN TAXABLE-EVERYDAY</v>
      </c>
      <c r="C31" s="11"/>
      <c r="D31" s="2">
        <f>-48.95</f>
        <v>-48.95</v>
      </c>
      <c r="E31" s="2"/>
      <c r="F31" s="19"/>
      <c r="G31" s="2"/>
      <c r="H31" s="2">
        <f>-5.95</f>
        <v>-5.95</v>
      </c>
      <c r="I31" s="2"/>
      <c r="J31" s="19"/>
      <c r="K31" s="2"/>
      <c r="L31" s="2">
        <f t="shared" si="0"/>
        <v>-43</v>
      </c>
      <c r="M31" s="2"/>
      <c r="N31" s="19">
        <f t="shared" si="1"/>
        <v>7.2268907563025211</v>
      </c>
      <c r="O31" s="11"/>
      <c r="P31" s="2">
        <f>-288.09</f>
        <v>-288.08999999999997</v>
      </c>
      <c r="Q31" s="2"/>
      <c r="R31" s="19"/>
      <c r="S31" s="2"/>
      <c r="T31" s="2">
        <f>-109.79</f>
        <v>-109.79</v>
      </c>
      <c r="U31" s="2"/>
      <c r="V31" s="19"/>
      <c r="W31" s="2"/>
      <c r="X31" s="2">
        <f t="shared" si="2"/>
        <v>-178.29999999999995</v>
      </c>
      <c r="Y31" s="2"/>
      <c r="Z31" s="19">
        <f t="shared" si="3"/>
        <v>1.6240094726295651</v>
      </c>
    </row>
    <row r="32" spans="1:26" s="24" customFormat="1" hidden="1" outlineLevel="1" x14ac:dyDescent="0.25">
      <c r="A32" s="44"/>
      <c r="B32" s="11" t="str">
        <f>CONCATENATE("          ", "4244", " - ", "SALES RETURN TAXABLE-ACCESSORI")</f>
        <v xml:space="preserve">          4244 - SALES RETURN TAXABLE-ACCESSORI</v>
      </c>
      <c r="C32" s="11"/>
      <c r="D32" s="2">
        <f t="shared" ref="D32:D34" si="8">0</f>
        <v>0</v>
      </c>
      <c r="E32" s="2"/>
      <c r="F32" s="19"/>
      <c r="G32" s="2"/>
      <c r="H32" s="2">
        <f>-99.95</f>
        <v>-99.95</v>
      </c>
      <c r="I32" s="2"/>
      <c r="J32" s="19"/>
      <c r="K32" s="2"/>
      <c r="L32" s="2">
        <f t="shared" si="0"/>
        <v>99.95</v>
      </c>
      <c r="M32" s="2"/>
      <c r="N32" s="19">
        <f t="shared" si="1"/>
        <v>-1</v>
      </c>
      <c r="O32" s="11"/>
      <c r="P32" s="2">
        <f>-22.95</f>
        <v>-22.95</v>
      </c>
      <c r="Q32" s="2"/>
      <c r="R32" s="19"/>
      <c r="S32" s="2"/>
      <c r="T32" s="2">
        <f>-199.9</f>
        <v>-199.9</v>
      </c>
      <c r="U32" s="2"/>
      <c r="V32" s="19"/>
      <c r="W32" s="2"/>
      <c r="X32" s="2">
        <f t="shared" si="2"/>
        <v>176.95000000000002</v>
      </c>
      <c r="Y32" s="2"/>
      <c r="Z32" s="19">
        <f t="shared" si="3"/>
        <v>-0.88519259629814917</v>
      </c>
    </row>
    <row r="33" spans="1:26" s="24" customFormat="1" hidden="1" outlineLevel="1" x14ac:dyDescent="0.25">
      <c r="A33" s="44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 t="shared" si="8"/>
        <v>0</v>
      </c>
      <c r="E33" s="2"/>
      <c r="F33" s="19"/>
      <c r="G33" s="2"/>
      <c r="H33" s="2">
        <f t="shared" ref="H33:H34" si="9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-9.99</f>
        <v>-9.99</v>
      </c>
      <c r="Q33" s="2"/>
      <c r="R33" s="19"/>
      <c r="S33" s="2"/>
      <c r="T33" s="2">
        <f>-19.95</f>
        <v>-19.95</v>
      </c>
      <c r="U33" s="2"/>
      <c r="V33" s="19"/>
      <c r="W33" s="2"/>
      <c r="X33" s="2">
        <f t="shared" si="2"/>
        <v>9.9599999999999991</v>
      </c>
      <c r="Y33" s="2"/>
      <c r="Z33" s="19">
        <f t="shared" si="3"/>
        <v>-0.49924812030075183</v>
      </c>
    </row>
    <row r="34" spans="1:26" s="24" customFormat="1" hidden="1" outlineLevel="1" x14ac:dyDescent="0.25">
      <c r="A34" s="44"/>
      <c r="B34" s="11" t="str">
        <f>CONCATENATE("          ", "4295", " - ", "SALES RETURN TAXABLE-CUSTOMER")</f>
        <v xml:space="preserve">          4295 - SALES RETURN TAXABLE-CUSTOMER</v>
      </c>
      <c r="C34" s="11"/>
      <c r="D34" s="2">
        <f t="shared" si="8"/>
        <v>0</v>
      </c>
      <c r="E34" s="2"/>
      <c r="F34" s="19"/>
      <c r="G34" s="2"/>
      <c r="H34" s="2">
        <f t="shared" si="9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--0.99</f>
        <v>0.99</v>
      </c>
      <c r="Q34" s="2"/>
      <c r="R34" s="19"/>
      <c r="S34" s="2"/>
      <c r="T34" s="2">
        <f>0</f>
        <v>0</v>
      </c>
      <c r="U34" s="2"/>
      <c r="V34" s="19"/>
      <c r="W34" s="2"/>
      <c r="X34" s="2">
        <f t="shared" si="2"/>
        <v>0.99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9" t="s">
        <v>8</v>
      </c>
      <c r="C36" s="10"/>
      <c r="D36" s="4">
        <f>SUM(OSRRefD16x_0)</f>
        <v>17512.269999999993</v>
      </c>
      <c r="E36" s="4"/>
      <c r="F36" s="12">
        <f t="shared" ref="F36:F53" si="10">IF(D$12=0,0,D36/D$12)</f>
        <v>0.42786153644682978</v>
      </c>
      <c r="G36" s="4"/>
      <c r="H36" s="4">
        <f>SUM(OSRRefH16x_0)</f>
        <v>16332.279999999997</v>
      </c>
      <c r="I36" s="4"/>
      <c r="J36" s="12">
        <f t="shared" ref="J36:J53" si="11">IF(H$12=0,0,H36/H$12)</f>
        <v>0.43334192113216713</v>
      </c>
      <c r="K36" s="4"/>
      <c r="L36" s="4">
        <f t="shared" ref="L36:L53" si="12">+D36-H36</f>
        <v>1179.9899999999961</v>
      </c>
      <c r="M36" s="4"/>
      <c r="N36" s="12">
        <f t="shared" ref="N36:N53" si="13">IF(H36=0,0,L36/H36)</f>
        <v>7.2248945034006057E-2</v>
      </c>
      <c r="O36" s="10"/>
      <c r="P36" s="4">
        <f>SUM(OSRRefP16x_0)</f>
        <v>82521.22</v>
      </c>
      <c r="Q36" s="4"/>
      <c r="R36" s="12">
        <f t="shared" ref="R36:R53" si="14">IF(P$12=0,0,P36/P$12)</f>
        <v>0.42434247942751013</v>
      </c>
      <c r="S36" s="4"/>
      <c r="T36" s="4">
        <f>SUM(OSRRefT16x_0)</f>
        <v>72436.740000000005</v>
      </c>
      <c r="U36" s="4"/>
      <c r="V36" s="12">
        <f t="shared" ref="V36:V53" si="15">IF(T$12=0,0,T36/T$12)</f>
        <v>0.43293512745325513</v>
      </c>
      <c r="W36" s="4"/>
      <c r="X36" s="4">
        <f t="shared" ref="X36:X53" si="16">+P36-T36</f>
        <v>10084.479999999996</v>
      </c>
      <c r="Y36" s="4"/>
      <c r="Z36" s="12">
        <f t="shared" ref="Z36:Z53" si="17">IF(T36=0,0,X36/T36)</f>
        <v>0.13921775055034222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/>
      <c r="E37" s="2"/>
      <c r="F37" s="19">
        <f t="shared" si="10"/>
        <v>0</v>
      </c>
      <c r="G37" s="2"/>
      <c r="H37" s="2"/>
      <c r="I37" s="2"/>
      <c r="J37" s="19">
        <f t="shared" si="11"/>
        <v>0</v>
      </c>
      <c r="K37" s="2"/>
      <c r="L37" s="2">
        <f t="shared" si="12"/>
        <v>0</v>
      </c>
      <c r="M37" s="2"/>
      <c r="N37" s="19">
        <f t="shared" si="13"/>
        <v>0</v>
      </c>
      <c r="O37" s="11"/>
      <c r="P37" s="2"/>
      <c r="Q37" s="2"/>
      <c r="R37" s="19">
        <f t="shared" si="14"/>
        <v>0</v>
      </c>
      <c r="S37" s="2"/>
      <c r="T37" s="2">
        <v>13.2</v>
      </c>
      <c r="U37" s="2"/>
      <c r="V37" s="19">
        <f t="shared" si="15"/>
        <v>7.8892888917736595E-5</v>
      </c>
      <c r="W37" s="2"/>
      <c r="X37" s="2">
        <f t="shared" si="16"/>
        <v>-13.2</v>
      </c>
      <c r="Y37" s="2"/>
      <c r="Z37" s="19">
        <f t="shared" si="17"/>
        <v>-1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28.56</v>
      </c>
      <c r="E38" s="2"/>
      <c r="F38" s="19">
        <f t="shared" si="10"/>
        <v>6.9778078346904556E-4</v>
      </c>
      <c r="G38" s="2"/>
      <c r="H38" s="2">
        <v>92.6</v>
      </c>
      <c r="I38" s="2"/>
      <c r="J38" s="19">
        <f t="shared" si="11"/>
        <v>2.456941829116246E-3</v>
      </c>
      <c r="K38" s="2"/>
      <c r="L38" s="2">
        <f t="shared" si="12"/>
        <v>-64.039999999999992</v>
      </c>
      <c r="M38" s="2"/>
      <c r="N38" s="19">
        <f t="shared" si="13"/>
        <v>-0.69157667386609067</v>
      </c>
      <c r="O38" s="11"/>
      <c r="P38" s="2">
        <v>-36.369999999999997</v>
      </c>
      <c r="Q38" s="2"/>
      <c r="R38" s="19">
        <f t="shared" si="14"/>
        <v>-1.8702263462390089E-4</v>
      </c>
      <c r="S38" s="2"/>
      <c r="T38" s="2">
        <v>288.36</v>
      </c>
      <c r="U38" s="2"/>
      <c r="V38" s="19">
        <f t="shared" si="15"/>
        <v>1.7234510188120094E-3</v>
      </c>
      <c r="W38" s="2"/>
      <c r="X38" s="2">
        <f t="shared" si="16"/>
        <v>-324.73</v>
      </c>
      <c r="Y38" s="2"/>
      <c r="Z38" s="19">
        <f t="shared" si="17"/>
        <v>-1.126127063392981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18.54</v>
      </c>
      <c r="E39" s="2"/>
      <c r="F39" s="19">
        <f t="shared" si="10"/>
        <v>4.5297113884860312E-4</v>
      </c>
      <c r="G39" s="2"/>
      <c r="H39" s="2"/>
      <c r="I39" s="2"/>
      <c r="J39" s="19">
        <f t="shared" si="11"/>
        <v>0</v>
      </c>
      <c r="K39" s="2"/>
      <c r="L39" s="2">
        <f t="shared" si="12"/>
        <v>18.54</v>
      </c>
      <c r="M39" s="2"/>
      <c r="N39" s="19">
        <f t="shared" si="13"/>
        <v>0</v>
      </c>
      <c r="O39" s="11"/>
      <c r="P39" s="2">
        <v>47</v>
      </c>
      <c r="Q39" s="2"/>
      <c r="R39" s="19">
        <f t="shared" si="14"/>
        <v>2.4168446047080953E-4</v>
      </c>
      <c r="S39" s="2"/>
      <c r="T39" s="2">
        <v>516.53</v>
      </c>
      <c r="U39" s="2"/>
      <c r="V39" s="19">
        <f t="shared" si="15"/>
        <v>3.0871624176271577E-3</v>
      </c>
      <c r="W39" s="2"/>
      <c r="X39" s="2">
        <f t="shared" si="16"/>
        <v>-469.53</v>
      </c>
      <c r="Y39" s="2"/>
      <c r="Z39" s="19">
        <f t="shared" si="17"/>
        <v>-0.90900818926296634</v>
      </c>
    </row>
    <row r="40" spans="1:26" s="24" customFormat="1" hidden="1" outlineLevel="1" x14ac:dyDescent="0.25">
      <c r="A40" s="44"/>
      <c r="B40" s="11" t="str">
        <f>CONCATENATE("          ", "5034", " - ", "PURCHASES @ COST-SODA")</f>
        <v xml:space="preserve">          5034 - PURCHASES @ COST-SODA</v>
      </c>
      <c r="C40" s="11"/>
      <c r="D40" s="2"/>
      <c r="E40" s="2"/>
      <c r="F40" s="19">
        <f t="shared" si="10"/>
        <v>0</v>
      </c>
      <c r="G40" s="2"/>
      <c r="H40" s="2">
        <v>-5.16</v>
      </c>
      <c r="I40" s="2"/>
      <c r="J40" s="19">
        <f t="shared" si="11"/>
        <v>-1.3690950149287075E-4</v>
      </c>
      <c r="K40" s="2"/>
      <c r="L40" s="2">
        <f t="shared" si="12"/>
        <v>5.16</v>
      </c>
      <c r="M40" s="2"/>
      <c r="N40" s="19">
        <f t="shared" si="13"/>
        <v>-1</v>
      </c>
      <c r="O40" s="11"/>
      <c r="P40" s="2"/>
      <c r="Q40" s="2"/>
      <c r="R40" s="19">
        <f t="shared" si="14"/>
        <v>0</v>
      </c>
      <c r="S40" s="2"/>
      <c r="T40" s="2">
        <v>5.64</v>
      </c>
      <c r="U40" s="2"/>
      <c r="V40" s="19">
        <f t="shared" si="15"/>
        <v>3.3708779810305633E-5</v>
      </c>
      <c r="W40" s="2"/>
      <c r="X40" s="2">
        <f t="shared" si="16"/>
        <v>-5.64</v>
      </c>
      <c r="Y40" s="2"/>
      <c r="Z40" s="19">
        <f t="shared" si="17"/>
        <v>-1</v>
      </c>
    </row>
    <row r="41" spans="1:26" s="24" customFormat="1" hidden="1" outlineLevel="1" x14ac:dyDescent="0.25">
      <c r="A41" s="44"/>
      <c r="B41" s="11" t="str">
        <f>CONCATENATE("          ", "5037", " - ", "PURCHASES @ COST-WATER")</f>
        <v xml:space="preserve">          5037 - PURCHASES @ COST-WATER</v>
      </c>
      <c r="C41" s="11"/>
      <c r="D41" s="2"/>
      <c r="E41" s="2"/>
      <c r="F41" s="19">
        <f t="shared" si="10"/>
        <v>0</v>
      </c>
      <c r="G41" s="2"/>
      <c r="H41" s="2"/>
      <c r="I41" s="2"/>
      <c r="J41" s="19">
        <f t="shared" si="11"/>
        <v>0</v>
      </c>
      <c r="K41" s="2"/>
      <c r="L41" s="2">
        <f t="shared" si="12"/>
        <v>0</v>
      </c>
      <c r="M41" s="2"/>
      <c r="N41" s="19">
        <f t="shared" si="13"/>
        <v>0</v>
      </c>
      <c r="O41" s="11"/>
      <c r="P41" s="2">
        <v>29.76</v>
      </c>
      <c r="Q41" s="2"/>
      <c r="R41" s="19">
        <f t="shared" si="14"/>
        <v>1.5303254348109132E-4</v>
      </c>
      <c r="S41" s="2"/>
      <c r="T41" s="2">
        <v>16.64</v>
      </c>
      <c r="U41" s="2"/>
      <c r="V41" s="19">
        <f t="shared" si="15"/>
        <v>9.9452853908419474E-5</v>
      </c>
      <c r="W41" s="2"/>
      <c r="X41" s="2">
        <f t="shared" si="16"/>
        <v>13.120000000000001</v>
      </c>
      <c r="Y41" s="2"/>
      <c r="Z41" s="19">
        <f t="shared" si="17"/>
        <v>0.78846153846153855</v>
      </c>
    </row>
    <row r="42" spans="1:26" s="24" customFormat="1" hidden="1" outlineLevel="1" x14ac:dyDescent="0.25">
      <c r="A42" s="44"/>
      <c r="B42" s="11" t="str">
        <f>CONCATENATE("          ", "5040", " - ", "PURCHASES @ COST-LOGO CLOTHING")</f>
        <v xml:space="preserve">          5040 - PURCHASES @ COST-LOGO CLOTHING</v>
      </c>
      <c r="C42" s="11"/>
      <c r="D42" s="2">
        <v>16353.169999999998</v>
      </c>
      <c r="E42" s="2"/>
      <c r="F42" s="19">
        <f t="shared" si="10"/>
        <v>0.39954228903370065</v>
      </c>
      <c r="G42" s="2"/>
      <c r="H42" s="2">
        <v>21961.599999999999</v>
      </c>
      <c r="I42" s="2"/>
      <c r="J42" s="19">
        <f t="shared" si="11"/>
        <v>0.58270381937709881</v>
      </c>
      <c r="K42" s="2"/>
      <c r="L42" s="2">
        <f t="shared" si="12"/>
        <v>-5608.43</v>
      </c>
      <c r="M42" s="2"/>
      <c r="N42" s="19">
        <f t="shared" si="13"/>
        <v>-0.25537438073728691</v>
      </c>
      <c r="O42" s="11"/>
      <c r="P42" s="2">
        <v>100775.53</v>
      </c>
      <c r="Q42" s="2"/>
      <c r="R42" s="19">
        <f t="shared" si="14"/>
        <v>0.5182102041853166</v>
      </c>
      <c r="S42" s="2"/>
      <c r="T42" s="2">
        <v>83477.37999999999</v>
      </c>
      <c r="U42" s="2"/>
      <c r="V42" s="19">
        <f t="shared" si="15"/>
        <v>0.49892209602149135</v>
      </c>
      <c r="W42" s="2"/>
      <c r="X42" s="2">
        <f t="shared" si="16"/>
        <v>17298.150000000009</v>
      </c>
      <c r="Y42" s="2"/>
      <c r="Z42" s="19">
        <f t="shared" si="17"/>
        <v>0.20721960847357704</v>
      </c>
    </row>
    <row r="43" spans="1:26" s="24" customFormat="1" hidden="1" outlineLevel="1" x14ac:dyDescent="0.25">
      <c r="A43" s="44"/>
      <c r="B43" s="11" t="str">
        <f>CONCATENATE("          ", "5041", " - ", "PURCHASES @ COST-LOGO GIFTS")</f>
        <v xml:space="preserve">          5041 - PURCHASES @ COST-LOGO GIFTS</v>
      </c>
      <c r="C43" s="11"/>
      <c r="D43" s="2">
        <v>669.89</v>
      </c>
      <c r="E43" s="2"/>
      <c r="F43" s="19">
        <f t="shared" si="10"/>
        <v>1.6366819644190438E-2</v>
      </c>
      <c r="G43" s="2"/>
      <c r="H43" s="2">
        <v>2035.6</v>
      </c>
      <c r="I43" s="2"/>
      <c r="J43" s="19">
        <f t="shared" si="11"/>
        <v>5.4010267681954972E-2</v>
      </c>
      <c r="K43" s="2"/>
      <c r="L43" s="2">
        <f t="shared" si="12"/>
        <v>-1365.71</v>
      </c>
      <c r="M43" s="2"/>
      <c r="N43" s="19">
        <f t="shared" si="13"/>
        <v>-0.67091275299665953</v>
      </c>
      <c r="O43" s="11"/>
      <c r="P43" s="2">
        <v>12054.64</v>
      </c>
      <c r="Q43" s="2"/>
      <c r="R43" s="19">
        <f t="shared" si="14"/>
        <v>6.1987641799358277E-2</v>
      </c>
      <c r="S43" s="2"/>
      <c r="T43" s="2">
        <v>9978.3799999999992</v>
      </c>
      <c r="U43" s="2"/>
      <c r="V43" s="19">
        <f t="shared" si="15"/>
        <v>5.9638123099921544E-2</v>
      </c>
      <c r="W43" s="2"/>
      <c r="X43" s="2">
        <f t="shared" si="16"/>
        <v>2076.2600000000002</v>
      </c>
      <c r="Y43" s="2"/>
      <c r="Z43" s="19">
        <f t="shared" si="17"/>
        <v>0.20807586000934022</v>
      </c>
    </row>
    <row r="44" spans="1:26" s="24" customFormat="1" hidden="1" outlineLevel="1" x14ac:dyDescent="0.25">
      <c r="A44" s="44"/>
      <c r="B44" s="11" t="str">
        <f>CONCATENATE("          ", "5042", " - ", "PURCHASES @ COST-EVERYDAY GIFT")</f>
        <v xml:space="preserve">          5042 - PURCHASES @ COST-EVERYDAY GIFT</v>
      </c>
      <c r="C44" s="11"/>
      <c r="D44" s="2">
        <v>1805.37</v>
      </c>
      <c r="E44" s="2"/>
      <c r="F44" s="19">
        <f t="shared" si="10"/>
        <v>4.4108980849142533E-2</v>
      </c>
      <c r="G44" s="2"/>
      <c r="H44" s="2">
        <v>2588.38</v>
      </c>
      <c r="I44" s="2"/>
      <c r="J44" s="19">
        <f t="shared" si="11"/>
        <v>6.867709602211565E-2</v>
      </c>
      <c r="K44" s="2"/>
      <c r="L44" s="2">
        <f t="shared" si="12"/>
        <v>-783.01000000000022</v>
      </c>
      <c r="M44" s="2"/>
      <c r="N44" s="19">
        <f t="shared" si="13"/>
        <v>-0.3025096778680102</v>
      </c>
      <c r="O44" s="11"/>
      <c r="P44" s="2">
        <v>9440.5400000000009</v>
      </c>
      <c r="Q44" s="2"/>
      <c r="R44" s="19">
        <f t="shared" si="14"/>
        <v>4.854535779687439E-2</v>
      </c>
      <c r="S44" s="2"/>
      <c r="T44" s="2">
        <v>6954.12</v>
      </c>
      <c r="U44" s="2"/>
      <c r="V44" s="19">
        <f t="shared" si="15"/>
        <v>4.1562925506106851E-2</v>
      </c>
      <c r="W44" s="2"/>
      <c r="X44" s="2">
        <f t="shared" si="16"/>
        <v>2486.420000000001</v>
      </c>
      <c r="Y44" s="2"/>
      <c r="Z44" s="19">
        <f t="shared" si="17"/>
        <v>0.35754631786624347</v>
      </c>
    </row>
    <row r="45" spans="1:26" s="24" customFormat="1" hidden="1" outlineLevel="1" x14ac:dyDescent="0.25">
      <c r="A45" s="44"/>
      <c r="B45" s="11" t="str">
        <f>CONCATENATE("          ", "5044", " - ", "PURCHASES @ COST-ACCESSORIES")</f>
        <v xml:space="preserve">          5044 - PURCHASES @ COST-ACCESSORIES</v>
      </c>
      <c r="C45" s="11"/>
      <c r="D45" s="2">
        <v>605.14</v>
      </c>
      <c r="E45" s="2"/>
      <c r="F45" s="19">
        <f t="shared" si="10"/>
        <v>1.4784841152256941E-2</v>
      </c>
      <c r="G45" s="2"/>
      <c r="H45" s="2">
        <v>119.86</v>
      </c>
      <c r="I45" s="2"/>
      <c r="J45" s="19">
        <f t="shared" si="11"/>
        <v>3.1802272963053269E-3</v>
      </c>
      <c r="K45" s="2"/>
      <c r="L45" s="2">
        <f t="shared" si="12"/>
        <v>485.28</v>
      </c>
      <c r="M45" s="2"/>
      <c r="N45" s="19">
        <f t="shared" si="13"/>
        <v>4.0487235107625565</v>
      </c>
      <c r="O45" s="11"/>
      <c r="P45" s="2">
        <v>2352.5700000000002</v>
      </c>
      <c r="Q45" s="2"/>
      <c r="R45" s="19">
        <f t="shared" si="14"/>
        <v>1.2097438535527923E-2</v>
      </c>
      <c r="S45" s="2"/>
      <c r="T45" s="2">
        <v>1733.75</v>
      </c>
      <c r="U45" s="2"/>
      <c r="V45" s="19">
        <f t="shared" si="15"/>
        <v>1.0362162587964078E-2</v>
      </c>
      <c r="W45" s="2"/>
      <c r="X45" s="2">
        <f t="shared" si="16"/>
        <v>618.82000000000016</v>
      </c>
      <c r="Y45" s="2"/>
      <c r="Z45" s="19">
        <f t="shared" si="17"/>
        <v>0.35692573900504698</v>
      </c>
    </row>
    <row r="46" spans="1:26" s="24" customFormat="1" hidden="1" outlineLevel="1" x14ac:dyDescent="0.25">
      <c r="A46" s="44"/>
      <c r="B46" s="11" t="str">
        <f>CONCATENATE("          ", "5045", " - ", "PURCHASES @ COST-SPECIAL ORDER")</f>
        <v xml:space="preserve">          5045 - PURCHASES @ COST-SPECIAL ORDER</v>
      </c>
      <c r="C46" s="11"/>
      <c r="D46" s="2"/>
      <c r="E46" s="2"/>
      <c r="F46" s="19">
        <f t="shared" si="10"/>
        <v>0</v>
      </c>
      <c r="G46" s="2"/>
      <c r="H46" s="2">
        <v>134.55000000000001</v>
      </c>
      <c r="I46" s="2"/>
      <c r="J46" s="19">
        <f t="shared" si="11"/>
        <v>3.5699948499739844E-3</v>
      </c>
      <c r="K46" s="2"/>
      <c r="L46" s="2">
        <f t="shared" si="12"/>
        <v>-134.55000000000001</v>
      </c>
      <c r="M46" s="2"/>
      <c r="N46" s="19">
        <f t="shared" si="13"/>
        <v>-1</v>
      </c>
      <c r="O46" s="11"/>
      <c r="P46" s="2">
        <v>-968.2</v>
      </c>
      <c r="Q46" s="2"/>
      <c r="R46" s="19">
        <f t="shared" si="14"/>
        <v>-4.9786998856986764E-3</v>
      </c>
      <c r="S46" s="2"/>
      <c r="T46" s="2">
        <v>206.13</v>
      </c>
      <c r="U46" s="2"/>
      <c r="V46" s="19">
        <f t="shared" si="15"/>
        <v>1.2319841812585639E-3</v>
      </c>
      <c r="W46" s="2"/>
      <c r="X46" s="2">
        <f t="shared" si="16"/>
        <v>-1174.33</v>
      </c>
      <c r="Y46" s="2"/>
      <c r="Z46" s="19">
        <f t="shared" si="17"/>
        <v>-5.6970358511618882</v>
      </c>
    </row>
    <row r="47" spans="1:26" s="24" customFormat="1" hidden="1" outlineLevel="1" x14ac:dyDescent="0.25">
      <c r="A47" s="44"/>
      <c r="B47" s="11" t="str">
        <f>CONCATENATE("          ", "5083", " - ", "PURCHASES @ COST-COMPUTER EQUI")</f>
        <v xml:space="preserve">          5083 - PURCHASES @ COST-COMPUTER EQUI</v>
      </c>
      <c r="C47" s="11"/>
      <c r="D47" s="2"/>
      <c r="E47" s="2"/>
      <c r="F47" s="19">
        <f t="shared" si="10"/>
        <v>0</v>
      </c>
      <c r="G47" s="2"/>
      <c r="H47" s="2"/>
      <c r="I47" s="2"/>
      <c r="J47" s="19">
        <f t="shared" si="11"/>
        <v>0</v>
      </c>
      <c r="K47" s="2"/>
      <c r="L47" s="2">
        <f t="shared" si="12"/>
        <v>0</v>
      </c>
      <c r="M47" s="2"/>
      <c r="N47" s="19">
        <f t="shared" si="13"/>
        <v>0</v>
      </c>
      <c r="O47" s="11"/>
      <c r="P47" s="2">
        <v>39.950000000000003</v>
      </c>
      <c r="Q47" s="2"/>
      <c r="R47" s="19">
        <f t="shared" si="14"/>
        <v>2.0543179140018809E-4</v>
      </c>
      <c r="S47" s="2"/>
      <c r="T47" s="2">
        <v>15.8</v>
      </c>
      <c r="U47" s="2"/>
      <c r="V47" s="19">
        <f t="shared" si="15"/>
        <v>9.4432397340927135E-5</v>
      </c>
      <c r="W47" s="2"/>
      <c r="X47" s="2">
        <f t="shared" si="16"/>
        <v>24.150000000000002</v>
      </c>
      <c r="Y47" s="2"/>
      <c r="Z47" s="19">
        <f t="shared" si="17"/>
        <v>1.528481012658228</v>
      </c>
    </row>
    <row r="48" spans="1:26" s="24" customFormat="1" hidden="1" outlineLevel="1" x14ac:dyDescent="0.25">
      <c r="A48" s="44"/>
      <c r="B48" s="11" t="str">
        <f>CONCATENATE("          ", "5092", " - ", "PURCHASES @ COST-GRAD MERCH")</f>
        <v xml:space="preserve">          5092 - PURCHASES @ COST-GRAD MERCH</v>
      </c>
      <c r="C48" s="11"/>
      <c r="D48" s="2">
        <v>-47.4</v>
      </c>
      <c r="E48" s="2"/>
      <c r="F48" s="19">
        <f t="shared" si="10"/>
        <v>-1.158081552396105E-3</v>
      </c>
      <c r="G48" s="2"/>
      <c r="H48" s="2"/>
      <c r="I48" s="2"/>
      <c r="J48" s="19">
        <f t="shared" si="11"/>
        <v>0</v>
      </c>
      <c r="K48" s="2"/>
      <c r="L48" s="2">
        <f t="shared" si="12"/>
        <v>-47.4</v>
      </c>
      <c r="M48" s="2"/>
      <c r="N48" s="19">
        <f t="shared" si="13"/>
        <v>0</v>
      </c>
      <c r="O48" s="11"/>
      <c r="P48" s="2">
        <v>-60.35</v>
      </c>
      <c r="Q48" s="2"/>
      <c r="R48" s="19">
        <f t="shared" si="14"/>
        <v>-3.1033313168964583E-4</v>
      </c>
      <c r="S48" s="2"/>
      <c r="T48" s="2"/>
      <c r="U48" s="2"/>
      <c r="V48" s="19">
        <f t="shared" si="15"/>
        <v>0</v>
      </c>
      <c r="W48" s="2"/>
      <c r="X48" s="2">
        <f t="shared" si="16"/>
        <v>-60.35</v>
      </c>
      <c r="Y48" s="2"/>
      <c r="Z48" s="19">
        <f t="shared" si="17"/>
        <v>0</v>
      </c>
    </row>
    <row r="49" spans="1:26" s="24" customFormat="1" hidden="1" outlineLevel="1" x14ac:dyDescent="0.25">
      <c r="A49" s="44"/>
      <c r="B49" s="11" t="str">
        <f>CONCATENATE("          ", "5095", " - ", "PURCHASES @ COST-CUSTOMER SERV")</f>
        <v xml:space="preserve">          5095 - PURCHASES @ COST-CUSTOMER SERV</v>
      </c>
      <c r="C49" s="11"/>
      <c r="D49" s="2"/>
      <c r="E49" s="2"/>
      <c r="F49" s="19">
        <f t="shared" si="10"/>
        <v>0</v>
      </c>
      <c r="G49" s="2"/>
      <c r="H49" s="2">
        <v>54.72</v>
      </c>
      <c r="I49" s="2"/>
      <c r="J49" s="19">
        <f t="shared" si="11"/>
        <v>1.4518775042034664E-3</v>
      </c>
      <c r="K49" s="2"/>
      <c r="L49" s="2">
        <f t="shared" si="12"/>
        <v>-54.72</v>
      </c>
      <c r="M49" s="2"/>
      <c r="N49" s="19">
        <f t="shared" si="13"/>
        <v>-1</v>
      </c>
      <c r="O49" s="11"/>
      <c r="P49" s="2">
        <v>-11.85</v>
      </c>
      <c r="Q49" s="2"/>
      <c r="R49" s="19">
        <f t="shared" si="14"/>
        <v>-6.0935337374023248E-5</v>
      </c>
      <c r="S49" s="2"/>
      <c r="T49" s="2">
        <v>54.72</v>
      </c>
      <c r="U49" s="2"/>
      <c r="V49" s="19">
        <f t="shared" si="15"/>
        <v>3.270468849680717E-4</v>
      </c>
      <c r="W49" s="2"/>
      <c r="X49" s="2">
        <f t="shared" si="16"/>
        <v>-66.569999999999993</v>
      </c>
      <c r="Y49" s="2"/>
      <c r="Z49" s="19">
        <f t="shared" si="17"/>
        <v>-1.2165570175438596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-19434</v>
      </c>
      <c r="E50" s="2"/>
      <c r="F50" s="19">
        <f t="shared" si="10"/>
        <v>-0.4748134364824031</v>
      </c>
      <c r="G50" s="2"/>
      <c r="H50" s="2">
        <v>-27014</v>
      </c>
      <c r="I50" s="2"/>
      <c r="J50" s="19">
        <f t="shared" si="11"/>
        <v>-0.7167583863039555</v>
      </c>
      <c r="K50" s="2"/>
      <c r="L50" s="2">
        <f t="shared" si="12"/>
        <v>7580</v>
      </c>
      <c r="M50" s="2"/>
      <c r="N50" s="19">
        <f t="shared" si="13"/>
        <v>-0.28059524690901017</v>
      </c>
      <c r="O50" s="11"/>
      <c r="P50" s="2">
        <v>-123664</v>
      </c>
      <c r="Q50" s="2"/>
      <c r="R50" s="19">
        <f t="shared" si="14"/>
        <v>-0.63590781105664229</v>
      </c>
      <c r="S50" s="2"/>
      <c r="T50" s="2">
        <v>-103304</v>
      </c>
      <c r="U50" s="2"/>
      <c r="V50" s="19">
        <f t="shared" si="15"/>
        <v>-0.61742053005741371</v>
      </c>
      <c r="W50" s="2"/>
      <c r="X50" s="2">
        <f t="shared" si="16"/>
        <v>-20360</v>
      </c>
      <c r="Y50" s="2"/>
      <c r="Z50" s="19">
        <f t="shared" si="17"/>
        <v>0.19708820568419422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17513</v>
      </c>
      <c r="E51" s="2"/>
      <c r="F51" s="19">
        <f t="shared" si="10"/>
        <v>0.42787937188002084</v>
      </c>
      <c r="G51" s="2"/>
      <c r="H51" s="2">
        <v>16335</v>
      </c>
      <c r="I51" s="2"/>
      <c r="J51" s="19">
        <f t="shared" si="11"/>
        <v>0.43341409048179136</v>
      </c>
      <c r="K51" s="2"/>
      <c r="L51" s="2">
        <f t="shared" si="12"/>
        <v>1178</v>
      </c>
      <c r="M51" s="2"/>
      <c r="N51" s="19">
        <f t="shared" si="13"/>
        <v>7.2115090296908477E-2</v>
      </c>
      <c r="O51" s="11"/>
      <c r="P51" s="2">
        <v>82522</v>
      </c>
      <c r="Q51" s="2"/>
      <c r="R51" s="19">
        <f t="shared" si="14"/>
        <v>0.42434649036110944</v>
      </c>
      <c r="S51" s="2"/>
      <c r="T51" s="2">
        <v>72439</v>
      </c>
      <c r="U51" s="2"/>
      <c r="V51" s="19">
        <f t="shared" si="15"/>
        <v>0.43294863487211527</v>
      </c>
      <c r="W51" s="2"/>
      <c r="X51" s="2">
        <f t="shared" si="16"/>
        <v>10083</v>
      </c>
      <c r="Y51" s="2"/>
      <c r="Z51" s="19">
        <f t="shared" si="17"/>
        <v>0.13919297615925122</v>
      </c>
    </row>
    <row r="52" spans="1:26" s="24" customFormat="1" hidden="1" outlineLevel="1" x14ac:dyDescent="0.25">
      <c r="A52" s="44"/>
      <c r="B52" s="11" t="str">
        <f>CONCATENATE("          ", "5540", " - ", "FREIGHT-IN-LOGO CLOTHING")</f>
        <v xml:space="preserve">          5540 - FREIGHT-IN-LOGO CLOTHING</v>
      </c>
      <c r="C52" s="11"/>
      <c r="D52" s="2"/>
      <c r="E52" s="2"/>
      <c r="F52" s="19">
        <f t="shared" si="10"/>
        <v>0</v>
      </c>
      <c r="G52" s="2"/>
      <c r="H52" s="2"/>
      <c r="I52" s="2"/>
      <c r="J52" s="19">
        <f t="shared" si="11"/>
        <v>0</v>
      </c>
      <c r="K52" s="2"/>
      <c r="L52" s="2">
        <f t="shared" si="12"/>
        <v>0</v>
      </c>
      <c r="M52" s="2"/>
      <c r="N52" s="19">
        <f t="shared" si="13"/>
        <v>0</v>
      </c>
      <c r="O52" s="11"/>
      <c r="P52" s="2"/>
      <c r="Q52" s="2"/>
      <c r="R52" s="19">
        <f t="shared" si="14"/>
        <v>0</v>
      </c>
      <c r="S52" s="2"/>
      <c r="T52" s="2">
        <v>11.96</v>
      </c>
      <c r="U52" s="2"/>
      <c r="V52" s="19">
        <f t="shared" si="15"/>
        <v>7.1481738746676491E-5</v>
      </c>
      <c r="W52" s="2"/>
      <c r="X52" s="2">
        <f t="shared" si="16"/>
        <v>-11.96</v>
      </c>
      <c r="Y52" s="2"/>
      <c r="Z52" s="19">
        <f t="shared" si="17"/>
        <v>-1</v>
      </c>
    </row>
    <row r="53" spans="1:26" s="24" customFormat="1" hidden="1" outlineLevel="1" x14ac:dyDescent="0.25">
      <c r="A53" s="44"/>
      <c r="B53" s="11" t="str">
        <f>CONCATENATE("          ", "5542", " - ", "FREIGHT-IN-EVERYDAY GIFTS")</f>
        <v xml:space="preserve">          5542 - FREIGHT-IN-EVERYDAY GIFTS</v>
      </c>
      <c r="C53" s="11"/>
      <c r="D53" s="2"/>
      <c r="E53" s="2"/>
      <c r="F53" s="19">
        <f t="shared" si="10"/>
        <v>0</v>
      </c>
      <c r="G53" s="2"/>
      <c r="H53" s="2">
        <v>29.13</v>
      </c>
      <c r="I53" s="2"/>
      <c r="J53" s="19">
        <f t="shared" si="11"/>
        <v>7.7290189505568299E-4</v>
      </c>
      <c r="K53" s="2"/>
      <c r="L53" s="2">
        <f t="shared" si="12"/>
        <v>-29.13</v>
      </c>
      <c r="M53" s="2"/>
      <c r="N53" s="19">
        <f t="shared" si="13"/>
        <v>-1</v>
      </c>
      <c r="O53" s="11"/>
      <c r="P53" s="2"/>
      <c r="Q53" s="2"/>
      <c r="R53" s="19">
        <f t="shared" si="14"/>
        <v>0</v>
      </c>
      <c r="S53" s="2"/>
      <c r="T53" s="2">
        <v>29.13</v>
      </c>
      <c r="U53" s="2"/>
      <c r="V53" s="19">
        <f t="shared" si="15"/>
        <v>1.7410226167982324E-4</v>
      </c>
      <c r="W53" s="2"/>
      <c r="X53" s="2">
        <f t="shared" si="16"/>
        <v>-29.13</v>
      </c>
      <c r="Y53" s="2"/>
      <c r="Z53" s="19">
        <f t="shared" si="17"/>
        <v>-1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8" t="s">
        <v>6</v>
      </c>
      <c r="C55" s="28"/>
      <c r="D55" s="21">
        <f>D12-D36</f>
        <v>23417.49</v>
      </c>
      <c r="E55" s="14"/>
      <c r="F55" s="22">
        <f>IF(D$12=0,0,D55/D$12)</f>
        <v>0.57213846355317022</v>
      </c>
      <c r="G55" s="14"/>
      <c r="H55" s="21">
        <f>H12-H36</f>
        <v>21356.850000000006</v>
      </c>
      <c r="I55" s="14"/>
      <c r="J55" s="22">
        <f>IF(H$12=0,0,H55/H$12)</f>
        <v>0.56665807886783282</v>
      </c>
      <c r="K55" s="16"/>
      <c r="L55" s="21">
        <f>+D55-H55</f>
        <v>2060.6399999999958</v>
      </c>
      <c r="M55" s="16"/>
      <c r="N55" s="22">
        <f>IF(H55=0,0,L55/H55)</f>
        <v>9.6486139107592891E-2</v>
      </c>
      <c r="O55" s="29"/>
      <c r="P55" s="21">
        <f>P12-P36</f>
        <v>111947.22000000003</v>
      </c>
      <c r="Q55" s="14"/>
      <c r="R55" s="22">
        <f>IF(P$12=0,0,P55/P$12)</f>
        <v>0.57565752057248987</v>
      </c>
      <c r="S55" s="14"/>
      <c r="T55" s="21">
        <f>T12-T36</f>
        <v>94878.719999999987</v>
      </c>
      <c r="U55" s="14"/>
      <c r="V55" s="22">
        <f>IF(T$12=0,0,T55/T$12)</f>
        <v>0.56706487254674487</v>
      </c>
      <c r="W55" s="16"/>
      <c r="X55" s="21">
        <f>+P55-T55</f>
        <v>17068.500000000044</v>
      </c>
      <c r="Y55" s="16"/>
      <c r="Z55" s="22">
        <f>IF(T55=0,0,X55/T55)</f>
        <v>0.17989808462846091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9" t="s">
        <v>9</v>
      </c>
      <c r="C57" s="10"/>
      <c r="D57" s="20">
        <f>SUM(OSRRefD22x_0)</f>
        <v>30074.730000000003</v>
      </c>
      <c r="E57" s="20"/>
      <c r="F57" s="35">
        <f t="shared" ref="F57:F66" si="18">IF(D$12=0,0,D57/D$12)</f>
        <v>0.73478881869817969</v>
      </c>
      <c r="G57" s="20"/>
      <c r="H57" s="20">
        <f>SUM(OSRRefH22x_0)</f>
        <v>28232.890000000003</v>
      </c>
      <c r="I57" s="20"/>
      <c r="J57" s="35">
        <f t="shared" ref="J57:J66" si="19">IF(H$12=0,0,H57/H$12)</f>
        <v>0.749099010775786</v>
      </c>
      <c r="K57" s="4"/>
      <c r="L57" s="20">
        <f t="shared" ref="L57:L66" si="20">+D57-H57</f>
        <v>1841.8400000000001</v>
      </c>
      <c r="M57" s="4"/>
      <c r="N57" s="35">
        <f t="shared" ref="N57:N66" si="21">IF(H57=0,0,L57/H57)</f>
        <v>6.523738802510122E-2</v>
      </c>
      <c r="O57" s="10"/>
      <c r="P57" s="20">
        <f>SUM(OSRRefP22x_0)</f>
        <v>119620.39</v>
      </c>
      <c r="Q57" s="20"/>
      <c r="R57" s="35">
        <f t="shared" ref="R57:R66" si="22">IF(P$12=0,0,P57/P$12)</f>
        <v>0.61511466847782592</v>
      </c>
      <c r="S57" s="20"/>
      <c r="T57" s="20">
        <f>SUM(OSRRefT22x_0)</f>
        <v>111390.96</v>
      </c>
      <c r="U57" s="20"/>
      <c r="V57" s="35">
        <f t="shared" ref="V57:V66" si="23">IF(T$12=0,0,T57/T$12)</f>
        <v>0.66575413891818491</v>
      </c>
      <c r="W57" s="4"/>
      <c r="X57" s="20">
        <f t="shared" ref="X57:X66" si="24">+P57-T57</f>
        <v>8229.429999999993</v>
      </c>
      <c r="Y57" s="4"/>
      <c r="Z57" s="35">
        <f t="shared" ref="Z57:Z66" si="25">IF(T57=0,0,X57/T57)</f>
        <v>7.387879590947051E-2</v>
      </c>
    </row>
    <row r="58" spans="1:26" s="27" customFormat="1" outlineLevel="1" collapsed="1" x14ac:dyDescent="0.25">
      <c r="A58" s="25"/>
      <c r="B58" s="13" t="str">
        <f>CONCATENATE("     ","*Benefits                                         ")</f>
        <v xml:space="preserve">     *Benefits                                         </v>
      </c>
      <c r="C58" s="13"/>
      <c r="D58" s="1">
        <f>SUM(OSRRefD22_0x_0)</f>
        <v>2060.23</v>
      </c>
      <c r="E58" s="1"/>
      <c r="F58" s="5">
        <f t="shared" si="18"/>
        <v>5.033574592179383E-2</v>
      </c>
      <c r="G58" s="1"/>
      <c r="H58" s="1">
        <f>SUM(OSRRefH22_0x_0)</f>
        <v>3166.87</v>
      </c>
      <c r="I58" s="1"/>
      <c r="J58" s="5">
        <f t="shared" si="19"/>
        <v>8.4026083913319297E-2</v>
      </c>
      <c r="K58" s="1"/>
      <c r="L58" s="1">
        <f t="shared" si="20"/>
        <v>-1106.6399999999999</v>
      </c>
      <c r="M58" s="1"/>
      <c r="N58" s="5">
        <f t="shared" si="21"/>
        <v>-0.34944282525016812</v>
      </c>
      <c r="O58" s="13"/>
      <c r="P58" s="1">
        <f>SUM(OSRRefP22_0x_0)</f>
        <v>7598.94</v>
      </c>
      <c r="Q58" s="1"/>
      <c r="R58" s="5">
        <f t="shared" si="22"/>
        <v>3.9075440724469217E-2</v>
      </c>
      <c r="S58" s="1"/>
      <c r="T58" s="1">
        <f>SUM(OSRRefT22_0x_0)</f>
        <v>11575.2</v>
      </c>
      <c r="U58" s="1"/>
      <c r="V58" s="5">
        <f t="shared" si="23"/>
        <v>6.9181891500044293E-2</v>
      </c>
      <c r="W58" s="1"/>
      <c r="X58" s="1">
        <f t="shared" si="24"/>
        <v>-3976.2600000000011</v>
      </c>
      <c r="Y58" s="1"/>
      <c r="Z58" s="5">
        <f t="shared" si="25"/>
        <v>-0.3435154468173337</v>
      </c>
    </row>
    <row r="59" spans="1:26" s="24" customFormat="1" hidden="1" outlineLevel="2" x14ac:dyDescent="0.25">
      <c r="A59" s="26"/>
      <c r="B59" s="11" t="str">
        <f>CONCATENATE("          ", "6111", " - ", "F.I.C.A.")</f>
        <v xml:space="preserve">          6111 - F.I.C.A.</v>
      </c>
      <c r="C59" s="11"/>
      <c r="D59" s="6">
        <v>331.93</v>
      </c>
      <c r="E59" s="2"/>
      <c r="F59" s="7">
        <f t="shared" si="18"/>
        <v>8.109747039806733E-3</v>
      </c>
      <c r="G59" s="2"/>
      <c r="H59" s="6">
        <v>839.97</v>
      </c>
      <c r="I59" s="2"/>
      <c r="J59" s="7">
        <f t="shared" si="19"/>
        <v>2.2286797280807489E-2</v>
      </c>
      <c r="K59" s="2"/>
      <c r="L59" s="6">
        <f t="shared" si="20"/>
        <v>-508.04</v>
      </c>
      <c r="M59" s="2"/>
      <c r="N59" s="7">
        <f t="shared" si="21"/>
        <v>-0.60483112492112812</v>
      </c>
      <c r="O59" s="11"/>
      <c r="P59" s="6">
        <v>2163.1</v>
      </c>
      <c r="Q59" s="2"/>
      <c r="R59" s="7">
        <f t="shared" si="22"/>
        <v>1.1123141626476768E-2</v>
      </c>
      <c r="S59" s="2"/>
      <c r="T59" s="6">
        <v>2834.22</v>
      </c>
      <c r="U59" s="2"/>
      <c r="V59" s="7">
        <f t="shared" si="23"/>
        <v>1.6939379062759653E-2</v>
      </c>
      <c r="W59" s="2"/>
      <c r="X59" s="6">
        <f t="shared" si="24"/>
        <v>-671.11999999999989</v>
      </c>
      <c r="Y59" s="2"/>
      <c r="Z59" s="7">
        <f t="shared" si="25"/>
        <v>-0.23679178045458713</v>
      </c>
    </row>
    <row r="60" spans="1:26" s="24" customFormat="1" hidden="1" outlineLevel="2" x14ac:dyDescent="0.25">
      <c r="A60" s="26"/>
      <c r="B60" s="11" t="str">
        <f>CONCATENATE("          ", "6112", " - ", "COMPENSATION INSURANCE")</f>
        <v xml:space="preserve">          6112 - COMPENSATION INSURANCE</v>
      </c>
      <c r="C60" s="11"/>
      <c r="D60" s="6">
        <v>-92.63</v>
      </c>
      <c r="E60" s="2"/>
      <c r="F60" s="7">
        <f t="shared" si="18"/>
        <v>-2.2631454472247089E-3</v>
      </c>
      <c r="G60" s="2"/>
      <c r="H60" s="6">
        <v>256.36</v>
      </c>
      <c r="I60" s="2"/>
      <c r="J60" s="7">
        <f t="shared" si="19"/>
        <v>6.8019612020760361E-3</v>
      </c>
      <c r="K60" s="2"/>
      <c r="L60" s="6">
        <f t="shared" si="20"/>
        <v>-348.99</v>
      </c>
      <c r="M60" s="2"/>
      <c r="N60" s="7">
        <f t="shared" si="21"/>
        <v>-1.3613278202527694</v>
      </c>
      <c r="O60" s="11"/>
      <c r="P60" s="6">
        <v>493.74</v>
      </c>
      <c r="Q60" s="2"/>
      <c r="R60" s="7">
        <f t="shared" si="22"/>
        <v>2.5389209683586702E-3</v>
      </c>
      <c r="S60" s="2"/>
      <c r="T60" s="6">
        <v>596.65</v>
      </c>
      <c r="U60" s="2"/>
      <c r="V60" s="7">
        <f t="shared" si="23"/>
        <v>3.566018346421783E-3</v>
      </c>
      <c r="W60" s="2"/>
      <c r="X60" s="6">
        <f t="shared" si="24"/>
        <v>-102.90999999999997</v>
      </c>
      <c r="Y60" s="2"/>
      <c r="Z60" s="7">
        <f t="shared" si="25"/>
        <v>-0.17247967820330173</v>
      </c>
    </row>
    <row r="61" spans="1:26" s="24" customFormat="1" hidden="1" outlineLevel="2" x14ac:dyDescent="0.25">
      <c r="A61" s="26"/>
      <c r="B61" s="11" t="str">
        <f>CONCATENATE("          ", "6113", " - ", "GROUP INSURANCE")</f>
        <v xml:space="preserve">          6113 - GROUP INSURANCE</v>
      </c>
      <c r="C61" s="11"/>
      <c r="D61" s="6">
        <v>988.44</v>
      </c>
      <c r="E61" s="2"/>
      <c r="F61" s="7">
        <f t="shared" si="18"/>
        <v>2.4149665182498021E-2</v>
      </c>
      <c r="G61" s="2"/>
      <c r="H61" s="6">
        <v>1067.3599999999999</v>
      </c>
      <c r="I61" s="2"/>
      <c r="J61" s="7">
        <f t="shared" si="19"/>
        <v>2.8320101843688082E-2</v>
      </c>
      <c r="K61" s="2"/>
      <c r="L61" s="6">
        <f t="shared" si="20"/>
        <v>-78.919999999999845</v>
      </c>
      <c r="M61" s="2"/>
      <c r="N61" s="7">
        <f t="shared" si="21"/>
        <v>-7.3939439364412995E-2</v>
      </c>
      <c r="O61" s="11"/>
      <c r="P61" s="6">
        <v>2484.7199999999998</v>
      </c>
      <c r="Q61" s="2"/>
      <c r="R61" s="7">
        <f t="shared" si="22"/>
        <v>1.2776983247255952E-2</v>
      </c>
      <c r="S61" s="2"/>
      <c r="T61" s="6">
        <v>3824.99</v>
      </c>
      <c r="U61" s="2"/>
      <c r="V61" s="7">
        <f t="shared" si="23"/>
        <v>2.2860947816776764E-2</v>
      </c>
      <c r="W61" s="2"/>
      <c r="X61" s="6">
        <f t="shared" si="24"/>
        <v>-1340.27</v>
      </c>
      <c r="Y61" s="2"/>
      <c r="Z61" s="7">
        <f t="shared" si="25"/>
        <v>-0.35039830169490643</v>
      </c>
    </row>
    <row r="62" spans="1:26" s="24" customFormat="1" hidden="1" outlineLevel="2" x14ac:dyDescent="0.25">
      <c r="A62" s="26"/>
      <c r="B62" s="11" t="str">
        <f>CONCATENATE("          ", "6114", " - ", "STATE UNEMPLOYMENT INSURANCE")</f>
        <v xml:space="preserve">          6114 - STATE UNEMPLOYMENT INSURANCE</v>
      </c>
      <c r="C62" s="11"/>
      <c r="D62" s="6">
        <v>20.04</v>
      </c>
      <c r="E62" s="2"/>
      <c r="F62" s="7">
        <f t="shared" si="18"/>
        <v>4.8961928924088488E-4</v>
      </c>
      <c r="G62" s="2"/>
      <c r="H62" s="6">
        <v>31.55</v>
      </c>
      <c r="I62" s="2"/>
      <c r="J62" s="7">
        <f t="shared" si="19"/>
        <v>8.3711138994187445E-4</v>
      </c>
      <c r="K62" s="2"/>
      <c r="L62" s="6">
        <f t="shared" si="20"/>
        <v>-11.510000000000002</v>
      </c>
      <c r="M62" s="2"/>
      <c r="N62" s="7">
        <f t="shared" si="21"/>
        <v>-0.36481774960380353</v>
      </c>
      <c r="O62" s="11"/>
      <c r="P62" s="6">
        <v>100.27</v>
      </c>
      <c r="Q62" s="2"/>
      <c r="R62" s="7">
        <f t="shared" si="22"/>
        <v>5.1561065641293768E-4</v>
      </c>
      <c r="S62" s="2"/>
      <c r="T62" s="6">
        <v>130.36000000000001</v>
      </c>
      <c r="U62" s="2"/>
      <c r="V62" s="7">
        <f t="shared" si="23"/>
        <v>7.7912704540273811E-4</v>
      </c>
      <c r="W62" s="2"/>
      <c r="X62" s="6">
        <f t="shared" si="24"/>
        <v>-30.090000000000018</v>
      </c>
      <c r="Y62" s="2"/>
      <c r="Z62" s="7">
        <f t="shared" si="25"/>
        <v>-0.23082233814053402</v>
      </c>
    </row>
    <row r="63" spans="1:26" s="24" customFormat="1" hidden="1" outlineLevel="2" x14ac:dyDescent="0.25">
      <c r="A63" s="26"/>
      <c r="B63" s="11" t="str">
        <f>CONCATENATE("          ", "6115", " - ", "P.E.R.S.")</f>
        <v xml:space="preserve">          6115 - P.E.R.S.</v>
      </c>
      <c r="C63" s="11"/>
      <c r="D63" s="6">
        <v>167.64</v>
      </c>
      <c r="E63" s="2"/>
      <c r="F63" s="7">
        <f t="shared" si="18"/>
        <v>4.0957972878414147E-3</v>
      </c>
      <c r="G63" s="2"/>
      <c r="H63" s="6">
        <v>386.2</v>
      </c>
      <c r="I63" s="2"/>
      <c r="J63" s="7">
        <f t="shared" si="19"/>
        <v>1.0246986332664085E-2</v>
      </c>
      <c r="K63" s="2"/>
      <c r="L63" s="6">
        <f t="shared" si="20"/>
        <v>-218.56</v>
      </c>
      <c r="M63" s="2"/>
      <c r="N63" s="7">
        <f t="shared" si="21"/>
        <v>-0.56592439150699125</v>
      </c>
      <c r="O63" s="11"/>
      <c r="P63" s="6">
        <v>698.54</v>
      </c>
      <c r="Q63" s="2"/>
      <c r="R63" s="7">
        <f t="shared" si="22"/>
        <v>3.5920481493038141E-3</v>
      </c>
      <c r="S63" s="2"/>
      <c r="T63" s="6">
        <v>1102.71</v>
      </c>
      <c r="U63" s="2"/>
      <c r="V63" s="7">
        <f t="shared" si="23"/>
        <v>6.5906043589755549E-3</v>
      </c>
      <c r="W63" s="2"/>
      <c r="X63" s="6">
        <f t="shared" si="24"/>
        <v>-404.17000000000007</v>
      </c>
      <c r="Y63" s="2"/>
      <c r="Z63" s="7">
        <f t="shared" si="25"/>
        <v>-0.36652429015788379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6">
        <v>138.6</v>
      </c>
      <c r="E64" s="2"/>
      <c r="F64" s="7">
        <f t="shared" si="18"/>
        <v>3.3862890962468388E-3</v>
      </c>
      <c r="G64" s="2"/>
      <c r="H64" s="6">
        <v>274.38</v>
      </c>
      <c r="I64" s="2"/>
      <c r="J64" s="7">
        <f t="shared" si="19"/>
        <v>7.2800831433360216E-3</v>
      </c>
      <c r="K64" s="2"/>
      <c r="L64" s="6">
        <f t="shared" si="20"/>
        <v>-135.78</v>
      </c>
      <c r="M64" s="2"/>
      <c r="N64" s="7">
        <f t="shared" si="21"/>
        <v>-0.49486114148261534</v>
      </c>
      <c r="O64" s="11"/>
      <c r="P64" s="6">
        <v>618.75</v>
      </c>
      <c r="Q64" s="2"/>
      <c r="R64" s="7">
        <f t="shared" si="22"/>
        <v>3.1817502109853912E-3</v>
      </c>
      <c r="S64" s="2"/>
      <c r="T64" s="6">
        <v>1546.09</v>
      </c>
      <c r="U64" s="2"/>
      <c r="V64" s="7">
        <f t="shared" si="23"/>
        <v>9.2405686838502553E-3</v>
      </c>
      <c r="W64" s="2"/>
      <c r="X64" s="6">
        <f t="shared" si="24"/>
        <v>-927.33999999999992</v>
      </c>
      <c r="Y64" s="2"/>
      <c r="Z64" s="7">
        <f t="shared" si="25"/>
        <v>-0.59979690703645971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6">
        <v>166.05</v>
      </c>
      <c r="E65" s="2"/>
      <c r="F65" s="7">
        <f t="shared" si="18"/>
        <v>4.0569502484255962E-3</v>
      </c>
      <c r="G65" s="2"/>
      <c r="H65" s="6">
        <v>169.56</v>
      </c>
      <c r="I65" s="2"/>
      <c r="J65" s="7">
        <f t="shared" si="19"/>
        <v>4.4989098978936359E-3</v>
      </c>
      <c r="K65" s="2"/>
      <c r="L65" s="6">
        <f t="shared" si="20"/>
        <v>-3.5099999999999909</v>
      </c>
      <c r="M65" s="2"/>
      <c r="N65" s="7">
        <f t="shared" si="21"/>
        <v>-2.0700636942675106E-2</v>
      </c>
      <c r="O65" s="11"/>
      <c r="P65" s="6">
        <v>550.32000000000005</v>
      </c>
      <c r="Q65" s="2"/>
      <c r="R65" s="7">
        <f t="shared" si="22"/>
        <v>2.8298679209850194E-3</v>
      </c>
      <c r="S65" s="2"/>
      <c r="T65" s="6">
        <v>951.56</v>
      </c>
      <c r="U65" s="2"/>
      <c r="V65" s="7">
        <f t="shared" si="23"/>
        <v>5.6872210135273807E-3</v>
      </c>
      <c r="W65" s="2"/>
      <c r="X65" s="6">
        <f t="shared" si="24"/>
        <v>-401.2399999999999</v>
      </c>
      <c r="Y65" s="2"/>
      <c r="Z65" s="7">
        <f t="shared" si="25"/>
        <v>-0.42166547564000162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6">
        <v>340.16</v>
      </c>
      <c r="E66" s="2"/>
      <c r="F66" s="7">
        <f t="shared" si="18"/>
        <v>8.3108232249590533E-3</v>
      </c>
      <c r="G66" s="2"/>
      <c r="H66" s="6">
        <v>141.49</v>
      </c>
      <c r="I66" s="2"/>
      <c r="J66" s="7">
        <f t="shared" si="19"/>
        <v>3.7541328229120704E-3</v>
      </c>
      <c r="K66" s="2"/>
      <c r="L66" s="6">
        <f t="shared" si="20"/>
        <v>198.67000000000002</v>
      </c>
      <c r="M66" s="2"/>
      <c r="N66" s="7">
        <f t="shared" si="21"/>
        <v>1.4041275001766909</v>
      </c>
      <c r="O66" s="11"/>
      <c r="P66" s="6">
        <v>489.5</v>
      </c>
      <c r="Q66" s="2"/>
      <c r="R66" s="7">
        <f t="shared" si="22"/>
        <v>2.5171179446906652E-3</v>
      </c>
      <c r="S66" s="2"/>
      <c r="T66" s="6">
        <v>588.62</v>
      </c>
      <c r="U66" s="2"/>
      <c r="V66" s="7">
        <f t="shared" si="23"/>
        <v>3.5180251723301603E-3</v>
      </c>
      <c r="W66" s="2"/>
      <c r="X66" s="6">
        <f t="shared" si="24"/>
        <v>-99.12</v>
      </c>
      <c r="Y66" s="2"/>
      <c r="Z66" s="7">
        <f t="shared" si="25"/>
        <v>-0.16839387040875267</v>
      </c>
    </row>
    <row r="67" spans="1:26" s="27" customFormat="1" outlineLevel="1" collapsed="1" x14ac:dyDescent="0.25">
      <c r="A67" s="25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13152.26</v>
      </c>
      <c r="E67" s="1"/>
      <c r="F67" s="5">
        <f t="shared" ref="F67:F71" si="26">IF(D$12=0,0,D67/D$12)</f>
        <v>0.32133733498559486</v>
      </c>
      <c r="G67" s="1"/>
      <c r="H67" s="1">
        <f>SUM(OSRRefH22_1x_0)</f>
        <v>11948.369999999999</v>
      </c>
      <c r="I67" s="1"/>
      <c r="J67" s="5">
        <f t="shared" ref="J67:J71" si="27">IF(H$12=0,0,H67/H$12)</f>
        <v>0.31702429851790154</v>
      </c>
      <c r="K67" s="1"/>
      <c r="L67" s="1">
        <f t="shared" ref="L67:L71" si="28">+D67-H67</f>
        <v>1203.8900000000012</v>
      </c>
      <c r="M67" s="1"/>
      <c r="N67" s="5">
        <f t="shared" ref="N67:N71" si="29">IF(H67=0,0,L67/H67)</f>
        <v>0.10075767657010967</v>
      </c>
      <c r="O67" s="13"/>
      <c r="P67" s="1">
        <f>SUM(OSRRefP22_1x_0)</f>
        <v>44318.28</v>
      </c>
      <c r="Q67" s="1"/>
      <c r="R67" s="5">
        <f t="shared" ref="R67:R71" si="30">IF(P$12=0,0,P67/P$12)</f>
        <v>0.22789445937860145</v>
      </c>
      <c r="S67" s="1"/>
      <c r="T67" s="1">
        <f>SUM(OSRRefT22_1x_0)</f>
        <v>44380.070000000007</v>
      </c>
      <c r="U67" s="1"/>
      <c r="V67" s="5">
        <f t="shared" ref="V67:V71" si="31">IF(T$12=0,0,T67/T$12)</f>
        <v>0.26524787368722536</v>
      </c>
      <c r="W67" s="1"/>
      <c r="X67" s="1">
        <f t="shared" ref="X67:X71" si="32">+P67-T67</f>
        <v>-61.790000000008149</v>
      </c>
      <c r="Y67" s="1"/>
      <c r="Z67" s="5">
        <f t="shared" ref="Z67:Z71" si="33">IF(T67=0,0,X67/T67)</f>
        <v>-1.3922916300043722E-3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6">
        <v>3000</v>
      </c>
      <c r="E68" s="2"/>
      <c r="F68" s="7">
        <f t="shared" si="26"/>
        <v>7.3296300784563617E-2</v>
      </c>
      <c r="G68" s="2"/>
      <c r="H68" s="6">
        <v>2503.14</v>
      </c>
      <c r="I68" s="2"/>
      <c r="J68" s="7">
        <f t="shared" si="27"/>
        <v>6.6415435962570629E-2</v>
      </c>
      <c r="K68" s="2"/>
      <c r="L68" s="6">
        <f t="shared" si="28"/>
        <v>496.86000000000013</v>
      </c>
      <c r="M68" s="2"/>
      <c r="N68" s="7">
        <f t="shared" si="29"/>
        <v>0.19849469066852041</v>
      </c>
      <c r="O68" s="11"/>
      <c r="P68" s="6">
        <v>6861.9</v>
      </c>
      <c r="Q68" s="2"/>
      <c r="R68" s="7">
        <f t="shared" si="30"/>
        <v>3.528541700648187E-2</v>
      </c>
      <c r="S68" s="2"/>
      <c r="T68" s="6">
        <v>9461.6</v>
      </c>
      <c r="U68" s="2"/>
      <c r="V68" s="7">
        <f t="shared" si="31"/>
        <v>5.6549466498792167E-2</v>
      </c>
      <c r="W68" s="2"/>
      <c r="X68" s="6">
        <f t="shared" si="32"/>
        <v>-2599.7000000000007</v>
      </c>
      <c r="Y68" s="2"/>
      <c r="Z68" s="7">
        <f t="shared" si="33"/>
        <v>-0.27476325357233455</v>
      </c>
    </row>
    <row r="69" spans="1:26" s="24" customFormat="1" hidden="1" outlineLevel="2" x14ac:dyDescent="0.25">
      <c r="A69" s="26"/>
      <c r="B69" s="11" t="str">
        <f>CONCATENATE("          ", "6005", " - ", "TEMPORARY WAGES-HOURLY")</f>
        <v xml:space="preserve">          6005 - TEMPORARY WAGES-HOURLY</v>
      </c>
      <c r="C69" s="11"/>
      <c r="D69" s="6">
        <v>550.25</v>
      </c>
      <c r="E69" s="2"/>
      <c r="F69" s="7">
        <f t="shared" si="26"/>
        <v>1.3443763168902043E-2</v>
      </c>
      <c r="G69" s="2"/>
      <c r="H69" s="6">
        <v>2997.92</v>
      </c>
      <c r="I69" s="2"/>
      <c r="J69" s="7">
        <f t="shared" si="27"/>
        <v>7.954335905339284E-2</v>
      </c>
      <c r="K69" s="2"/>
      <c r="L69" s="6">
        <f t="shared" si="28"/>
        <v>-2447.67</v>
      </c>
      <c r="M69" s="2"/>
      <c r="N69" s="7">
        <f t="shared" si="29"/>
        <v>-0.81645607621284089</v>
      </c>
      <c r="O69" s="11"/>
      <c r="P69" s="6">
        <v>882.6</v>
      </c>
      <c r="Q69" s="2"/>
      <c r="R69" s="7">
        <f t="shared" si="30"/>
        <v>4.53852563428801E-3</v>
      </c>
      <c r="S69" s="2"/>
      <c r="T69" s="6">
        <v>8115.39</v>
      </c>
      <c r="U69" s="2"/>
      <c r="V69" s="7">
        <f t="shared" si="31"/>
        <v>4.8503527408644727E-2</v>
      </c>
      <c r="W69" s="2"/>
      <c r="X69" s="6">
        <f t="shared" si="32"/>
        <v>-7232.79</v>
      </c>
      <c r="Y69" s="2"/>
      <c r="Z69" s="7">
        <f t="shared" si="33"/>
        <v>-0.89124367405632998</v>
      </c>
    </row>
    <row r="70" spans="1:26" s="24" customFormat="1" hidden="1" outlineLevel="2" x14ac:dyDescent="0.25">
      <c r="A70" s="26"/>
      <c r="B70" s="11" t="str">
        <f>CONCATENATE("          ", "6006", " - ", "TEMPORARY PART TIME")</f>
        <v xml:space="preserve">          6006 - TEMPORARY PART TIME</v>
      </c>
      <c r="C70" s="11"/>
      <c r="D70" s="6"/>
      <c r="E70" s="2"/>
      <c r="F70" s="7">
        <f t="shared" si="26"/>
        <v>0</v>
      </c>
      <c r="G70" s="2"/>
      <c r="H70" s="6">
        <v>19.04</v>
      </c>
      <c r="I70" s="2"/>
      <c r="J70" s="7">
        <f t="shared" si="27"/>
        <v>5.0518544736904243E-4</v>
      </c>
      <c r="K70" s="2"/>
      <c r="L70" s="6">
        <f t="shared" si="28"/>
        <v>-19.04</v>
      </c>
      <c r="M70" s="2"/>
      <c r="N70" s="7">
        <f t="shared" si="29"/>
        <v>-1</v>
      </c>
      <c r="O70" s="11"/>
      <c r="P70" s="6"/>
      <c r="Q70" s="2"/>
      <c r="R70" s="7">
        <f t="shared" si="30"/>
        <v>0</v>
      </c>
      <c r="S70" s="2"/>
      <c r="T70" s="6">
        <v>2864.13</v>
      </c>
      <c r="U70" s="2"/>
      <c r="V70" s="7">
        <f t="shared" si="31"/>
        <v>1.7118143176966433E-2</v>
      </c>
      <c r="W70" s="2"/>
      <c r="X70" s="6">
        <f t="shared" si="32"/>
        <v>-2864.13</v>
      </c>
      <c r="Y70" s="2"/>
      <c r="Z70" s="7">
        <f t="shared" si="33"/>
        <v>-1</v>
      </c>
    </row>
    <row r="71" spans="1:26" s="24" customFormat="1" hidden="1" outlineLevel="2" x14ac:dyDescent="0.25">
      <c r="A71" s="26"/>
      <c r="B71" s="11" t="str">
        <f>CONCATENATE("          ", "6007", " - ", "STUDENT HOURLY")</f>
        <v xml:space="preserve">          6007 - STUDENT HOURLY</v>
      </c>
      <c r="C71" s="11"/>
      <c r="D71" s="6">
        <v>9602.01</v>
      </c>
      <c r="E71" s="2"/>
      <c r="F71" s="7">
        <f t="shared" si="26"/>
        <v>0.23459727103212921</v>
      </c>
      <c r="G71" s="2"/>
      <c r="H71" s="6">
        <v>6428.27</v>
      </c>
      <c r="I71" s="2"/>
      <c r="J71" s="7">
        <f t="shared" si="27"/>
        <v>0.17056031805456903</v>
      </c>
      <c r="K71" s="2"/>
      <c r="L71" s="6">
        <f t="shared" si="28"/>
        <v>3173.74</v>
      </c>
      <c r="M71" s="2"/>
      <c r="N71" s="7">
        <f t="shared" si="29"/>
        <v>0.4937160386853694</v>
      </c>
      <c r="O71" s="11"/>
      <c r="P71" s="6">
        <v>36573.78</v>
      </c>
      <c r="Q71" s="2"/>
      <c r="R71" s="7">
        <f t="shared" si="30"/>
        <v>0.18807051673783157</v>
      </c>
      <c r="S71" s="2"/>
      <c r="T71" s="6">
        <v>23938.95</v>
      </c>
      <c r="U71" s="2"/>
      <c r="V71" s="7">
        <f t="shared" si="31"/>
        <v>0.143076736602822</v>
      </c>
      <c r="W71" s="2"/>
      <c r="X71" s="6">
        <f t="shared" si="32"/>
        <v>12634.829999999998</v>
      </c>
      <c r="Y71" s="2"/>
      <c r="Z71" s="7">
        <f t="shared" si="33"/>
        <v>0.52779382554372678</v>
      </c>
    </row>
    <row r="72" spans="1:26" s="27" customFormat="1" outlineLevel="1" collapsed="1" x14ac:dyDescent="0.25">
      <c r="A72" s="25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336.34</v>
      </c>
      <c r="E72" s="1"/>
      <c r="F72" s="5">
        <f t="shared" ref="F72:F96" si="34">IF(D$12=0,0,D72/D$12)</f>
        <v>8.2174926019600407E-3</v>
      </c>
      <c r="G72" s="1"/>
      <c r="H72" s="1">
        <f>SUM(OSRRefH22_2x_0)</f>
        <v>480.28</v>
      </c>
      <c r="I72" s="1"/>
      <c r="J72" s="5">
        <f t="shared" ref="J72:J96" si="35">IF(H$12=0,0,H72/H$12)</f>
        <v>1.2743196778487589E-2</v>
      </c>
      <c r="K72" s="1"/>
      <c r="L72" s="1">
        <f t="shared" ref="L72:L96" si="36">+D72-H72</f>
        <v>-143.94</v>
      </c>
      <c r="M72" s="1"/>
      <c r="N72" s="5">
        <f t="shared" ref="N72:N96" si="37">IF(H72=0,0,L72/H72)</f>
        <v>-0.29970017489797618</v>
      </c>
      <c r="O72" s="13"/>
      <c r="P72" s="1">
        <f>SUM(OSRRefP22_2x_0)</f>
        <v>1257.73</v>
      </c>
      <c r="Q72" s="1"/>
      <c r="R72" s="5">
        <f t="shared" ref="R72:R96" si="38">IF(P$12=0,0,P72/P$12)</f>
        <v>6.4675275844244947E-3</v>
      </c>
      <c r="S72" s="1"/>
      <c r="T72" s="1">
        <f>SUM(OSRRefT22_2x_0)</f>
        <v>1513.99</v>
      </c>
      <c r="U72" s="1"/>
      <c r="V72" s="5">
        <f t="shared" ref="V72:V96" si="39">IF(T$12=0,0,T72/T$12)</f>
        <v>9.0487155221639411E-3</v>
      </c>
      <c r="W72" s="1"/>
      <c r="X72" s="1">
        <f t="shared" ref="X72:X96" si="40">+P72-T72</f>
        <v>-256.26</v>
      </c>
      <c r="Y72" s="1"/>
      <c r="Z72" s="5">
        <f t="shared" ref="Z72:Z96" si="41">IF(T72=0,0,X72/T72)</f>
        <v>-0.16926135575532203</v>
      </c>
    </row>
    <row r="73" spans="1:26" s="24" customFormat="1" hidden="1" outlineLevel="2" x14ac:dyDescent="0.25">
      <c r="A73" s="26"/>
      <c r="B73" s="11" t="str">
        <f>CONCATENATE("          ", "6362", " - ", "ADVERTISING EXPENSE")</f>
        <v xml:space="preserve">          6362 - ADVERTISING EXPENSE</v>
      </c>
      <c r="C73" s="11"/>
      <c r="D73" s="6">
        <v>336.34</v>
      </c>
      <c r="E73" s="2"/>
      <c r="F73" s="7">
        <f t="shared" si="34"/>
        <v>8.2174926019600407E-3</v>
      </c>
      <c r="G73" s="2"/>
      <c r="H73" s="6">
        <v>480.28</v>
      </c>
      <c r="I73" s="2"/>
      <c r="J73" s="7">
        <f t="shared" si="35"/>
        <v>1.2743196778487589E-2</v>
      </c>
      <c r="K73" s="2"/>
      <c r="L73" s="6">
        <f t="shared" si="36"/>
        <v>-143.94</v>
      </c>
      <c r="M73" s="2"/>
      <c r="N73" s="7">
        <f t="shared" si="37"/>
        <v>-0.29970017489797618</v>
      </c>
      <c r="O73" s="11"/>
      <c r="P73" s="6">
        <v>1257.73</v>
      </c>
      <c r="Q73" s="2"/>
      <c r="R73" s="7">
        <f t="shared" si="38"/>
        <v>6.4675275844244947E-3</v>
      </c>
      <c r="S73" s="2"/>
      <c r="T73" s="6">
        <v>1513.99</v>
      </c>
      <c r="U73" s="2"/>
      <c r="V73" s="7">
        <f t="shared" si="39"/>
        <v>9.0487155221639411E-3</v>
      </c>
      <c r="W73" s="2"/>
      <c r="X73" s="6">
        <f t="shared" si="40"/>
        <v>-256.26</v>
      </c>
      <c r="Y73" s="2"/>
      <c r="Z73" s="7">
        <f t="shared" si="41"/>
        <v>-0.16926135575532203</v>
      </c>
    </row>
    <row r="74" spans="1:26" s="27" customFormat="1" outlineLevel="1" collapsed="1" x14ac:dyDescent="0.25">
      <c r="A74" s="25"/>
      <c r="B74" s="13" t="str">
        <f>CONCATENATE("     ","Bad Debts/Over/Short                              ")</f>
        <v xml:space="preserve">     Bad Debts/Over/Short                              </v>
      </c>
      <c r="C74" s="13"/>
      <c r="D74" s="1">
        <f>SUM(OSRRefD22_3x_0)</f>
        <v>-6.68</v>
      </c>
      <c r="E74" s="1"/>
      <c r="F74" s="5">
        <f t="shared" si="34"/>
        <v>-1.6320642974696164E-4</v>
      </c>
      <c r="G74" s="1"/>
      <c r="H74" s="1">
        <f>SUM(OSRRefH22_3x_0)</f>
        <v>-0.61</v>
      </c>
      <c r="I74" s="1"/>
      <c r="J74" s="5">
        <f t="shared" si="35"/>
        <v>-1.6185037967180454E-5</v>
      </c>
      <c r="K74" s="1"/>
      <c r="L74" s="1">
        <f t="shared" si="36"/>
        <v>-6.0699999999999994</v>
      </c>
      <c r="M74" s="1"/>
      <c r="N74" s="5">
        <f t="shared" si="37"/>
        <v>9.9508196721311464</v>
      </c>
      <c r="O74" s="13"/>
      <c r="P74" s="1">
        <f>SUM(OSRRefP22_3x_0)</f>
        <v>23.03</v>
      </c>
      <c r="Q74" s="1"/>
      <c r="R74" s="5">
        <f t="shared" si="38"/>
        <v>1.1842538563069667E-4</v>
      </c>
      <c r="S74" s="1"/>
      <c r="T74" s="1">
        <f>SUM(OSRRefT22_3x_0)</f>
        <v>99.86</v>
      </c>
      <c r="U74" s="1"/>
      <c r="V74" s="5">
        <f t="shared" si="39"/>
        <v>5.9683665813069523E-4</v>
      </c>
      <c r="W74" s="1"/>
      <c r="X74" s="1">
        <f t="shared" si="40"/>
        <v>-76.83</v>
      </c>
      <c r="Y74" s="1"/>
      <c r="Z74" s="5">
        <f t="shared" si="41"/>
        <v>-0.76937712797917079</v>
      </c>
    </row>
    <row r="75" spans="1:26" s="24" customFormat="1" hidden="1" outlineLevel="2" x14ac:dyDescent="0.25">
      <c r="A75" s="26"/>
      <c r="B75" s="11" t="str">
        <f>CONCATENATE("          ", "6272", " - ", "CASH (OVER/SHORT)")</f>
        <v xml:space="preserve">          6272 - CASH (OVER/SHORT)</v>
      </c>
      <c r="C75" s="11"/>
      <c r="D75" s="6">
        <v>-6.68</v>
      </c>
      <c r="E75" s="2"/>
      <c r="F75" s="7">
        <f t="shared" si="34"/>
        <v>-1.6320642974696164E-4</v>
      </c>
      <c r="G75" s="2"/>
      <c r="H75" s="6">
        <v>-0.61</v>
      </c>
      <c r="I75" s="2"/>
      <c r="J75" s="7">
        <f t="shared" si="35"/>
        <v>-1.6185037967180454E-5</v>
      </c>
      <c r="K75" s="2"/>
      <c r="L75" s="6">
        <f t="shared" si="36"/>
        <v>-6.0699999999999994</v>
      </c>
      <c r="M75" s="2"/>
      <c r="N75" s="7">
        <f t="shared" si="37"/>
        <v>9.9508196721311464</v>
      </c>
      <c r="O75" s="11"/>
      <c r="P75" s="6">
        <v>23.03</v>
      </c>
      <c r="Q75" s="2"/>
      <c r="R75" s="7">
        <f t="shared" si="38"/>
        <v>1.1842538563069667E-4</v>
      </c>
      <c r="S75" s="2"/>
      <c r="T75" s="6">
        <v>99.86</v>
      </c>
      <c r="U75" s="2"/>
      <c r="V75" s="7">
        <f t="shared" si="39"/>
        <v>5.9683665813069523E-4</v>
      </c>
      <c r="W75" s="2"/>
      <c r="X75" s="6">
        <f t="shared" si="40"/>
        <v>-76.83</v>
      </c>
      <c r="Y75" s="2"/>
      <c r="Z75" s="7">
        <f t="shared" si="41"/>
        <v>-0.76937712797917079</v>
      </c>
    </row>
    <row r="76" spans="1:26" s="27" customFormat="1" outlineLevel="1" collapsed="1" x14ac:dyDescent="0.25">
      <c r="A76" s="25"/>
      <c r="B76" s="13" t="str">
        <f>CONCATENATE("     ","Bank/card Fees                                    ")</f>
        <v xml:space="preserve">     Bank/card Fees                                    </v>
      </c>
      <c r="C76" s="13"/>
      <c r="D76" s="1">
        <f>SUM(OSRRefD22_4x_0)</f>
        <v>566.46</v>
      </c>
      <c r="E76" s="1"/>
      <c r="F76" s="5">
        <f t="shared" si="34"/>
        <v>1.3839807514141302E-2</v>
      </c>
      <c r="G76" s="1"/>
      <c r="H76" s="1">
        <f>SUM(OSRRefH22_4x_0)</f>
        <v>463.96</v>
      </c>
      <c r="I76" s="1"/>
      <c r="J76" s="5">
        <f t="shared" si="35"/>
        <v>1.2310180680742695E-2</v>
      </c>
      <c r="K76" s="1"/>
      <c r="L76" s="1">
        <f t="shared" si="36"/>
        <v>102.50000000000006</v>
      </c>
      <c r="M76" s="1"/>
      <c r="N76" s="5">
        <f t="shared" si="37"/>
        <v>0.22092421760496608</v>
      </c>
      <c r="O76" s="13"/>
      <c r="P76" s="1">
        <f>SUM(OSRRefP22_4x_0)</f>
        <v>2589.2399999999998</v>
      </c>
      <c r="Q76" s="1"/>
      <c r="R76" s="5">
        <f t="shared" si="38"/>
        <v>1.3314448349562528E-2</v>
      </c>
      <c r="S76" s="1"/>
      <c r="T76" s="1">
        <f>SUM(OSRRefT22_4x_0)</f>
        <v>2360.83</v>
      </c>
      <c r="U76" s="1"/>
      <c r="V76" s="5">
        <f t="shared" si="39"/>
        <v>1.4110052950277278E-2</v>
      </c>
      <c r="W76" s="1"/>
      <c r="X76" s="1">
        <f t="shared" si="40"/>
        <v>228.40999999999985</v>
      </c>
      <c r="Y76" s="1"/>
      <c r="Z76" s="5">
        <f t="shared" si="41"/>
        <v>9.6749871867097534E-2</v>
      </c>
    </row>
    <row r="77" spans="1:26" s="24" customFormat="1" hidden="1" outlineLevel="2" x14ac:dyDescent="0.25">
      <c r="A77" s="26"/>
      <c r="B77" s="11" t="str">
        <f>CONCATENATE("          ", "6381", " - ", "BANK/CREDIT CARD FEES")</f>
        <v xml:space="preserve">          6381 - BANK/CREDIT CARD FEES</v>
      </c>
      <c r="C77" s="11"/>
      <c r="D77" s="6">
        <v>566.46</v>
      </c>
      <c r="E77" s="2"/>
      <c r="F77" s="7">
        <f t="shared" si="34"/>
        <v>1.3839807514141302E-2</v>
      </c>
      <c r="G77" s="2"/>
      <c r="H77" s="6">
        <v>463.96</v>
      </c>
      <c r="I77" s="2"/>
      <c r="J77" s="7">
        <f t="shared" si="35"/>
        <v>1.2310180680742695E-2</v>
      </c>
      <c r="K77" s="2"/>
      <c r="L77" s="6">
        <f t="shared" si="36"/>
        <v>102.50000000000006</v>
      </c>
      <c r="M77" s="2"/>
      <c r="N77" s="7">
        <f t="shared" si="37"/>
        <v>0.22092421760496608</v>
      </c>
      <c r="O77" s="11"/>
      <c r="P77" s="6">
        <v>2589.2399999999998</v>
      </c>
      <c r="Q77" s="2"/>
      <c r="R77" s="7">
        <f t="shared" si="38"/>
        <v>1.3314448349562528E-2</v>
      </c>
      <c r="S77" s="2"/>
      <c r="T77" s="6">
        <v>2360.83</v>
      </c>
      <c r="U77" s="2"/>
      <c r="V77" s="7">
        <f t="shared" si="39"/>
        <v>1.4110052950277278E-2</v>
      </c>
      <c r="W77" s="2"/>
      <c r="X77" s="6">
        <f t="shared" si="40"/>
        <v>228.40999999999985</v>
      </c>
      <c r="Y77" s="2"/>
      <c r="Z77" s="7">
        <f t="shared" si="41"/>
        <v>9.6749871867097534E-2</v>
      </c>
    </row>
    <row r="78" spans="1:26" s="27" customFormat="1" outlineLevel="1" collapsed="1" x14ac:dyDescent="0.25">
      <c r="A78" s="25"/>
      <c r="B78" s="13" t="str">
        <f>CONCATENATE("     ","Discounts and Markdowns                           ")</f>
        <v xml:space="preserve">     Discounts and Markdowns                           </v>
      </c>
      <c r="C78" s="13"/>
      <c r="D78" s="1">
        <f>SUM(OSRRefD22_5x_0)</f>
        <v>5568.47</v>
      </c>
      <c r="E78" s="1"/>
      <c r="F78" s="5">
        <f t="shared" si="34"/>
        <v>0.136049417343273</v>
      </c>
      <c r="G78" s="1"/>
      <c r="H78" s="1">
        <f>SUM(OSRRefH22_5x_0)</f>
        <v>3680.05</v>
      </c>
      <c r="I78" s="1"/>
      <c r="J78" s="5">
        <f t="shared" si="35"/>
        <v>9.7642211428069572E-2</v>
      </c>
      <c r="K78" s="1"/>
      <c r="L78" s="1">
        <f t="shared" si="36"/>
        <v>1888.42</v>
      </c>
      <c r="M78" s="1"/>
      <c r="N78" s="5">
        <f t="shared" si="37"/>
        <v>0.51315063654026438</v>
      </c>
      <c r="O78" s="13"/>
      <c r="P78" s="1">
        <f>SUM(OSRRefP22_5x_0)</f>
        <v>28224.83</v>
      </c>
      <c r="Q78" s="1"/>
      <c r="R78" s="5">
        <f t="shared" si="38"/>
        <v>0.14513835766873018</v>
      </c>
      <c r="S78" s="1"/>
      <c r="T78" s="1">
        <f>SUM(OSRRefT22_5x_0)</f>
        <v>14203.37</v>
      </c>
      <c r="U78" s="1"/>
      <c r="V78" s="5">
        <f t="shared" si="39"/>
        <v>8.4889764520266101E-2</v>
      </c>
      <c r="W78" s="1"/>
      <c r="X78" s="1">
        <f t="shared" si="40"/>
        <v>14021.460000000001</v>
      </c>
      <c r="Y78" s="1"/>
      <c r="Z78" s="5">
        <f t="shared" si="41"/>
        <v>0.98719247615178651</v>
      </c>
    </row>
    <row r="79" spans="1:26" s="24" customFormat="1" hidden="1" outlineLevel="2" x14ac:dyDescent="0.25">
      <c r="A79" s="26"/>
      <c r="B79" s="11" t="str">
        <f>CONCATENATE("          ", "6382", " - ", "DISCOUNTS/MARK DOWNS")</f>
        <v xml:space="preserve">          6382 - DISCOUNTS/MARK DOWNS</v>
      </c>
      <c r="C79" s="11"/>
      <c r="D79" s="6">
        <v>5568.47</v>
      </c>
      <c r="E79" s="2"/>
      <c r="F79" s="7">
        <f t="shared" si="34"/>
        <v>0.136049417343273</v>
      </c>
      <c r="G79" s="2"/>
      <c r="H79" s="6">
        <v>3680.05</v>
      </c>
      <c r="I79" s="2"/>
      <c r="J79" s="7">
        <f t="shared" si="35"/>
        <v>9.7642211428069572E-2</v>
      </c>
      <c r="K79" s="2"/>
      <c r="L79" s="6">
        <f t="shared" si="36"/>
        <v>1888.42</v>
      </c>
      <c r="M79" s="2"/>
      <c r="N79" s="7">
        <f t="shared" si="37"/>
        <v>0.51315063654026438</v>
      </c>
      <c r="O79" s="11"/>
      <c r="P79" s="6">
        <v>28224.83</v>
      </c>
      <c r="Q79" s="2"/>
      <c r="R79" s="7">
        <f t="shared" si="38"/>
        <v>0.14513835766873018</v>
      </c>
      <c r="S79" s="2"/>
      <c r="T79" s="6">
        <v>14203.37</v>
      </c>
      <c r="U79" s="2"/>
      <c r="V79" s="7">
        <f t="shared" si="39"/>
        <v>8.4889764520266101E-2</v>
      </c>
      <c r="W79" s="2"/>
      <c r="X79" s="6">
        <f t="shared" si="40"/>
        <v>14021.460000000001</v>
      </c>
      <c r="Y79" s="2"/>
      <c r="Z79" s="7">
        <f t="shared" si="41"/>
        <v>0.98719247615178651</v>
      </c>
    </row>
    <row r="80" spans="1:26" s="27" customFormat="1" outlineLevel="1" collapsed="1" x14ac:dyDescent="0.25">
      <c r="A80" s="25"/>
      <c r="B80" s="13" t="str">
        <f>CONCATENATE("     ","Donations                                         ")</f>
        <v xml:space="preserve">     Donations                                         </v>
      </c>
      <c r="C80" s="13"/>
      <c r="D80" s="1">
        <f>SUM(OSRRefD22_6x_0)</f>
        <v>0</v>
      </c>
      <c r="E80" s="1"/>
      <c r="F80" s="5">
        <f t="shared" si="34"/>
        <v>0</v>
      </c>
      <c r="G80" s="1"/>
      <c r="H80" s="1">
        <f>SUM(OSRRefH22_6x_0)</f>
        <v>24.88</v>
      </c>
      <c r="I80" s="1"/>
      <c r="J80" s="5">
        <f t="shared" si="35"/>
        <v>6.6013728626795041E-4</v>
      </c>
      <c r="K80" s="1"/>
      <c r="L80" s="1">
        <f t="shared" si="36"/>
        <v>-24.88</v>
      </c>
      <c r="M80" s="1"/>
      <c r="N80" s="5">
        <f t="shared" si="37"/>
        <v>-1</v>
      </c>
      <c r="O80" s="13"/>
      <c r="P80" s="1">
        <f>SUM(OSRRefP22_6x_0)</f>
        <v>0</v>
      </c>
      <c r="Q80" s="1"/>
      <c r="R80" s="5">
        <f t="shared" si="38"/>
        <v>0</v>
      </c>
      <c r="S80" s="1"/>
      <c r="T80" s="1">
        <f>SUM(OSRRefT22_6x_0)</f>
        <v>124.88</v>
      </c>
      <c r="U80" s="1"/>
      <c r="V80" s="5">
        <f t="shared" si="39"/>
        <v>7.4637454303385948E-4</v>
      </c>
      <c r="W80" s="1"/>
      <c r="X80" s="1">
        <f t="shared" si="40"/>
        <v>-124.88</v>
      </c>
      <c r="Y80" s="1"/>
      <c r="Z80" s="5">
        <f t="shared" si="41"/>
        <v>-1</v>
      </c>
    </row>
    <row r="81" spans="1:26" s="24" customFormat="1" hidden="1" outlineLevel="2" x14ac:dyDescent="0.25">
      <c r="A81" s="26"/>
      <c r="B81" s="11" t="str">
        <f>CONCATENATE("          ", "6399", " - ", "DONATION-ON CAMPUS")</f>
        <v xml:space="preserve">          6399 - DONATION-ON CAMPUS</v>
      </c>
      <c r="C81" s="11"/>
      <c r="D81" s="6"/>
      <c r="E81" s="2"/>
      <c r="F81" s="7">
        <f t="shared" si="34"/>
        <v>0</v>
      </c>
      <c r="G81" s="2"/>
      <c r="H81" s="6">
        <v>24.88</v>
      </c>
      <c r="I81" s="2"/>
      <c r="J81" s="7">
        <f t="shared" si="35"/>
        <v>6.6013728626795041E-4</v>
      </c>
      <c r="K81" s="2"/>
      <c r="L81" s="6">
        <f t="shared" si="36"/>
        <v>-24.88</v>
      </c>
      <c r="M81" s="2"/>
      <c r="N81" s="7">
        <f t="shared" si="37"/>
        <v>-1</v>
      </c>
      <c r="O81" s="11"/>
      <c r="P81" s="6"/>
      <c r="Q81" s="2"/>
      <c r="R81" s="7">
        <f t="shared" si="38"/>
        <v>0</v>
      </c>
      <c r="S81" s="2"/>
      <c r="T81" s="6">
        <v>124.88</v>
      </c>
      <c r="U81" s="2"/>
      <c r="V81" s="7">
        <f t="shared" si="39"/>
        <v>7.4637454303385948E-4</v>
      </c>
      <c r="W81" s="2"/>
      <c r="X81" s="6">
        <f t="shared" si="40"/>
        <v>-124.88</v>
      </c>
      <c r="Y81" s="2"/>
      <c r="Z81" s="7">
        <f t="shared" si="41"/>
        <v>-1</v>
      </c>
    </row>
    <row r="82" spans="1:26" s="27" customFormat="1" outlineLevel="1" collapsed="1" x14ac:dyDescent="0.25">
      <c r="A82" s="25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SUM(OSRRefD22_7x_0)</f>
        <v>0</v>
      </c>
      <c r="E82" s="1"/>
      <c r="F82" s="5">
        <f t="shared" si="34"/>
        <v>0</v>
      </c>
      <c r="G82" s="1"/>
      <c r="H82" s="1">
        <f>SUM(OSRRefH22_7x_0)</f>
        <v>0</v>
      </c>
      <c r="I82" s="1"/>
      <c r="J82" s="5">
        <f t="shared" si="35"/>
        <v>0</v>
      </c>
      <c r="K82" s="1"/>
      <c r="L82" s="1">
        <f t="shared" si="36"/>
        <v>0</v>
      </c>
      <c r="M82" s="1"/>
      <c r="N82" s="5">
        <f t="shared" si="37"/>
        <v>0</v>
      </c>
      <c r="O82" s="13"/>
      <c r="P82" s="1">
        <f>SUM(OSRRefP22_7x_0)</f>
        <v>120.93</v>
      </c>
      <c r="Q82" s="1"/>
      <c r="R82" s="5">
        <f t="shared" si="38"/>
        <v>6.2184897456882976E-4</v>
      </c>
      <c r="S82" s="1"/>
      <c r="T82" s="1">
        <f>SUM(OSRRefT22_7x_0)</f>
        <v>75.53</v>
      </c>
      <c r="U82" s="1"/>
      <c r="V82" s="5">
        <f t="shared" si="39"/>
        <v>4.5142271969368522E-4</v>
      </c>
      <c r="W82" s="1"/>
      <c r="X82" s="1">
        <f t="shared" si="40"/>
        <v>45.400000000000006</v>
      </c>
      <c r="Y82" s="1"/>
      <c r="Z82" s="5">
        <f t="shared" si="41"/>
        <v>0.60108566132662522</v>
      </c>
    </row>
    <row r="83" spans="1:26" s="24" customFormat="1" hidden="1" outlineLevel="2" x14ac:dyDescent="0.25">
      <c r="A83" s="26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4"/>
        <v>0</v>
      </c>
      <c r="G83" s="2"/>
      <c r="H83" s="6"/>
      <c r="I83" s="2"/>
      <c r="J83" s="7">
        <f t="shared" si="35"/>
        <v>0</v>
      </c>
      <c r="K83" s="2"/>
      <c r="L83" s="6">
        <f t="shared" si="36"/>
        <v>0</v>
      </c>
      <c r="M83" s="2"/>
      <c r="N83" s="7">
        <f t="shared" si="37"/>
        <v>0</v>
      </c>
      <c r="O83" s="11"/>
      <c r="P83" s="6">
        <v>120.93</v>
      </c>
      <c r="Q83" s="2"/>
      <c r="R83" s="7">
        <f t="shared" si="38"/>
        <v>6.2184897456882976E-4</v>
      </c>
      <c r="S83" s="2"/>
      <c r="T83" s="6">
        <v>75.53</v>
      </c>
      <c r="U83" s="2"/>
      <c r="V83" s="7">
        <f t="shared" si="39"/>
        <v>4.5142271969368522E-4</v>
      </c>
      <c r="W83" s="2"/>
      <c r="X83" s="6">
        <f t="shared" si="40"/>
        <v>45.400000000000006</v>
      </c>
      <c r="Y83" s="2"/>
      <c r="Z83" s="7">
        <f t="shared" si="41"/>
        <v>0.60108566132662522</v>
      </c>
    </row>
    <row r="84" spans="1:26" s="27" customFormat="1" outlineLevel="1" collapsed="1" x14ac:dyDescent="0.25">
      <c r="A84" s="25"/>
      <c r="B84" s="13" t="str">
        <f>CONCATENATE("     ","General                                           ")</f>
        <v xml:space="preserve">     General                                           </v>
      </c>
      <c r="C84" s="13"/>
      <c r="D84" s="1">
        <f>SUM(OSRRefD22_8x_0)</f>
        <v>0</v>
      </c>
      <c r="E84" s="1"/>
      <c r="F84" s="5">
        <f t="shared" si="34"/>
        <v>0</v>
      </c>
      <c r="G84" s="1"/>
      <c r="H84" s="1">
        <f>SUM(OSRRefH22_8x_0)</f>
        <v>0</v>
      </c>
      <c r="I84" s="1"/>
      <c r="J84" s="5">
        <f t="shared" si="35"/>
        <v>0</v>
      </c>
      <c r="K84" s="1"/>
      <c r="L84" s="1">
        <f t="shared" si="36"/>
        <v>0</v>
      </c>
      <c r="M84" s="1"/>
      <c r="N84" s="5">
        <f t="shared" si="37"/>
        <v>0</v>
      </c>
      <c r="O84" s="13"/>
      <c r="P84" s="1">
        <f>SUM(OSRRefP22_8x_0)</f>
        <v>0</v>
      </c>
      <c r="Q84" s="1"/>
      <c r="R84" s="5">
        <f t="shared" si="38"/>
        <v>0</v>
      </c>
      <c r="S84" s="1"/>
      <c r="T84" s="1">
        <f>SUM(OSRRefT22_8x_0)</f>
        <v>120</v>
      </c>
      <c r="U84" s="1"/>
      <c r="V84" s="5">
        <f t="shared" si="39"/>
        <v>7.1720808107033273E-4</v>
      </c>
      <c r="W84" s="1"/>
      <c r="X84" s="1">
        <f t="shared" si="40"/>
        <v>-120</v>
      </c>
      <c r="Y84" s="1"/>
      <c r="Z84" s="5">
        <f t="shared" si="41"/>
        <v>-1</v>
      </c>
    </row>
    <row r="85" spans="1:26" s="24" customFormat="1" hidden="1" outlineLevel="2" x14ac:dyDescent="0.25">
      <c r="A85" s="26"/>
      <c r="B85" s="11" t="str">
        <f>CONCATENATE("          ", "6279", " - ", "GENERAL EXPENSE")</f>
        <v xml:space="preserve">          6279 - GENERAL EXPENSE</v>
      </c>
      <c r="C85" s="11"/>
      <c r="D85" s="6"/>
      <c r="E85" s="2"/>
      <c r="F85" s="7">
        <f t="shared" si="34"/>
        <v>0</v>
      </c>
      <c r="G85" s="2"/>
      <c r="H85" s="6"/>
      <c r="I85" s="2"/>
      <c r="J85" s="7">
        <f t="shared" si="35"/>
        <v>0</v>
      </c>
      <c r="K85" s="2"/>
      <c r="L85" s="6">
        <f t="shared" si="36"/>
        <v>0</v>
      </c>
      <c r="M85" s="2"/>
      <c r="N85" s="7">
        <f t="shared" si="37"/>
        <v>0</v>
      </c>
      <c r="O85" s="11"/>
      <c r="P85" s="6"/>
      <c r="Q85" s="2"/>
      <c r="R85" s="7">
        <f t="shared" si="38"/>
        <v>0</v>
      </c>
      <c r="S85" s="2"/>
      <c r="T85" s="6">
        <v>120</v>
      </c>
      <c r="U85" s="2"/>
      <c r="V85" s="7">
        <f t="shared" si="39"/>
        <v>7.1720808107033273E-4</v>
      </c>
      <c r="W85" s="2"/>
      <c r="X85" s="6">
        <f t="shared" si="40"/>
        <v>-120</v>
      </c>
      <c r="Y85" s="2"/>
      <c r="Z85" s="7">
        <f t="shared" si="41"/>
        <v>-1</v>
      </c>
    </row>
    <row r="86" spans="1:26" s="27" customFormat="1" outlineLevel="1" collapsed="1" x14ac:dyDescent="0.25">
      <c r="A86" s="25"/>
      <c r="B86" s="13" t="str">
        <f>CONCATENATE("     ","Insurance                                         ")</f>
        <v xml:space="preserve">     Insurance                                         </v>
      </c>
      <c r="C86" s="13"/>
      <c r="D86" s="1">
        <f>SUM(OSRRefD22_9x_0)</f>
        <v>161.18</v>
      </c>
      <c r="E86" s="1"/>
      <c r="F86" s="5">
        <f t="shared" si="34"/>
        <v>3.9379659201519875E-3</v>
      </c>
      <c r="G86" s="1"/>
      <c r="H86" s="1">
        <f>SUM(OSRRefH22_9x_0)</f>
        <v>151.85</v>
      </c>
      <c r="I86" s="1"/>
      <c r="J86" s="5">
        <f t="shared" si="35"/>
        <v>4.0290131398628727E-3</v>
      </c>
      <c r="K86" s="1"/>
      <c r="L86" s="1">
        <f t="shared" si="36"/>
        <v>9.3300000000000125</v>
      </c>
      <c r="M86" s="1"/>
      <c r="N86" s="5">
        <f t="shared" si="37"/>
        <v>6.1442212709911181E-2</v>
      </c>
      <c r="O86" s="13"/>
      <c r="P86" s="1">
        <f>SUM(OSRRefP22_9x_0)</f>
        <v>644.72</v>
      </c>
      <c r="Q86" s="1"/>
      <c r="R86" s="5">
        <f t="shared" si="38"/>
        <v>3.3152937309519218E-3</v>
      </c>
      <c r="S86" s="1"/>
      <c r="T86" s="1">
        <f>SUM(OSRRefT22_9x_0)</f>
        <v>607.4</v>
      </c>
      <c r="U86" s="1"/>
      <c r="V86" s="5">
        <f t="shared" si="39"/>
        <v>3.6302682370176671E-3</v>
      </c>
      <c r="W86" s="1"/>
      <c r="X86" s="1">
        <f t="shared" si="40"/>
        <v>37.32000000000005</v>
      </c>
      <c r="Y86" s="1"/>
      <c r="Z86" s="5">
        <f t="shared" si="41"/>
        <v>6.1442212709911181E-2</v>
      </c>
    </row>
    <row r="87" spans="1:26" s="24" customFormat="1" hidden="1" outlineLevel="2" x14ac:dyDescent="0.25">
      <c r="A87" s="26"/>
      <c r="B87" s="11" t="str">
        <f>CONCATENATE("          ", "6314", " - ", "LIABILITY INSURANCE")</f>
        <v xml:space="preserve">          6314 - LIABILITY INSURANCE</v>
      </c>
      <c r="C87" s="11"/>
      <c r="D87" s="6">
        <v>161.18</v>
      </c>
      <c r="E87" s="2"/>
      <c r="F87" s="7">
        <f t="shared" si="34"/>
        <v>3.9379659201519875E-3</v>
      </c>
      <c r="G87" s="2"/>
      <c r="H87" s="6">
        <v>151.85</v>
      </c>
      <c r="I87" s="2"/>
      <c r="J87" s="7">
        <f t="shared" si="35"/>
        <v>4.0290131398628727E-3</v>
      </c>
      <c r="K87" s="2"/>
      <c r="L87" s="6">
        <f t="shared" si="36"/>
        <v>9.3300000000000125</v>
      </c>
      <c r="M87" s="2"/>
      <c r="N87" s="7">
        <f t="shared" si="37"/>
        <v>6.1442212709911181E-2</v>
      </c>
      <c r="O87" s="11"/>
      <c r="P87" s="6">
        <v>644.72</v>
      </c>
      <c r="Q87" s="2"/>
      <c r="R87" s="7">
        <f t="shared" si="38"/>
        <v>3.3152937309519218E-3</v>
      </c>
      <c r="S87" s="2"/>
      <c r="T87" s="6">
        <v>607.4</v>
      </c>
      <c r="U87" s="2"/>
      <c r="V87" s="7">
        <f t="shared" si="39"/>
        <v>3.6302682370176671E-3</v>
      </c>
      <c r="W87" s="2"/>
      <c r="X87" s="6">
        <f t="shared" si="40"/>
        <v>37.32000000000005</v>
      </c>
      <c r="Y87" s="2"/>
      <c r="Z87" s="7">
        <f t="shared" si="41"/>
        <v>6.1442212709911181E-2</v>
      </c>
    </row>
    <row r="88" spans="1:26" s="27" customFormat="1" outlineLevel="1" collapsed="1" x14ac:dyDescent="0.25">
      <c r="A88" s="25"/>
      <c r="B88" s="13" t="str">
        <f>CONCATENATE("     ","Inventory Adjustment                              ")</f>
        <v xml:space="preserve">     Inventory Adjustment                              </v>
      </c>
      <c r="C88" s="13"/>
      <c r="D88" s="1">
        <f>SUM(OSRRefD22_10x_0)</f>
        <v>300</v>
      </c>
      <c r="E88" s="1"/>
      <c r="F88" s="5">
        <f t="shared" si="34"/>
        <v>7.3296300784563614E-3</v>
      </c>
      <c r="G88" s="1"/>
      <c r="H88" s="1">
        <f>SUM(OSRRefH22_10x_0)</f>
        <v>300</v>
      </c>
      <c r="I88" s="1"/>
      <c r="J88" s="5">
        <f t="shared" si="35"/>
        <v>7.9598547379576019E-3</v>
      </c>
      <c r="K88" s="1"/>
      <c r="L88" s="1">
        <f t="shared" si="36"/>
        <v>0</v>
      </c>
      <c r="M88" s="1"/>
      <c r="N88" s="5">
        <f t="shared" si="37"/>
        <v>0</v>
      </c>
      <c r="O88" s="13"/>
      <c r="P88" s="1">
        <f>SUM(OSRRefP22_10x_0)</f>
        <v>1200</v>
      </c>
      <c r="Q88" s="1"/>
      <c r="R88" s="5">
        <f t="shared" si="38"/>
        <v>6.1706670758504556E-3</v>
      </c>
      <c r="S88" s="1"/>
      <c r="T88" s="1">
        <f>SUM(OSRRefT22_10x_0)</f>
        <v>1200</v>
      </c>
      <c r="U88" s="1"/>
      <c r="V88" s="5">
        <f t="shared" si="39"/>
        <v>7.1720808107033265E-3</v>
      </c>
      <c r="W88" s="1"/>
      <c r="X88" s="1">
        <f t="shared" si="40"/>
        <v>0</v>
      </c>
      <c r="Y88" s="1"/>
      <c r="Z88" s="5">
        <f t="shared" si="41"/>
        <v>0</v>
      </c>
    </row>
    <row r="89" spans="1:26" s="24" customFormat="1" hidden="1" outlineLevel="2" x14ac:dyDescent="0.25">
      <c r="A89" s="26"/>
      <c r="B89" s="11" t="str">
        <f>CONCATENATE("          ", "6408", " - ", "INVENTORY ADJUSTMENT")</f>
        <v xml:space="preserve">          6408 - INVENTORY ADJUSTMENT</v>
      </c>
      <c r="C89" s="11"/>
      <c r="D89" s="6">
        <v>300</v>
      </c>
      <c r="E89" s="2"/>
      <c r="F89" s="7">
        <f t="shared" si="34"/>
        <v>7.3296300784563614E-3</v>
      </c>
      <c r="G89" s="2"/>
      <c r="H89" s="6">
        <v>300</v>
      </c>
      <c r="I89" s="2"/>
      <c r="J89" s="7">
        <f t="shared" si="35"/>
        <v>7.9598547379576019E-3</v>
      </c>
      <c r="K89" s="2"/>
      <c r="L89" s="6">
        <f t="shared" si="36"/>
        <v>0</v>
      </c>
      <c r="M89" s="2"/>
      <c r="N89" s="7">
        <f t="shared" si="37"/>
        <v>0</v>
      </c>
      <c r="O89" s="11"/>
      <c r="P89" s="6">
        <v>1200</v>
      </c>
      <c r="Q89" s="2"/>
      <c r="R89" s="7">
        <f t="shared" si="38"/>
        <v>6.1706670758504556E-3</v>
      </c>
      <c r="S89" s="2"/>
      <c r="T89" s="6">
        <v>1200</v>
      </c>
      <c r="U89" s="2"/>
      <c r="V89" s="7">
        <f t="shared" si="39"/>
        <v>7.1720808107033265E-3</v>
      </c>
      <c r="W89" s="2"/>
      <c r="X89" s="6">
        <f t="shared" si="40"/>
        <v>0</v>
      </c>
      <c r="Y89" s="2"/>
      <c r="Z89" s="7">
        <f t="shared" si="41"/>
        <v>0</v>
      </c>
    </row>
    <row r="90" spans="1:26" s="27" customFormat="1" outlineLevel="1" collapsed="1" x14ac:dyDescent="0.25">
      <c r="A90" s="25"/>
      <c r="B90" s="13" t="str">
        <f>CONCATENATE("     ","Professional Services                             ")</f>
        <v xml:space="preserve">     Professional Services                             </v>
      </c>
      <c r="C90" s="13"/>
      <c r="D90" s="1">
        <f>SUM(OSRRefD22_11x_0)</f>
        <v>0</v>
      </c>
      <c r="E90" s="1"/>
      <c r="F90" s="5">
        <f t="shared" si="34"/>
        <v>0</v>
      </c>
      <c r="G90" s="1"/>
      <c r="H90" s="1">
        <f>SUM(OSRRefH22_11x_0)</f>
        <v>0</v>
      </c>
      <c r="I90" s="1"/>
      <c r="J90" s="5">
        <f t="shared" si="35"/>
        <v>0</v>
      </c>
      <c r="K90" s="1"/>
      <c r="L90" s="1">
        <f t="shared" si="36"/>
        <v>0</v>
      </c>
      <c r="M90" s="1"/>
      <c r="N90" s="5">
        <f t="shared" si="37"/>
        <v>0</v>
      </c>
      <c r="O90" s="13"/>
      <c r="P90" s="1">
        <f>SUM(OSRRefP22_11x_0)</f>
        <v>750</v>
      </c>
      <c r="Q90" s="1"/>
      <c r="R90" s="5">
        <f t="shared" si="38"/>
        <v>3.8566669224065347E-3</v>
      </c>
      <c r="S90" s="1"/>
      <c r="T90" s="1">
        <f>SUM(OSRRefT22_11x_0)</f>
        <v>750</v>
      </c>
      <c r="U90" s="1"/>
      <c r="V90" s="5">
        <f t="shared" si="39"/>
        <v>4.4825505066895793E-3</v>
      </c>
      <c r="W90" s="1"/>
      <c r="X90" s="1">
        <f t="shared" si="40"/>
        <v>0</v>
      </c>
      <c r="Y90" s="1"/>
      <c r="Z90" s="5">
        <f t="shared" si="41"/>
        <v>0</v>
      </c>
    </row>
    <row r="91" spans="1:26" s="24" customFormat="1" hidden="1" outlineLevel="2" x14ac:dyDescent="0.25">
      <c r="A91" s="26"/>
      <c r="B91" s="11" t="str">
        <f>CONCATENATE("          ", "6336", " - ", "PROFESSIONAL SERVICES")</f>
        <v xml:space="preserve">          6336 - PROFESSIONAL SERVICES</v>
      </c>
      <c r="C91" s="11"/>
      <c r="D91" s="6"/>
      <c r="E91" s="2"/>
      <c r="F91" s="7">
        <f t="shared" si="34"/>
        <v>0</v>
      </c>
      <c r="G91" s="2"/>
      <c r="H91" s="6"/>
      <c r="I91" s="2"/>
      <c r="J91" s="7">
        <f t="shared" si="35"/>
        <v>0</v>
      </c>
      <c r="K91" s="2"/>
      <c r="L91" s="6">
        <f t="shared" si="36"/>
        <v>0</v>
      </c>
      <c r="M91" s="2"/>
      <c r="N91" s="7">
        <f t="shared" si="37"/>
        <v>0</v>
      </c>
      <c r="O91" s="11"/>
      <c r="P91" s="6">
        <v>750</v>
      </c>
      <c r="Q91" s="2"/>
      <c r="R91" s="7">
        <f t="shared" si="38"/>
        <v>3.8566669224065347E-3</v>
      </c>
      <c r="S91" s="2"/>
      <c r="T91" s="6">
        <v>750</v>
      </c>
      <c r="U91" s="2"/>
      <c r="V91" s="7">
        <f t="shared" si="39"/>
        <v>4.4825505066895793E-3</v>
      </c>
      <c r="W91" s="2"/>
      <c r="X91" s="6">
        <f t="shared" si="40"/>
        <v>0</v>
      </c>
      <c r="Y91" s="2"/>
      <c r="Z91" s="7">
        <f t="shared" si="41"/>
        <v>0</v>
      </c>
    </row>
    <row r="92" spans="1:26" s="27" customFormat="1" outlineLevel="1" collapsed="1" x14ac:dyDescent="0.25">
      <c r="A92" s="25"/>
      <c r="B92" s="13" t="str">
        <f>CONCATENATE("     ","Rent                                              ")</f>
        <v xml:space="preserve">     Rent                                              </v>
      </c>
      <c r="C92" s="13"/>
      <c r="D92" s="1">
        <f>SUM(OSRRefD22_12x_0)</f>
        <v>6900</v>
      </c>
      <c r="E92" s="1"/>
      <c r="F92" s="5">
        <f t="shared" si="34"/>
        <v>0.1685814918044963</v>
      </c>
      <c r="G92" s="1"/>
      <c r="H92" s="1">
        <f>SUM(OSRRefH22_12x_0)</f>
        <v>6900</v>
      </c>
      <c r="I92" s="1"/>
      <c r="J92" s="5">
        <f t="shared" si="35"/>
        <v>0.18307665897302483</v>
      </c>
      <c r="K92" s="1"/>
      <c r="L92" s="1">
        <f t="shared" si="36"/>
        <v>0</v>
      </c>
      <c r="M92" s="1"/>
      <c r="N92" s="5">
        <f t="shared" si="37"/>
        <v>0</v>
      </c>
      <c r="O92" s="13"/>
      <c r="P92" s="1">
        <f>SUM(OSRRefP22_12x_0)</f>
        <v>27600</v>
      </c>
      <c r="Q92" s="1"/>
      <c r="R92" s="5">
        <f t="shared" si="38"/>
        <v>0.14192534274456048</v>
      </c>
      <c r="S92" s="1"/>
      <c r="T92" s="1">
        <f>SUM(OSRRefT22_12x_0)</f>
        <v>27600</v>
      </c>
      <c r="U92" s="1"/>
      <c r="V92" s="5">
        <f t="shared" si="39"/>
        <v>0.16495785864617651</v>
      </c>
      <c r="W92" s="1"/>
      <c r="X92" s="1">
        <f t="shared" si="40"/>
        <v>0</v>
      </c>
      <c r="Y92" s="1"/>
      <c r="Z92" s="5">
        <f t="shared" si="41"/>
        <v>0</v>
      </c>
    </row>
    <row r="93" spans="1:26" s="24" customFormat="1" hidden="1" outlineLevel="2" x14ac:dyDescent="0.25">
      <c r="A93" s="26"/>
      <c r="B93" s="11" t="str">
        <f>CONCATENATE("          ", "6273", " - ", "RENT")</f>
        <v xml:space="preserve">          6273 - RENT</v>
      </c>
      <c r="C93" s="11"/>
      <c r="D93" s="6">
        <v>6900</v>
      </c>
      <c r="E93" s="2"/>
      <c r="F93" s="7">
        <f t="shared" si="34"/>
        <v>0.1685814918044963</v>
      </c>
      <c r="G93" s="2"/>
      <c r="H93" s="6">
        <v>6900</v>
      </c>
      <c r="I93" s="2"/>
      <c r="J93" s="7">
        <f t="shared" si="35"/>
        <v>0.18307665897302483</v>
      </c>
      <c r="K93" s="2"/>
      <c r="L93" s="6">
        <f t="shared" si="36"/>
        <v>0</v>
      </c>
      <c r="M93" s="2"/>
      <c r="N93" s="7">
        <f t="shared" si="37"/>
        <v>0</v>
      </c>
      <c r="O93" s="11"/>
      <c r="P93" s="6">
        <v>27600</v>
      </c>
      <c r="Q93" s="2"/>
      <c r="R93" s="7">
        <f t="shared" si="38"/>
        <v>0.14192534274456048</v>
      </c>
      <c r="S93" s="2"/>
      <c r="T93" s="6">
        <v>27600</v>
      </c>
      <c r="U93" s="2"/>
      <c r="V93" s="7">
        <f t="shared" si="39"/>
        <v>0.16495785864617651</v>
      </c>
      <c r="W93" s="2"/>
      <c r="X93" s="6">
        <f t="shared" si="40"/>
        <v>0</v>
      </c>
      <c r="Y93" s="2"/>
      <c r="Z93" s="7">
        <f t="shared" si="41"/>
        <v>0</v>
      </c>
    </row>
    <row r="94" spans="1:26" s="27" customFormat="1" outlineLevel="1" collapsed="1" x14ac:dyDescent="0.25">
      <c r="A94" s="25"/>
      <c r="B94" s="13" t="str">
        <f>CONCATENATE("     ","Repair and Maintenance                            ")</f>
        <v xml:space="preserve">     Repair and Maintenance                            </v>
      </c>
      <c r="C94" s="13"/>
      <c r="D94" s="1">
        <f>SUM(OSRRefD22_13x_0)</f>
        <v>104.28999999999999</v>
      </c>
      <c r="E94" s="1"/>
      <c r="F94" s="5">
        <f t="shared" si="34"/>
        <v>2.548023736274046E-3</v>
      </c>
      <c r="G94" s="1"/>
      <c r="H94" s="1">
        <f>SUM(OSRRefH22_13x_0)</f>
        <v>0</v>
      </c>
      <c r="I94" s="1"/>
      <c r="J94" s="5">
        <f t="shared" si="35"/>
        <v>0</v>
      </c>
      <c r="K94" s="1"/>
      <c r="L94" s="1">
        <f t="shared" si="36"/>
        <v>104.28999999999999</v>
      </c>
      <c r="M94" s="1"/>
      <c r="N94" s="5">
        <f t="shared" si="37"/>
        <v>0</v>
      </c>
      <c r="O94" s="13"/>
      <c r="P94" s="1">
        <f>SUM(OSRRefP22_13x_0)</f>
        <v>104.28999999999999</v>
      </c>
      <c r="Q94" s="1"/>
      <c r="R94" s="5">
        <f t="shared" si="38"/>
        <v>5.3628239111703667E-4</v>
      </c>
      <c r="S94" s="1"/>
      <c r="T94" s="1">
        <f>SUM(OSRRefT22_13x_0)</f>
        <v>461.35</v>
      </c>
      <c r="U94" s="1"/>
      <c r="V94" s="5">
        <f t="shared" si="39"/>
        <v>2.7573662350149834E-3</v>
      </c>
      <c r="W94" s="1"/>
      <c r="X94" s="1">
        <f t="shared" si="40"/>
        <v>-357.06000000000006</v>
      </c>
      <c r="Y94" s="1"/>
      <c r="Z94" s="5">
        <f t="shared" si="41"/>
        <v>-0.77394602796141765</v>
      </c>
    </row>
    <row r="95" spans="1:26" s="24" customFormat="1" hidden="1" outlineLevel="2" x14ac:dyDescent="0.25">
      <c r="A95" s="26"/>
      <c r="B95" s="11" t="str">
        <f>CONCATENATE("          ", "6373", " - ", "MAINTENANCE CONTRACTS")</f>
        <v xml:space="preserve">          6373 - MAINTENANCE CONTRACTS</v>
      </c>
      <c r="C95" s="11"/>
      <c r="D95" s="6">
        <v>45.65</v>
      </c>
      <c r="E95" s="2"/>
      <c r="F95" s="7">
        <f t="shared" si="34"/>
        <v>1.115325376938443E-3</v>
      </c>
      <c r="G95" s="2"/>
      <c r="H95" s="6"/>
      <c r="I95" s="2"/>
      <c r="J95" s="7">
        <f t="shared" si="35"/>
        <v>0</v>
      </c>
      <c r="K95" s="2"/>
      <c r="L95" s="6">
        <f t="shared" si="36"/>
        <v>45.65</v>
      </c>
      <c r="M95" s="2"/>
      <c r="N95" s="7">
        <f t="shared" si="37"/>
        <v>0</v>
      </c>
      <c r="O95" s="11"/>
      <c r="P95" s="6">
        <v>45.65</v>
      </c>
      <c r="Q95" s="2"/>
      <c r="R95" s="7">
        <f t="shared" si="38"/>
        <v>2.3474246001047776E-4</v>
      </c>
      <c r="S95" s="2"/>
      <c r="T95" s="6">
        <v>44.98</v>
      </c>
      <c r="U95" s="2"/>
      <c r="V95" s="7">
        <f t="shared" si="39"/>
        <v>2.6883349572119636E-4</v>
      </c>
      <c r="W95" s="2"/>
      <c r="X95" s="6">
        <f t="shared" si="40"/>
        <v>0.67000000000000171</v>
      </c>
      <c r="Y95" s="2"/>
      <c r="Z95" s="7">
        <f t="shared" si="41"/>
        <v>1.4895509115162334E-2</v>
      </c>
    </row>
    <row r="96" spans="1:26" s="24" customFormat="1" hidden="1" outlineLevel="2" x14ac:dyDescent="0.25">
      <c r="A96" s="26"/>
      <c r="B96" s="11" t="str">
        <f>CONCATENATE("          ", "6375", " - ", "OUTSIDE REPAIRS &amp; MAINTENANCE")</f>
        <v xml:space="preserve">          6375 - OUTSIDE REPAIRS &amp; MAINTENANCE</v>
      </c>
      <c r="C96" s="11"/>
      <c r="D96" s="6">
        <v>58.64</v>
      </c>
      <c r="E96" s="2"/>
      <c r="F96" s="7">
        <f t="shared" si="34"/>
        <v>1.4326983593356034E-3</v>
      </c>
      <c r="G96" s="2"/>
      <c r="H96" s="6"/>
      <c r="I96" s="2"/>
      <c r="J96" s="7">
        <f t="shared" si="35"/>
        <v>0</v>
      </c>
      <c r="K96" s="2"/>
      <c r="L96" s="6">
        <f t="shared" si="36"/>
        <v>58.64</v>
      </c>
      <c r="M96" s="2"/>
      <c r="N96" s="7">
        <f t="shared" si="37"/>
        <v>0</v>
      </c>
      <c r="O96" s="11"/>
      <c r="P96" s="6">
        <v>58.64</v>
      </c>
      <c r="Q96" s="2"/>
      <c r="R96" s="7">
        <f t="shared" si="38"/>
        <v>3.0153993110655896E-4</v>
      </c>
      <c r="S96" s="2"/>
      <c r="T96" s="6">
        <v>416.37</v>
      </c>
      <c r="U96" s="2"/>
      <c r="V96" s="7">
        <f t="shared" si="39"/>
        <v>2.4885327392937867E-3</v>
      </c>
      <c r="W96" s="2"/>
      <c r="X96" s="6">
        <f t="shared" si="40"/>
        <v>-357.73</v>
      </c>
      <c r="Y96" s="2"/>
      <c r="Z96" s="7">
        <f t="shared" si="41"/>
        <v>-0.85916372457189527</v>
      </c>
    </row>
    <row r="97" spans="1:26" s="27" customFormat="1" outlineLevel="1" collapsed="1" x14ac:dyDescent="0.25">
      <c r="A97" s="25"/>
      <c r="B97" s="13" t="str">
        <f>CONCATENATE("     ","Services                                          ")</f>
        <v xml:space="preserve">     Services                                          </v>
      </c>
      <c r="C97" s="13"/>
      <c r="D97" s="1">
        <f>SUM(OSRRefD22_14x_0)</f>
        <v>914.53</v>
      </c>
      <c r="E97" s="1"/>
      <c r="F97" s="5">
        <f t="shared" ref="F97:F100" si="42">IF(D$12=0,0,D97/D$12)</f>
        <v>2.2343888652168985E-2</v>
      </c>
      <c r="G97" s="1"/>
      <c r="H97" s="1">
        <f>SUM(OSRRefH22_14x_0)</f>
        <v>216.73</v>
      </c>
      <c r="I97" s="1"/>
      <c r="J97" s="5">
        <f t="shared" ref="J97:J100" si="43">IF(H$12=0,0,H97/H$12)</f>
        <v>5.7504643911918361E-3</v>
      </c>
      <c r="K97" s="1"/>
      <c r="L97" s="1">
        <f t="shared" ref="L97:L100" si="44">+D97-H97</f>
        <v>697.8</v>
      </c>
      <c r="M97" s="1"/>
      <c r="N97" s="5">
        <f t="shared" ref="N97:N100" si="45">IF(H97=0,0,L97/H97)</f>
        <v>3.2196742490656578</v>
      </c>
      <c r="O97" s="13"/>
      <c r="P97" s="1">
        <f>SUM(OSRRefP22_14x_0)</f>
        <v>1638.6399999999999</v>
      </c>
      <c r="Q97" s="1"/>
      <c r="R97" s="5">
        <f t="shared" ref="R97:R100" si="46">IF(P$12=0,0,P97/P$12)</f>
        <v>8.4262515809763253E-3</v>
      </c>
      <c r="S97" s="1"/>
      <c r="T97" s="1">
        <f>SUM(OSRRefT22_14x_0)</f>
        <v>879.74999999999989</v>
      </c>
      <c r="U97" s="1"/>
      <c r="V97" s="5">
        <f t="shared" ref="V97:V100" si="47">IF(T$12=0,0,T97/T$12)</f>
        <v>5.2580317443468756E-3</v>
      </c>
      <c r="W97" s="1"/>
      <c r="X97" s="1">
        <f t="shared" ref="X97:X100" si="48">+P97-T97</f>
        <v>758.89</v>
      </c>
      <c r="Y97" s="1"/>
      <c r="Z97" s="5">
        <f t="shared" ref="Z97:Z100" si="49">IF(T97=0,0,X97/T97)</f>
        <v>0.8626200625177608</v>
      </c>
    </row>
    <row r="98" spans="1:26" s="24" customFormat="1" hidden="1" outlineLevel="2" x14ac:dyDescent="0.25">
      <c r="A98" s="26"/>
      <c r="B98" s="11" t="str">
        <f>CONCATENATE("          ", "6283", " - ", "PLANT SERVICE")</f>
        <v xml:space="preserve">          6283 - PLANT SERVICE</v>
      </c>
      <c r="C98" s="11"/>
      <c r="D98" s="6"/>
      <c r="E98" s="2"/>
      <c r="F98" s="7">
        <f t="shared" si="42"/>
        <v>0</v>
      </c>
      <c r="G98" s="2"/>
      <c r="H98" s="6">
        <v>56</v>
      </c>
      <c r="I98" s="2"/>
      <c r="J98" s="7">
        <f t="shared" si="43"/>
        <v>1.4858395510854189E-3</v>
      </c>
      <c r="K98" s="2"/>
      <c r="L98" s="6">
        <f t="shared" si="44"/>
        <v>-56</v>
      </c>
      <c r="M98" s="2"/>
      <c r="N98" s="7">
        <f t="shared" si="45"/>
        <v>-1</v>
      </c>
      <c r="O98" s="11"/>
      <c r="P98" s="6">
        <v>178.65</v>
      </c>
      <c r="Q98" s="2"/>
      <c r="R98" s="7">
        <f t="shared" si="46"/>
        <v>9.1865806091723668E-4</v>
      </c>
      <c r="S98" s="2"/>
      <c r="T98" s="6">
        <v>224</v>
      </c>
      <c r="U98" s="2"/>
      <c r="V98" s="7">
        <f t="shared" si="47"/>
        <v>1.3387884179979544E-3</v>
      </c>
      <c r="W98" s="2"/>
      <c r="X98" s="6">
        <f t="shared" si="48"/>
        <v>-45.349999999999994</v>
      </c>
      <c r="Y98" s="2"/>
      <c r="Z98" s="7">
        <f t="shared" si="49"/>
        <v>-0.20245535714285712</v>
      </c>
    </row>
    <row r="99" spans="1:26" s="24" customFormat="1" hidden="1" outlineLevel="2" x14ac:dyDescent="0.25">
      <c r="A99" s="26"/>
      <c r="B99" s="11" t="str">
        <f>CONCATENATE("          ", "6284", " - ", "TRASH REMOVAL EXPENSE")</f>
        <v xml:space="preserve">          6284 - TRASH REMOVAL EXPENSE</v>
      </c>
      <c r="C99" s="11"/>
      <c r="D99" s="6">
        <v>134.82</v>
      </c>
      <c r="E99" s="2"/>
      <c r="F99" s="7">
        <f t="shared" si="42"/>
        <v>3.2939357572582886E-3</v>
      </c>
      <c r="G99" s="2"/>
      <c r="H99" s="6">
        <v>121.46</v>
      </c>
      <c r="I99" s="2"/>
      <c r="J99" s="7">
        <f t="shared" si="43"/>
        <v>3.2226798549077674E-3</v>
      </c>
      <c r="K99" s="2"/>
      <c r="L99" s="6">
        <f t="shared" si="44"/>
        <v>13.36</v>
      </c>
      <c r="M99" s="2"/>
      <c r="N99" s="7">
        <f t="shared" si="45"/>
        <v>0.10999506010209123</v>
      </c>
      <c r="O99" s="11"/>
      <c r="P99" s="6">
        <v>539.28</v>
      </c>
      <c r="Q99" s="2"/>
      <c r="R99" s="7">
        <f t="shared" si="46"/>
        <v>2.7730977838871947E-3</v>
      </c>
      <c r="S99" s="2"/>
      <c r="T99" s="6">
        <v>485.84</v>
      </c>
      <c r="U99" s="2"/>
      <c r="V99" s="7">
        <f t="shared" si="47"/>
        <v>2.9037364508934203E-3</v>
      </c>
      <c r="W99" s="2"/>
      <c r="X99" s="6">
        <f t="shared" si="48"/>
        <v>53.44</v>
      </c>
      <c r="Y99" s="2"/>
      <c r="Z99" s="7">
        <f t="shared" si="49"/>
        <v>0.10999506010209123</v>
      </c>
    </row>
    <row r="100" spans="1:26" s="24" customFormat="1" hidden="1" outlineLevel="2" x14ac:dyDescent="0.25">
      <c r="A100" s="26"/>
      <c r="B100" s="11" t="str">
        <f>CONCATENATE("          ", "6285", " - ", "JANITORIAL SERVICES")</f>
        <v xml:space="preserve">          6285 - JANITORIAL SERVICES</v>
      </c>
      <c r="C100" s="11"/>
      <c r="D100" s="6">
        <v>779.71</v>
      </c>
      <c r="E100" s="2"/>
      <c r="F100" s="7">
        <f t="shared" si="42"/>
        <v>1.90499528949107E-2</v>
      </c>
      <c r="G100" s="2"/>
      <c r="H100" s="6">
        <v>39.270000000000003</v>
      </c>
      <c r="I100" s="2"/>
      <c r="J100" s="7">
        <f t="shared" si="43"/>
        <v>1.04194498519865E-3</v>
      </c>
      <c r="K100" s="2"/>
      <c r="L100" s="6">
        <f t="shared" si="44"/>
        <v>740.44</v>
      </c>
      <c r="M100" s="2"/>
      <c r="N100" s="7">
        <f t="shared" si="45"/>
        <v>18.855105678635091</v>
      </c>
      <c r="O100" s="11"/>
      <c r="P100" s="6">
        <v>920.71</v>
      </c>
      <c r="Q100" s="2"/>
      <c r="R100" s="7">
        <f t="shared" si="46"/>
        <v>4.7344957361718943E-3</v>
      </c>
      <c r="S100" s="2"/>
      <c r="T100" s="6">
        <v>169.91</v>
      </c>
      <c r="U100" s="2"/>
      <c r="V100" s="7">
        <f t="shared" si="47"/>
        <v>1.0155068754555019E-3</v>
      </c>
      <c r="W100" s="2"/>
      <c r="X100" s="6">
        <f t="shared" si="48"/>
        <v>750.80000000000007</v>
      </c>
      <c r="Y100" s="2"/>
      <c r="Z100" s="7">
        <f t="shared" si="49"/>
        <v>4.4188099582131724</v>
      </c>
    </row>
    <row r="101" spans="1:26" s="27" customFormat="1" outlineLevel="1" collapsed="1" x14ac:dyDescent="0.25">
      <c r="A101" s="25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SUM(OSRRefD22_15x_0)</f>
        <v>75</v>
      </c>
      <c r="E101" s="1"/>
      <c r="F101" s="5">
        <f t="shared" ref="F101:F108" si="50">IF(D$12=0,0,D101/D$12)</f>
        <v>1.8324075196140903E-3</v>
      </c>
      <c r="G101" s="1"/>
      <c r="H101" s="1">
        <f>SUM(OSRRefH22_15x_0)</f>
        <v>204.98</v>
      </c>
      <c r="I101" s="1"/>
      <c r="J101" s="5">
        <f t="shared" ref="J101:J108" si="51">IF(H$12=0,0,H101/H$12)</f>
        <v>5.4387034139551631E-3</v>
      </c>
      <c r="K101" s="1"/>
      <c r="L101" s="1">
        <f t="shared" ref="L101:L108" si="52">+D101-H101</f>
        <v>-129.97999999999999</v>
      </c>
      <c r="M101" s="1"/>
      <c r="N101" s="5">
        <f t="shared" ref="N101:N108" si="53">IF(H101=0,0,L101/H101)</f>
        <v>-0.6341106449409698</v>
      </c>
      <c r="O101" s="13"/>
      <c r="P101" s="1">
        <f>SUM(OSRRefP22_15x_0)</f>
        <v>88.42</v>
      </c>
      <c r="Q101" s="1"/>
      <c r="R101" s="5">
        <f t="shared" ref="R101:R108" si="54">IF(P$12=0,0,P101/P$12)</f>
        <v>4.5467531903891441E-4</v>
      </c>
      <c r="S101" s="1"/>
      <c r="T101" s="1">
        <f>SUM(OSRRefT22_15x_0)</f>
        <v>669.92</v>
      </c>
      <c r="U101" s="1"/>
      <c r="V101" s="5">
        <f t="shared" ref="V101:V108" si="55">IF(T$12=0,0,T101/T$12)</f>
        <v>4.0039336472553104E-3</v>
      </c>
      <c r="W101" s="1"/>
      <c r="X101" s="1">
        <f t="shared" ref="X101:X108" si="56">+P101-T101</f>
        <v>-581.5</v>
      </c>
      <c r="Y101" s="1"/>
      <c r="Z101" s="5">
        <f t="shared" ref="Z101:Z108" si="57">IF(T101=0,0,X101/T101)</f>
        <v>-0.86801409123477435</v>
      </c>
    </row>
    <row r="102" spans="1:26" s="24" customFormat="1" hidden="1" outlineLevel="2" x14ac:dyDescent="0.25">
      <c r="A102" s="26"/>
      <c r="B102" s="11" t="str">
        <f>CONCATENATE("          ", "6275", " - ", "SUBSCRIPTIONS")</f>
        <v xml:space="preserve">          6275 - SUBSCRIPTIONS</v>
      </c>
      <c r="C102" s="11"/>
      <c r="D102" s="6">
        <v>75</v>
      </c>
      <c r="E102" s="2"/>
      <c r="F102" s="7">
        <f t="shared" si="50"/>
        <v>1.8324075196140903E-3</v>
      </c>
      <c r="G102" s="2"/>
      <c r="H102" s="6">
        <v>204.98</v>
      </c>
      <c r="I102" s="2"/>
      <c r="J102" s="7">
        <f t="shared" si="51"/>
        <v>5.4387034139551631E-3</v>
      </c>
      <c r="K102" s="2"/>
      <c r="L102" s="6">
        <f t="shared" si="52"/>
        <v>-129.97999999999999</v>
      </c>
      <c r="M102" s="2"/>
      <c r="N102" s="7">
        <f t="shared" si="53"/>
        <v>-0.6341106449409698</v>
      </c>
      <c r="O102" s="11"/>
      <c r="P102" s="6">
        <v>88.42</v>
      </c>
      <c r="Q102" s="2"/>
      <c r="R102" s="7">
        <f t="shared" si="54"/>
        <v>4.5467531903891441E-4</v>
      </c>
      <c r="S102" s="2"/>
      <c r="T102" s="6">
        <v>669.92</v>
      </c>
      <c r="U102" s="2"/>
      <c r="V102" s="7">
        <f t="shared" si="55"/>
        <v>4.0039336472553104E-3</v>
      </c>
      <c r="W102" s="2"/>
      <c r="X102" s="6">
        <f t="shared" si="56"/>
        <v>-581.5</v>
      </c>
      <c r="Y102" s="2"/>
      <c r="Z102" s="7">
        <f t="shared" si="57"/>
        <v>-0.86801409123477435</v>
      </c>
    </row>
    <row r="103" spans="1:26" s="27" customFormat="1" outlineLevel="1" collapsed="1" x14ac:dyDescent="0.25">
      <c r="A103" s="25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SUM(OSRRefD22_16x_0)</f>
        <v>127.15</v>
      </c>
      <c r="E103" s="1"/>
      <c r="F103" s="5">
        <f t="shared" si="50"/>
        <v>3.1065415482524213E-3</v>
      </c>
      <c r="G103" s="1"/>
      <c r="H103" s="1">
        <f>SUM(OSRRefH22_16x_0)</f>
        <v>770.71</v>
      </c>
      <c r="I103" s="1"/>
      <c r="J103" s="5">
        <f t="shared" si="51"/>
        <v>2.0449132150304344E-2</v>
      </c>
      <c r="K103" s="1"/>
      <c r="L103" s="1">
        <f t="shared" si="52"/>
        <v>-643.56000000000006</v>
      </c>
      <c r="M103" s="1"/>
      <c r="N103" s="5">
        <f t="shared" si="53"/>
        <v>-0.83502225220900217</v>
      </c>
      <c r="O103" s="13"/>
      <c r="P103" s="1">
        <f>SUM(OSRRefP22_16x_0)</f>
        <v>1415.04</v>
      </c>
      <c r="Q103" s="1"/>
      <c r="R103" s="5">
        <f t="shared" si="54"/>
        <v>7.276450615842857E-3</v>
      </c>
      <c r="S103" s="1"/>
      <c r="T103" s="1">
        <f>SUM(OSRRefT22_16x_0)</f>
        <v>2461.5600000000004</v>
      </c>
      <c r="U103" s="1"/>
      <c r="V103" s="5">
        <f t="shared" si="55"/>
        <v>1.4712089366995737E-2</v>
      </c>
      <c r="W103" s="1"/>
      <c r="X103" s="1">
        <f t="shared" si="56"/>
        <v>-1046.5200000000004</v>
      </c>
      <c r="Y103" s="1"/>
      <c r="Z103" s="5">
        <f t="shared" si="57"/>
        <v>-0.4251450299809878</v>
      </c>
    </row>
    <row r="104" spans="1:26" s="24" customFormat="1" hidden="1" outlineLevel="2" x14ac:dyDescent="0.25">
      <c r="A104" s="26"/>
      <c r="B104" s="11" t="str">
        <f>CONCATENATE("          ", "6234", " - ", "EXPENDABLE SUPPLIES &amp; EQUIPMEN")</f>
        <v xml:space="preserve">          6234 - EXPENDABLE SUPPLIES &amp; EQUIPMEN</v>
      </c>
      <c r="C104" s="11"/>
      <c r="D104" s="6"/>
      <c r="E104" s="2"/>
      <c r="F104" s="7">
        <f t="shared" si="50"/>
        <v>0</v>
      </c>
      <c r="G104" s="2"/>
      <c r="H104" s="6">
        <v>150</v>
      </c>
      <c r="I104" s="2"/>
      <c r="J104" s="7">
        <f t="shared" si="51"/>
        <v>3.9799273689788009E-3</v>
      </c>
      <c r="K104" s="2"/>
      <c r="L104" s="6">
        <f t="shared" si="52"/>
        <v>-150</v>
      </c>
      <c r="M104" s="2"/>
      <c r="N104" s="7">
        <f t="shared" si="53"/>
        <v>-1</v>
      </c>
      <c r="O104" s="11"/>
      <c r="P104" s="6"/>
      <c r="Q104" s="2"/>
      <c r="R104" s="7">
        <f t="shared" si="54"/>
        <v>0</v>
      </c>
      <c r="S104" s="2"/>
      <c r="T104" s="6">
        <v>150</v>
      </c>
      <c r="U104" s="2"/>
      <c r="V104" s="7">
        <f t="shared" si="55"/>
        <v>8.9651010133791581E-4</v>
      </c>
      <c r="W104" s="2"/>
      <c r="X104" s="6">
        <f t="shared" si="56"/>
        <v>-150</v>
      </c>
      <c r="Y104" s="2"/>
      <c r="Z104" s="7">
        <f t="shared" si="57"/>
        <v>-1</v>
      </c>
    </row>
    <row r="105" spans="1:26" s="24" customFormat="1" hidden="1" outlineLevel="2" x14ac:dyDescent="0.25">
      <c r="A105" s="26"/>
      <c r="B105" s="11" t="str">
        <f>CONCATENATE("          ", "6237", " - ", "JANITORIAL SUPPLIES")</f>
        <v xml:space="preserve">          6237 - JANITORIAL SUPPLIES</v>
      </c>
      <c r="C105" s="11"/>
      <c r="D105" s="6">
        <v>83.06</v>
      </c>
      <c r="E105" s="2"/>
      <c r="F105" s="7">
        <f t="shared" si="50"/>
        <v>2.0293302477219512E-3</v>
      </c>
      <c r="G105" s="2"/>
      <c r="H105" s="6">
        <v>5.14</v>
      </c>
      <c r="I105" s="2"/>
      <c r="J105" s="7">
        <f t="shared" si="51"/>
        <v>1.3637884451034023E-4</v>
      </c>
      <c r="K105" s="2"/>
      <c r="L105" s="6">
        <f t="shared" si="52"/>
        <v>77.92</v>
      </c>
      <c r="M105" s="2"/>
      <c r="N105" s="7">
        <f t="shared" si="53"/>
        <v>15.159533073929962</v>
      </c>
      <c r="O105" s="11"/>
      <c r="P105" s="6">
        <v>287.72000000000003</v>
      </c>
      <c r="Q105" s="2"/>
      <c r="R105" s="7">
        <f t="shared" si="54"/>
        <v>1.4795202758864112E-3</v>
      </c>
      <c r="S105" s="2"/>
      <c r="T105" s="6">
        <v>177.88</v>
      </c>
      <c r="U105" s="2"/>
      <c r="V105" s="7">
        <f t="shared" si="55"/>
        <v>1.0631414455065898E-3</v>
      </c>
      <c r="W105" s="2"/>
      <c r="X105" s="6">
        <f t="shared" si="56"/>
        <v>109.84000000000003</v>
      </c>
      <c r="Y105" s="2"/>
      <c r="Z105" s="7">
        <f t="shared" si="57"/>
        <v>0.61749494040926489</v>
      </c>
    </row>
    <row r="106" spans="1:26" s="24" customFormat="1" hidden="1" outlineLevel="2" x14ac:dyDescent="0.25">
      <c r="A106" s="26"/>
      <c r="B106" s="11" t="str">
        <f>CONCATENATE("          ", "6241", " - ", "OFFICE EXPENSE")</f>
        <v xml:space="preserve">          6241 - OFFICE EXPENSE</v>
      </c>
      <c r="C106" s="11"/>
      <c r="D106" s="6">
        <v>44.09</v>
      </c>
      <c r="E106" s="2"/>
      <c r="F106" s="7">
        <f t="shared" si="50"/>
        <v>1.0772113005304699E-3</v>
      </c>
      <c r="G106" s="2"/>
      <c r="H106" s="6">
        <v>385.6</v>
      </c>
      <c r="I106" s="2"/>
      <c r="J106" s="7">
        <f t="shared" si="51"/>
        <v>1.023106662318817E-2</v>
      </c>
      <c r="K106" s="2"/>
      <c r="L106" s="6">
        <f t="shared" si="52"/>
        <v>-341.51</v>
      </c>
      <c r="M106" s="2"/>
      <c r="N106" s="7">
        <f t="shared" si="53"/>
        <v>-0.88565871369294602</v>
      </c>
      <c r="O106" s="11"/>
      <c r="P106" s="6">
        <v>1127.32</v>
      </c>
      <c r="Q106" s="2"/>
      <c r="R106" s="7">
        <f t="shared" si="54"/>
        <v>5.7969303399564463E-3</v>
      </c>
      <c r="S106" s="2"/>
      <c r="T106" s="6">
        <v>1078.46</v>
      </c>
      <c r="U106" s="2"/>
      <c r="V106" s="7">
        <f t="shared" si="55"/>
        <v>6.4456685592592586E-3</v>
      </c>
      <c r="W106" s="2"/>
      <c r="X106" s="6">
        <f t="shared" si="56"/>
        <v>48.8599999999999</v>
      </c>
      <c r="Y106" s="2"/>
      <c r="Z106" s="7">
        <f t="shared" si="57"/>
        <v>4.5305342803627302E-2</v>
      </c>
    </row>
    <row r="107" spans="1:26" s="24" customFormat="1" hidden="1" outlineLevel="2" x14ac:dyDescent="0.25">
      <c r="A107" s="26"/>
      <c r="B107" s="11" t="str">
        <f>CONCATENATE("          ", "6245", " - ", "PRINTING")</f>
        <v xml:space="preserve">          6245 - PRINTING</v>
      </c>
      <c r="C107" s="11"/>
      <c r="D107" s="6"/>
      <c r="E107" s="2"/>
      <c r="F107" s="7">
        <f t="shared" si="50"/>
        <v>0</v>
      </c>
      <c r="G107" s="2"/>
      <c r="H107" s="6"/>
      <c r="I107" s="2"/>
      <c r="J107" s="7">
        <f t="shared" si="51"/>
        <v>0</v>
      </c>
      <c r="K107" s="2"/>
      <c r="L107" s="6">
        <f t="shared" si="52"/>
        <v>0</v>
      </c>
      <c r="M107" s="2"/>
      <c r="N107" s="7">
        <f t="shared" si="53"/>
        <v>0</v>
      </c>
      <c r="O107" s="11"/>
      <c r="P107" s="6"/>
      <c r="Q107" s="2"/>
      <c r="R107" s="7">
        <f t="shared" si="54"/>
        <v>0</v>
      </c>
      <c r="S107" s="2"/>
      <c r="T107" s="6">
        <v>750.25</v>
      </c>
      <c r="U107" s="2"/>
      <c r="V107" s="7">
        <f t="shared" si="55"/>
        <v>4.4840446901918095E-3</v>
      </c>
      <c r="W107" s="2"/>
      <c r="X107" s="6">
        <f t="shared" si="56"/>
        <v>-750.25</v>
      </c>
      <c r="Y107" s="2"/>
      <c r="Z107" s="7">
        <f t="shared" si="57"/>
        <v>-1</v>
      </c>
    </row>
    <row r="108" spans="1:26" s="24" customFormat="1" hidden="1" outlineLevel="2" x14ac:dyDescent="0.25">
      <c r="A108" s="26"/>
      <c r="B108" s="11" t="str">
        <f>CONCATENATE("          ", "6247", " - ", "STORE SUPPLIES")</f>
        <v xml:space="preserve">          6247 - STORE SUPPLIES</v>
      </c>
      <c r="C108" s="11"/>
      <c r="D108" s="6"/>
      <c r="E108" s="2"/>
      <c r="F108" s="7">
        <f t="shared" si="50"/>
        <v>0</v>
      </c>
      <c r="G108" s="2"/>
      <c r="H108" s="6">
        <v>229.97</v>
      </c>
      <c r="I108" s="2"/>
      <c r="J108" s="7">
        <f t="shared" si="51"/>
        <v>6.1017593136270315E-3</v>
      </c>
      <c r="K108" s="2"/>
      <c r="L108" s="6">
        <f t="shared" si="52"/>
        <v>-229.97</v>
      </c>
      <c r="M108" s="2"/>
      <c r="N108" s="7">
        <f t="shared" si="53"/>
        <v>-1</v>
      </c>
      <c r="O108" s="11"/>
      <c r="P108" s="6"/>
      <c r="Q108" s="2"/>
      <c r="R108" s="7">
        <f t="shared" si="54"/>
        <v>0</v>
      </c>
      <c r="S108" s="2"/>
      <c r="T108" s="6">
        <v>304.97000000000003</v>
      </c>
      <c r="U108" s="2"/>
      <c r="V108" s="7">
        <f t="shared" si="55"/>
        <v>1.8227245707001616E-3</v>
      </c>
      <c r="W108" s="2"/>
      <c r="X108" s="6">
        <f t="shared" si="56"/>
        <v>-304.97000000000003</v>
      </c>
      <c r="Y108" s="2"/>
      <c r="Z108" s="7">
        <f t="shared" si="57"/>
        <v>-1</v>
      </c>
    </row>
    <row r="109" spans="1:26" s="27" customFormat="1" outlineLevel="1" collapsed="1" x14ac:dyDescent="0.25">
      <c r="A109" s="25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SUM(OSRRefD22_17x_0)</f>
        <v>-562.73</v>
      </c>
      <c r="E109" s="1"/>
      <c r="F109" s="5">
        <f t="shared" ref="F109:F114" si="58">IF(D$12=0,0,D109/D$12)</f>
        <v>-1.3748675780165828E-2</v>
      </c>
      <c r="G109" s="1"/>
      <c r="H109" s="1">
        <f>SUM(OSRRefH22_17x_0)</f>
        <v>-214.71</v>
      </c>
      <c r="I109" s="1"/>
      <c r="J109" s="5">
        <f t="shared" ref="J109:J114" si="59">IF(H$12=0,0,H109/H$12)</f>
        <v>-5.6968680359562552E-3</v>
      </c>
      <c r="K109" s="1"/>
      <c r="L109" s="1">
        <f t="shared" ref="L109:L114" si="60">+D109-H109</f>
        <v>-348.02</v>
      </c>
      <c r="M109" s="1"/>
      <c r="N109" s="5">
        <f t="shared" ref="N109:N114" si="61">IF(H109=0,0,L109/H109)</f>
        <v>1.6208839830469004</v>
      </c>
      <c r="O109" s="13"/>
      <c r="P109" s="1">
        <f>SUM(OSRRefP22_17x_0)</f>
        <v>1414.17</v>
      </c>
      <c r="Q109" s="1"/>
      <c r="R109" s="5">
        <f t="shared" ref="R109:R114" si="62">IF(P$12=0,0,P109/P$12)</f>
        <v>7.2719768822128664E-3</v>
      </c>
      <c r="S109" s="1"/>
      <c r="T109" s="1">
        <f>SUM(OSRRefT22_17x_0)</f>
        <v>1747.75</v>
      </c>
      <c r="U109" s="1"/>
      <c r="V109" s="5">
        <f t="shared" ref="V109:V114" si="63">IF(T$12=0,0,T109/T$12)</f>
        <v>1.044583686408895E-2</v>
      </c>
      <c r="W109" s="1"/>
      <c r="X109" s="1">
        <f t="shared" ref="X109:X114" si="64">+P109-T109</f>
        <v>-333.57999999999993</v>
      </c>
      <c r="Y109" s="1"/>
      <c r="Z109" s="5">
        <f t="shared" ref="Z109:Z114" si="65">IF(T109=0,0,X109/T109)</f>
        <v>-0.19086253754827631</v>
      </c>
    </row>
    <row r="110" spans="1:26" s="24" customFormat="1" hidden="1" outlineLevel="2" x14ac:dyDescent="0.25">
      <c r="A110" s="26"/>
      <c r="B110" s="11" t="str">
        <f>CONCATENATE("          ", "6309", " - ", "TELEPHONE")</f>
        <v xml:space="preserve">          6309 - TELEPHONE</v>
      </c>
      <c r="C110" s="11"/>
      <c r="D110" s="6">
        <v>-562.73</v>
      </c>
      <c r="E110" s="2"/>
      <c r="F110" s="7">
        <f t="shared" si="58"/>
        <v>-1.3748675780165828E-2</v>
      </c>
      <c r="G110" s="2"/>
      <c r="H110" s="6">
        <v>-214.71</v>
      </c>
      <c r="I110" s="2"/>
      <c r="J110" s="7">
        <f t="shared" si="59"/>
        <v>-5.6968680359562552E-3</v>
      </c>
      <c r="K110" s="2"/>
      <c r="L110" s="6">
        <f t="shared" si="60"/>
        <v>-348.02</v>
      </c>
      <c r="M110" s="2"/>
      <c r="N110" s="7">
        <f t="shared" si="61"/>
        <v>1.6208839830469004</v>
      </c>
      <c r="O110" s="11"/>
      <c r="P110" s="6">
        <v>1414.17</v>
      </c>
      <c r="Q110" s="2"/>
      <c r="R110" s="7">
        <f t="shared" si="62"/>
        <v>7.2719768822128664E-3</v>
      </c>
      <c r="S110" s="2"/>
      <c r="T110" s="6">
        <v>1747.75</v>
      </c>
      <c r="U110" s="2"/>
      <c r="V110" s="7">
        <f t="shared" si="63"/>
        <v>1.044583686408895E-2</v>
      </c>
      <c r="W110" s="2"/>
      <c r="X110" s="6">
        <f t="shared" si="64"/>
        <v>-333.57999999999993</v>
      </c>
      <c r="Y110" s="2"/>
      <c r="Z110" s="7">
        <f t="shared" si="65"/>
        <v>-0.19086253754827631</v>
      </c>
    </row>
    <row r="111" spans="1:26" s="27" customFormat="1" outlineLevel="1" collapsed="1" x14ac:dyDescent="0.25">
      <c r="A111" s="25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SUM(OSRRefD22_18x_0)</f>
        <v>334.37</v>
      </c>
      <c r="E111" s="1"/>
      <c r="F111" s="5">
        <f t="shared" si="58"/>
        <v>8.1693613644448458E-3</v>
      </c>
      <c r="G111" s="1"/>
      <c r="H111" s="1">
        <f>SUM(OSRRefH22_18x_0)</f>
        <v>81.83</v>
      </c>
      <c r="I111" s="1"/>
      <c r="J111" s="5">
        <f t="shared" si="59"/>
        <v>2.1711830440235684E-3</v>
      </c>
      <c r="K111" s="1"/>
      <c r="L111" s="1">
        <f t="shared" si="60"/>
        <v>252.54000000000002</v>
      </c>
      <c r="M111" s="1"/>
      <c r="N111" s="5">
        <f t="shared" si="61"/>
        <v>3.0861542221679095</v>
      </c>
      <c r="O111" s="13"/>
      <c r="P111" s="1">
        <f>SUM(OSRRefP22_18x_0)</f>
        <v>436.47</v>
      </c>
      <c r="Q111" s="1"/>
      <c r="R111" s="5">
        <f t="shared" si="62"/>
        <v>2.2444258821637071E-3</v>
      </c>
      <c r="S111" s="1"/>
      <c r="T111" s="1">
        <f>SUM(OSRRefT22_18x_0)</f>
        <v>298.25</v>
      </c>
      <c r="U111" s="1"/>
      <c r="V111" s="5">
        <f t="shared" si="63"/>
        <v>1.7825609181602226E-3</v>
      </c>
      <c r="W111" s="1"/>
      <c r="X111" s="1">
        <f t="shared" si="64"/>
        <v>138.22000000000003</v>
      </c>
      <c r="Y111" s="1"/>
      <c r="Z111" s="5">
        <f t="shared" si="65"/>
        <v>0.46343671416596827</v>
      </c>
    </row>
    <row r="112" spans="1:26" s="24" customFormat="1" hidden="1" outlineLevel="2" x14ac:dyDescent="0.25">
      <c r="A112" s="26"/>
      <c r="B112" s="11" t="str">
        <f>CONCATENATE("          ", "6294", " - ", "TRAVEL OPERATIONAL")</f>
        <v xml:space="preserve">          6294 - TRAVEL OPERATIONAL</v>
      </c>
      <c r="C112" s="11"/>
      <c r="D112" s="6">
        <v>334.37</v>
      </c>
      <c r="E112" s="2"/>
      <c r="F112" s="7">
        <f t="shared" si="58"/>
        <v>8.1693613644448458E-3</v>
      </c>
      <c r="G112" s="2"/>
      <c r="H112" s="6">
        <v>81.83</v>
      </c>
      <c r="I112" s="2"/>
      <c r="J112" s="7">
        <f t="shared" si="59"/>
        <v>2.1711830440235684E-3</v>
      </c>
      <c r="K112" s="2"/>
      <c r="L112" s="6">
        <f t="shared" si="60"/>
        <v>252.54000000000002</v>
      </c>
      <c r="M112" s="2"/>
      <c r="N112" s="7">
        <f t="shared" si="61"/>
        <v>3.0861542221679095</v>
      </c>
      <c r="O112" s="11"/>
      <c r="P112" s="6">
        <v>436.47</v>
      </c>
      <c r="Q112" s="2"/>
      <c r="R112" s="7">
        <f t="shared" si="62"/>
        <v>2.2444258821637071E-3</v>
      </c>
      <c r="S112" s="2"/>
      <c r="T112" s="6">
        <v>298.25</v>
      </c>
      <c r="U112" s="2"/>
      <c r="V112" s="7">
        <f t="shared" si="63"/>
        <v>1.7825609181602226E-3</v>
      </c>
      <c r="W112" s="2"/>
      <c r="X112" s="6">
        <f t="shared" si="64"/>
        <v>138.22000000000003</v>
      </c>
      <c r="Y112" s="2"/>
      <c r="Z112" s="7">
        <f t="shared" si="65"/>
        <v>0.46343671416596827</v>
      </c>
    </row>
    <row r="113" spans="1:26" s="27" customFormat="1" outlineLevel="1" collapsed="1" x14ac:dyDescent="0.25">
      <c r="A113" s="25"/>
      <c r="B113" s="13" t="str">
        <f>CONCATENATE("     ","Utilities                                         ")</f>
        <v xml:space="preserve">     Utilities                                         </v>
      </c>
      <c r="C113" s="13"/>
      <c r="D113" s="1">
        <f>SUM(OSRRefD22_19x_0)</f>
        <v>43.86</v>
      </c>
      <c r="E113" s="1"/>
      <c r="F113" s="5">
        <f t="shared" si="58"/>
        <v>1.07159191747032E-3</v>
      </c>
      <c r="G113" s="1"/>
      <c r="H113" s="1">
        <f>SUM(OSRRefH22_19x_0)</f>
        <v>57.7</v>
      </c>
      <c r="I113" s="1"/>
      <c r="J113" s="5">
        <f t="shared" si="59"/>
        <v>1.5309453946005121E-3</v>
      </c>
      <c r="K113" s="1"/>
      <c r="L113" s="1">
        <f t="shared" si="60"/>
        <v>-13.840000000000003</v>
      </c>
      <c r="M113" s="1"/>
      <c r="N113" s="5">
        <f t="shared" si="61"/>
        <v>-0.2398613518197574</v>
      </c>
      <c r="O113" s="13"/>
      <c r="P113" s="1">
        <f>SUM(OSRRefP22_19x_0)</f>
        <v>195.66</v>
      </c>
      <c r="Q113" s="1"/>
      <c r="R113" s="5">
        <f t="shared" si="62"/>
        <v>1.0061272667174167E-3</v>
      </c>
      <c r="S113" s="1"/>
      <c r="T113" s="1">
        <f>SUM(OSRRefT22_19x_0)</f>
        <v>261.25</v>
      </c>
      <c r="U113" s="1"/>
      <c r="V113" s="5">
        <f t="shared" si="63"/>
        <v>1.5614217598302034E-3</v>
      </c>
      <c r="W113" s="1"/>
      <c r="X113" s="1">
        <f t="shared" si="64"/>
        <v>-65.59</v>
      </c>
      <c r="Y113" s="1"/>
      <c r="Z113" s="5">
        <f t="shared" si="65"/>
        <v>-0.25106220095693782</v>
      </c>
    </row>
    <row r="114" spans="1:26" s="24" customFormat="1" hidden="1" outlineLevel="2" x14ac:dyDescent="0.25">
      <c r="A114" s="26"/>
      <c r="B114" s="11" t="str">
        <f>CONCATENATE("          ", "6274", " - ", "UTILITIES")</f>
        <v xml:space="preserve">          6274 - UTILITIES</v>
      </c>
      <c r="C114" s="11"/>
      <c r="D114" s="6">
        <v>43.86</v>
      </c>
      <c r="E114" s="2"/>
      <c r="F114" s="7">
        <f t="shared" si="58"/>
        <v>1.07159191747032E-3</v>
      </c>
      <c r="G114" s="2"/>
      <c r="H114" s="6">
        <v>57.7</v>
      </c>
      <c r="I114" s="2"/>
      <c r="J114" s="7">
        <f t="shared" si="59"/>
        <v>1.5309453946005121E-3</v>
      </c>
      <c r="K114" s="2"/>
      <c r="L114" s="6">
        <f t="shared" si="60"/>
        <v>-13.840000000000003</v>
      </c>
      <c r="M114" s="2"/>
      <c r="N114" s="7">
        <f t="shared" si="61"/>
        <v>-0.2398613518197574</v>
      </c>
      <c r="O114" s="11"/>
      <c r="P114" s="6">
        <v>195.66</v>
      </c>
      <c r="Q114" s="2"/>
      <c r="R114" s="7">
        <f t="shared" si="62"/>
        <v>1.0061272667174167E-3</v>
      </c>
      <c r="S114" s="2"/>
      <c r="T114" s="6">
        <v>261.25</v>
      </c>
      <c r="U114" s="2"/>
      <c r="V114" s="7">
        <f t="shared" si="63"/>
        <v>1.5614217598302034E-3</v>
      </c>
      <c r="W114" s="2"/>
      <c r="X114" s="6">
        <f t="shared" si="64"/>
        <v>-65.59</v>
      </c>
      <c r="Y114" s="2"/>
      <c r="Z114" s="7">
        <f t="shared" si="65"/>
        <v>-0.25106220095693782</v>
      </c>
    </row>
    <row r="115" spans="1:26" s="55" customFormat="1" x14ac:dyDescent="0.25">
      <c r="A115" s="37"/>
      <c r="B115" s="37"/>
      <c r="C115" s="37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7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x14ac:dyDescent="0.25">
      <c r="A116" s="10"/>
      <c r="B116" s="29" t="s">
        <v>0</v>
      </c>
      <c r="C116" s="10"/>
      <c r="D116" s="4">
        <f>SUM(0)</f>
        <v>0</v>
      </c>
      <c r="E116" s="4"/>
      <c r="F116" s="12">
        <f>IF(D$12=0,0,D116/D$12)</f>
        <v>0</v>
      </c>
      <c r="G116" s="4"/>
      <c r="H116" s="4">
        <f>SUM(0)</f>
        <v>0</v>
      </c>
      <c r="I116" s="4"/>
      <c r="J116" s="12">
        <f>IF(H$12=0,0,H116/H$12)</f>
        <v>0</v>
      </c>
      <c r="K116" s="4"/>
      <c r="L116" s="4">
        <f>+D116-H116</f>
        <v>0</v>
      </c>
      <c r="M116" s="4"/>
      <c r="N116" s="12">
        <f>IF(H116=0,0,L116/H116)</f>
        <v>0</v>
      </c>
      <c r="O116" s="10"/>
      <c r="P116" s="4">
        <f>SUM(0)</f>
        <v>0</v>
      </c>
      <c r="Q116" s="4"/>
      <c r="R116" s="12">
        <f>IF(P$12=0,0,P116/P$12)</f>
        <v>0</v>
      </c>
      <c r="S116" s="4"/>
      <c r="T116" s="4">
        <f>SUM(0)</f>
        <v>0</v>
      </c>
      <c r="U116" s="4"/>
      <c r="V116" s="12">
        <f>IF(T$12=0,0,T116/T$12)</f>
        <v>0</v>
      </c>
      <c r="W116" s="4"/>
      <c r="X116" s="4">
        <f>+P116-T116</f>
        <v>0</v>
      </c>
      <c r="Y116" s="4"/>
      <c r="Z116" s="12">
        <f>IF(T116=0,0,X116/T116)</f>
        <v>0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8" t="s">
        <v>3</v>
      </c>
      <c r="C118" s="28"/>
      <c r="D118" s="21">
        <f>+D55-D57+D116</f>
        <v>-6657.2400000000016</v>
      </c>
      <c r="E118" s="14"/>
      <c r="F118" s="22">
        <f>IF(D$12=0,0,D118/D$12)</f>
        <v>-0.16265035514500947</v>
      </c>
      <c r="G118" s="14"/>
      <c r="H118" s="21">
        <f>+H55-H57+H116</f>
        <v>-6876.0399999999972</v>
      </c>
      <c r="I118" s="14"/>
      <c r="J118" s="22">
        <f>IF(H$12=0,0,H118/H$12)</f>
        <v>-0.18244093190795321</v>
      </c>
      <c r="K118" s="16"/>
      <c r="L118" s="21">
        <f>+D118-H118</f>
        <v>218.79999999999563</v>
      </c>
      <c r="M118" s="16"/>
      <c r="N118" s="22">
        <f>IF(H118=0,0,L118/H118)</f>
        <v>-3.1820640950313804E-2</v>
      </c>
      <c r="O118" s="29"/>
      <c r="P118" s="21">
        <f>+P55-P57+P116</f>
        <v>-7673.1699999999691</v>
      </c>
      <c r="Q118" s="14"/>
      <c r="R118" s="22">
        <f>IF(P$12=0,0,P118/P$12)</f>
        <v>-3.945714790533604E-2</v>
      </c>
      <c r="S118" s="14"/>
      <c r="T118" s="21">
        <f>+T55-T57+T116</f>
        <v>-16512.24000000002</v>
      </c>
      <c r="U118" s="14"/>
      <c r="V118" s="22">
        <f>IF(T$12=0,0,T118/T$12)</f>
        <v>-9.8689266371440043E-2</v>
      </c>
      <c r="W118" s="16"/>
      <c r="X118" s="21">
        <f>+P118-T118</f>
        <v>8839.0700000000506</v>
      </c>
      <c r="Y118" s="16"/>
      <c r="Z118" s="22">
        <f>IF(T118=0,0,X118/T118)</f>
        <v>-0.53530411379679799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1"/>
      <c r="B120" s="10" t="s">
        <v>13</v>
      </c>
      <c r="C120" s="10"/>
      <c r="D120" s="4">
        <v>3083.6</v>
      </c>
      <c r="E120" s="4"/>
      <c r="F120" s="12">
        <f>IF(D$12=0,0,D120/D$12)</f>
        <v>7.533882436642679E-2</v>
      </c>
      <c r="G120" s="4"/>
      <c r="H120" s="4">
        <v>3849.3</v>
      </c>
      <c r="I120" s="4"/>
      <c r="J120" s="12">
        <f>IF(H$12=0,0,H120/H$12)</f>
        <v>0.10213289614273398</v>
      </c>
      <c r="K120" s="4"/>
      <c r="L120" s="4">
        <f>+D120-H120</f>
        <v>-765.70000000000027</v>
      </c>
      <c r="M120" s="4"/>
      <c r="N120" s="12">
        <f>IF(H120=0,0,L120/H120)</f>
        <v>-0.19891928402566705</v>
      </c>
      <c r="O120" s="10"/>
      <c r="P120" s="4">
        <v>19575.689999999999</v>
      </c>
      <c r="Q120" s="4"/>
      <c r="R120" s="12">
        <f>IF(P$12=0,0,P120/P$12)</f>
        <v>0.10066255480837917</v>
      </c>
      <c r="S120" s="4"/>
      <c r="T120" s="4">
        <v>15366.22</v>
      </c>
      <c r="U120" s="4"/>
      <c r="V120" s="12">
        <f>IF(T$12=0,0,T120/T$12)</f>
        <v>9.1839809662538061E-2</v>
      </c>
      <c r="W120" s="4"/>
      <c r="X120" s="4">
        <f>+P120-T120</f>
        <v>4209.4699999999993</v>
      </c>
      <c r="Y120" s="4"/>
      <c r="Z120" s="12">
        <f>IF(T120=0,0,X120/T120)</f>
        <v>0.2739431037691768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8" t="s">
        <v>4</v>
      </c>
      <c r="C122" s="28"/>
      <c r="D122" s="31">
        <f>+D118-D120</f>
        <v>-9740.840000000002</v>
      </c>
      <c r="E122" s="14"/>
      <c r="F122" s="34">
        <f>IF(D$12=0,0,D122/D$12)</f>
        <v>-0.23798917951143625</v>
      </c>
      <c r="G122" s="14"/>
      <c r="H122" s="31">
        <f>+H118-H120</f>
        <v>-10725.339999999997</v>
      </c>
      <c r="I122" s="14"/>
      <c r="J122" s="34">
        <f>IF(H$12=0,0,H122/H$12)</f>
        <v>-0.28457382805068715</v>
      </c>
      <c r="K122" s="16"/>
      <c r="L122" s="31">
        <f>D122-H122</f>
        <v>984.49999999999454</v>
      </c>
      <c r="M122" s="16"/>
      <c r="N122" s="34">
        <f>IF(H122=0,0,L122/H122)</f>
        <v>-9.1791961839903902E-2</v>
      </c>
      <c r="O122" s="29"/>
      <c r="P122" s="31">
        <f>+P118-P120</f>
        <v>-27248.859999999968</v>
      </c>
      <c r="Q122" s="14"/>
      <c r="R122" s="34">
        <f>IF(P$12=0,0,P122/P$12)</f>
        <v>-0.14011970271371521</v>
      </c>
      <c r="S122" s="14"/>
      <c r="T122" s="31">
        <f>+T118-T120</f>
        <v>-31878.460000000021</v>
      </c>
      <c r="U122" s="14"/>
      <c r="V122" s="34">
        <f>IF(T$12=0,0,T122/T$12)</f>
        <v>-0.19052907603397812</v>
      </c>
      <c r="W122" s="16"/>
      <c r="X122" s="31">
        <f>P122-T122</f>
        <v>4629.6000000000531</v>
      </c>
      <c r="Y122" s="16"/>
      <c r="Z122" s="34">
        <f>IF(T122=0,0,X122/T122)</f>
        <v>-0.14522658873734962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5</v>
      </c>
      <c r="C125" s="28"/>
      <c r="D125" s="36">
        <f>SUM(D122:D124)</f>
        <v>-9740.840000000002</v>
      </c>
      <c r="E125" s="14"/>
      <c r="F125" s="33">
        <f>IF(D$12=0,0,D125/D$12)</f>
        <v>-0.23798917951143625</v>
      </c>
      <c r="G125" s="14"/>
      <c r="H125" s="36">
        <f>SUM(H122:H124)</f>
        <v>-10725.339999999997</v>
      </c>
      <c r="I125" s="14"/>
      <c r="J125" s="33">
        <f>IF(H$12=0,0,H125/H$12)</f>
        <v>-0.28457382805068715</v>
      </c>
      <c r="K125" s="16"/>
      <c r="L125" s="36">
        <f>+D125-H125</f>
        <v>984.49999999999454</v>
      </c>
      <c r="M125" s="16"/>
      <c r="N125" s="33">
        <f>IF(H125=0,0,L125/H125)</f>
        <v>-9.1791961839903902E-2</v>
      </c>
      <c r="O125" s="29"/>
      <c r="P125" s="36">
        <f>SUM(P122:P124)</f>
        <v>-27248.859999999968</v>
      </c>
      <c r="Q125" s="14"/>
      <c r="R125" s="33">
        <f>IF(P$12=0,0,P125/P$12)</f>
        <v>-0.14011970271371521</v>
      </c>
      <c r="S125" s="14"/>
      <c r="T125" s="36">
        <f>SUM(T122:T124)</f>
        <v>-31878.460000000021</v>
      </c>
      <c r="U125" s="14"/>
      <c r="V125" s="33">
        <f>IF(T$12=0,0,T125/T$12)</f>
        <v>-0.19052907603397812</v>
      </c>
      <c r="W125" s="16"/>
      <c r="X125" s="36">
        <f>+P125-T125</f>
        <v>4629.6000000000531</v>
      </c>
      <c r="Y125" s="16"/>
      <c r="Z125" s="33">
        <f>IF(T125=0,0,X125/T125)</f>
        <v>-0.14522658873734962</v>
      </c>
    </row>
    <row r="126" spans="1:26" ht="15.75" thickTop="1" x14ac:dyDescent="0.25">
      <c r="A126" s="9"/>
      <c r="C126" s="9"/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A127" s="9"/>
      <c r="B127" s="61">
        <v>43791.355484409723</v>
      </c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A128" s="9"/>
      <c r="B128" s="56" t="s">
        <v>313</v>
      </c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1:24" x14ac:dyDescent="0.25">
      <c r="A129" s="9"/>
      <c r="B129" s="57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303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57527.47</v>
      </c>
      <c r="E12" s="4"/>
      <c r="F12" s="12"/>
      <c r="G12" s="4"/>
      <c r="H12" s="4">
        <f>SUM(OSRRefH13x_0)</f>
        <v>56454.66</v>
      </c>
      <c r="I12" s="4"/>
      <c r="J12" s="12"/>
      <c r="K12" s="4"/>
      <c r="L12" s="4">
        <f t="shared" ref="L12:L28" si="0">+D12-H12</f>
        <v>1072.8099999999977</v>
      </c>
      <c r="M12" s="4"/>
      <c r="N12" s="12">
        <f t="shared" ref="N12:N28" si="1">IF(H12=0,0,L12/H12)</f>
        <v>1.9003037127493065E-2</v>
      </c>
      <c r="O12" s="10"/>
      <c r="P12" s="4">
        <f>SUM(OSRRefP13x_0)</f>
        <v>229491.71</v>
      </c>
      <c r="Q12" s="4"/>
      <c r="R12" s="12"/>
      <c r="S12" s="4"/>
      <c r="T12" s="4">
        <f>SUM(OSRRefT13x_0)</f>
        <v>238051.93000000002</v>
      </c>
      <c r="U12" s="4"/>
      <c r="V12" s="12"/>
      <c r="W12" s="4"/>
      <c r="X12" s="4">
        <f t="shared" ref="X12:X28" si="2">+P12-T12</f>
        <v>-8560.2200000000303</v>
      </c>
      <c r="Y12" s="4"/>
      <c r="Z12" s="12">
        <f t="shared" ref="Z12:Z28" si="3">IF(T12=0,0,X12/T12)</f>
        <v>-3.5959464810892433E-2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--1480.05</f>
        <v>1480.05</v>
      </c>
      <c r="E13" s="2"/>
      <c r="F13" s="19"/>
      <c r="G13" s="2"/>
      <c r="H13" s="2">
        <f>--2548.65</f>
        <v>2548.65</v>
      </c>
      <c r="I13" s="2"/>
      <c r="J13" s="19"/>
      <c r="K13" s="2"/>
      <c r="L13" s="2">
        <f t="shared" si="0"/>
        <v>-1068.6000000000001</v>
      </c>
      <c r="M13" s="2"/>
      <c r="N13" s="19">
        <f t="shared" si="1"/>
        <v>-0.4192807957153788</v>
      </c>
      <c r="O13" s="11"/>
      <c r="P13" s="2">
        <f>--96774.25</f>
        <v>96774.25</v>
      </c>
      <c r="Q13" s="2"/>
      <c r="R13" s="19"/>
      <c r="S13" s="2"/>
      <c r="T13" s="2">
        <f>--107961.65</f>
        <v>107961.65</v>
      </c>
      <c r="U13" s="2"/>
      <c r="V13" s="19"/>
      <c r="W13" s="2"/>
      <c r="X13" s="2">
        <f t="shared" si="2"/>
        <v>-11187.399999999994</v>
      </c>
      <c r="Y13" s="2"/>
      <c r="Z13" s="19">
        <f t="shared" si="3"/>
        <v>-0.10362383309258422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--12160.33</f>
        <v>12160.33</v>
      </c>
      <c r="E14" s="2"/>
      <c r="F14" s="19"/>
      <c r="G14" s="2"/>
      <c r="H14" s="2">
        <f>--9139.29</f>
        <v>9139.2900000000009</v>
      </c>
      <c r="I14" s="2"/>
      <c r="J14" s="19"/>
      <c r="K14" s="2"/>
      <c r="L14" s="2">
        <f t="shared" si="0"/>
        <v>3021.0399999999991</v>
      </c>
      <c r="M14" s="2"/>
      <c r="N14" s="19">
        <f t="shared" si="1"/>
        <v>0.33055521818434458</v>
      </c>
      <c r="O14" s="11"/>
      <c r="P14" s="2">
        <f>--31918.22</f>
        <v>31918.22</v>
      </c>
      <c r="Q14" s="2"/>
      <c r="R14" s="19"/>
      <c r="S14" s="2"/>
      <c r="T14" s="2">
        <f>--28158.2</f>
        <v>28158.2</v>
      </c>
      <c r="U14" s="2"/>
      <c r="V14" s="19"/>
      <c r="W14" s="2"/>
      <c r="X14" s="2">
        <f t="shared" si="2"/>
        <v>3760.0200000000004</v>
      </c>
      <c r="Y14" s="2"/>
      <c r="Z14" s="19">
        <f t="shared" si="3"/>
        <v>0.13353197292440569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--2.55</f>
        <v>2.5499999999999998</v>
      </c>
      <c r="E15" s="2"/>
      <c r="F15" s="19"/>
      <c r="G15" s="2"/>
      <c r="H15" s="2">
        <f>--37.46</f>
        <v>37.46</v>
      </c>
      <c r="I15" s="2"/>
      <c r="J15" s="19"/>
      <c r="K15" s="2"/>
      <c r="L15" s="2">
        <f t="shared" si="0"/>
        <v>-34.910000000000004</v>
      </c>
      <c r="M15" s="2"/>
      <c r="N15" s="19">
        <f t="shared" si="1"/>
        <v>-0.93192738921516294</v>
      </c>
      <c r="O15" s="11"/>
      <c r="P15" s="2">
        <f>--98.28</f>
        <v>98.28</v>
      </c>
      <c r="Q15" s="2"/>
      <c r="R15" s="19"/>
      <c r="S15" s="2"/>
      <c r="T15" s="2">
        <f>--391.23</f>
        <v>391.23</v>
      </c>
      <c r="U15" s="2"/>
      <c r="V15" s="19"/>
      <c r="W15" s="2"/>
      <c r="X15" s="2">
        <f t="shared" si="2"/>
        <v>-292.95000000000005</v>
      </c>
      <c r="Y15" s="2"/>
      <c r="Z15" s="19">
        <f t="shared" si="3"/>
        <v>-0.74879227053140107</v>
      </c>
    </row>
    <row r="16" spans="1:26" s="24" customFormat="1" hidden="1" outlineLevel="1" x14ac:dyDescent="0.25">
      <c r="A16" s="44"/>
      <c r="B16" s="11" t="str">
        <f>CONCATENATE("          ", "4047", " - ", "TAXABLE SALES-MISC")</f>
        <v xml:space="preserve">          4047 - TAXABLE SALES-MISC</v>
      </c>
      <c r="C16" s="11"/>
      <c r="D16" s="2">
        <f>--402.65</f>
        <v>402.65</v>
      </c>
      <c r="E16" s="2"/>
      <c r="F16" s="19"/>
      <c r="G16" s="2"/>
      <c r="H16" s="2">
        <f>--532.34</f>
        <v>532.34</v>
      </c>
      <c r="I16" s="2"/>
      <c r="J16" s="19"/>
      <c r="K16" s="2"/>
      <c r="L16" s="2">
        <f t="shared" si="0"/>
        <v>-129.69000000000005</v>
      </c>
      <c r="M16" s="2"/>
      <c r="N16" s="19">
        <f t="shared" si="1"/>
        <v>-0.24362249690047721</v>
      </c>
      <c r="O16" s="11"/>
      <c r="P16" s="2">
        <f>--1374</f>
        <v>1374</v>
      </c>
      <c r="Q16" s="2"/>
      <c r="R16" s="19"/>
      <c r="S16" s="2"/>
      <c r="T16" s="2">
        <f>--1181.85</f>
        <v>1181.8499999999999</v>
      </c>
      <c r="U16" s="2"/>
      <c r="V16" s="19"/>
      <c r="W16" s="2"/>
      <c r="X16" s="2">
        <f t="shared" si="2"/>
        <v>192.15000000000009</v>
      </c>
      <c r="Y16" s="2"/>
      <c r="Z16" s="19">
        <f t="shared" si="3"/>
        <v>0.16258408427465423</v>
      </c>
    </row>
    <row r="17" spans="1:26" s="24" customFormat="1" hidden="1" outlineLevel="1" x14ac:dyDescent="0.25">
      <c r="A17" s="44"/>
      <c r="B17" s="11" t="str">
        <f>CONCATENATE("          ", "4092", " - ", "TAXABLE SALES-GRAD MERCH")</f>
        <v xml:space="preserve">          4092 - TAXABLE SALES-GRAD MERCH</v>
      </c>
      <c r="C17" s="11"/>
      <c r="D17" s="2">
        <f>--1178.45</f>
        <v>1178.45</v>
      </c>
      <c r="E17" s="2"/>
      <c r="F17" s="19"/>
      <c r="G17" s="2"/>
      <c r="H17" s="2">
        <f>--300.95</f>
        <v>300.95</v>
      </c>
      <c r="I17" s="2"/>
      <c r="J17" s="19"/>
      <c r="K17" s="2"/>
      <c r="L17" s="2">
        <f t="shared" si="0"/>
        <v>877.5</v>
      </c>
      <c r="M17" s="2"/>
      <c r="N17" s="19">
        <f t="shared" si="1"/>
        <v>2.9157667386609072</v>
      </c>
      <c r="O17" s="11"/>
      <c r="P17" s="2">
        <f>--5091.03</f>
        <v>5091.03</v>
      </c>
      <c r="Q17" s="2"/>
      <c r="R17" s="19"/>
      <c r="S17" s="2"/>
      <c r="T17" s="2">
        <f>--4367.25</f>
        <v>4367.25</v>
      </c>
      <c r="U17" s="2"/>
      <c r="V17" s="19"/>
      <c r="W17" s="2"/>
      <c r="X17" s="2">
        <f t="shared" si="2"/>
        <v>723.77999999999975</v>
      </c>
      <c r="Y17" s="2"/>
      <c r="Z17" s="19">
        <f t="shared" si="3"/>
        <v>0.16572900566718179</v>
      </c>
    </row>
    <row r="18" spans="1:26" s="24" customFormat="1" hidden="1" outlineLevel="1" x14ac:dyDescent="0.25">
      <c r="A18" s="44"/>
      <c r="B18" s="11" t="str">
        <f>CONCATENATE("          ", "4095", " - ", "TAXABLE SALES-CUSTOMER SERVICE")</f>
        <v xml:space="preserve">          4095 - TAXABLE SALES-CUSTOMER SERVICE</v>
      </c>
      <c r="C18" s="11"/>
      <c r="D18" s="2">
        <f>--40.79</f>
        <v>40.79</v>
      </c>
      <c r="E18" s="2"/>
      <c r="F18" s="19"/>
      <c r="G18" s="2"/>
      <c r="H18" s="2">
        <f>--477.18</f>
        <v>477.18</v>
      </c>
      <c r="I18" s="2"/>
      <c r="J18" s="19"/>
      <c r="K18" s="2"/>
      <c r="L18" s="2">
        <f t="shared" si="0"/>
        <v>-436.39</v>
      </c>
      <c r="M18" s="2"/>
      <c r="N18" s="19">
        <f t="shared" si="1"/>
        <v>-0.91451863028626512</v>
      </c>
      <c r="O18" s="11"/>
      <c r="P18" s="2">
        <f>--217.88</f>
        <v>217.88</v>
      </c>
      <c r="Q18" s="2"/>
      <c r="R18" s="19"/>
      <c r="S18" s="2"/>
      <c r="T18" s="2">
        <f>--1087.06</f>
        <v>1087.06</v>
      </c>
      <c r="U18" s="2"/>
      <c r="V18" s="19"/>
      <c r="W18" s="2"/>
      <c r="X18" s="2">
        <f t="shared" si="2"/>
        <v>-869.18</v>
      </c>
      <c r="Y18" s="2"/>
      <c r="Z18" s="19">
        <f t="shared" si="3"/>
        <v>-0.79956948098541014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>0</f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--152.75</f>
        <v>152.75</v>
      </c>
      <c r="Q19" s="2"/>
      <c r="R19" s="19"/>
      <c r="S19" s="2"/>
      <c r="T19" s="2">
        <f>--1187.45</f>
        <v>1187.45</v>
      </c>
      <c r="U19" s="2"/>
      <c r="V19" s="19"/>
      <c r="W19" s="2"/>
      <c r="X19" s="2">
        <f t="shared" si="2"/>
        <v>-1034.7</v>
      </c>
      <c r="Y19" s="2"/>
      <c r="Z19" s="19">
        <f t="shared" si="3"/>
        <v>-0.87136300475809503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--2246.8</f>
        <v>2246.8000000000002</v>
      </c>
      <c r="E20" s="2"/>
      <c r="F20" s="19"/>
      <c r="G20" s="2"/>
      <c r="H20" s="2">
        <f>--2244.99</f>
        <v>2244.9899999999998</v>
      </c>
      <c r="I20" s="2"/>
      <c r="J20" s="19"/>
      <c r="K20" s="2"/>
      <c r="L20" s="2">
        <f t="shared" si="0"/>
        <v>1.8100000000004002</v>
      </c>
      <c r="M20" s="2"/>
      <c r="N20" s="19">
        <f t="shared" si="1"/>
        <v>8.062396714463763E-4</v>
      </c>
      <c r="O20" s="11"/>
      <c r="P20" s="2">
        <f>--4348.3</f>
        <v>4348.3</v>
      </c>
      <c r="Q20" s="2"/>
      <c r="R20" s="19"/>
      <c r="S20" s="2"/>
      <c r="T20" s="2">
        <f>--4550.49</f>
        <v>4550.49</v>
      </c>
      <c r="U20" s="2"/>
      <c r="V20" s="19"/>
      <c r="W20" s="2"/>
      <c r="X20" s="2">
        <f t="shared" si="2"/>
        <v>-202.1899999999996</v>
      </c>
      <c r="Y20" s="2"/>
      <c r="Z20" s="19">
        <f t="shared" si="3"/>
        <v>-4.4432577590545107E-2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--40316.8</f>
        <v>40316.800000000003</v>
      </c>
      <c r="E21" s="2"/>
      <c r="F21" s="19"/>
      <c r="G21" s="2"/>
      <c r="H21" s="2">
        <f>--41126.65</f>
        <v>41126.65</v>
      </c>
      <c r="I21" s="2"/>
      <c r="J21" s="19"/>
      <c r="K21" s="2"/>
      <c r="L21" s="2">
        <f t="shared" si="0"/>
        <v>-809.84999999999854</v>
      </c>
      <c r="M21" s="2"/>
      <c r="N21" s="19">
        <f t="shared" si="1"/>
        <v>-1.9691611157242286E-2</v>
      </c>
      <c r="O21" s="11"/>
      <c r="P21" s="2">
        <f>--90410.3</f>
        <v>90410.3</v>
      </c>
      <c r="Q21" s="2"/>
      <c r="R21" s="19"/>
      <c r="S21" s="2"/>
      <c r="T21" s="2">
        <f>--90241.1</f>
        <v>90241.1</v>
      </c>
      <c r="U21" s="2"/>
      <c r="V21" s="19"/>
      <c r="W21" s="2"/>
      <c r="X21" s="2">
        <f t="shared" si="2"/>
        <v>169.19999999999709</v>
      </c>
      <c r="Y21" s="2"/>
      <c r="Z21" s="19">
        <f t="shared" si="3"/>
        <v>1.8749771445604839E-3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-240</f>
        <v>-240</v>
      </c>
      <c r="E22" s="2"/>
      <c r="F22" s="19"/>
      <c r="G22" s="2"/>
      <c r="H22" s="2">
        <f>--96</f>
        <v>96</v>
      </c>
      <c r="I22" s="2"/>
      <c r="J22" s="19"/>
      <c r="K22" s="2"/>
      <c r="L22" s="2">
        <f t="shared" si="0"/>
        <v>-336</v>
      </c>
      <c r="M22" s="2"/>
      <c r="N22" s="19">
        <f t="shared" si="1"/>
        <v>-3.5</v>
      </c>
      <c r="O22" s="11"/>
      <c r="P22" s="2">
        <f>--174.9</f>
        <v>174.9</v>
      </c>
      <c r="Q22" s="2"/>
      <c r="R22" s="19"/>
      <c r="S22" s="2"/>
      <c r="T22" s="2">
        <f>--286</f>
        <v>286</v>
      </c>
      <c r="U22" s="2"/>
      <c r="V22" s="19"/>
      <c r="W22" s="2"/>
      <c r="X22" s="2">
        <f t="shared" si="2"/>
        <v>-111.1</v>
      </c>
      <c r="Y22" s="2"/>
      <c r="Z22" s="19">
        <f t="shared" si="3"/>
        <v>-0.38846153846153847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-21</f>
        <v>-21</v>
      </c>
      <c r="E23" s="2"/>
      <c r="F23" s="19"/>
      <c r="G23" s="2"/>
      <c r="H23" s="2">
        <f>-48.85</f>
        <v>-48.85</v>
      </c>
      <c r="I23" s="2"/>
      <c r="J23" s="19"/>
      <c r="K23" s="2"/>
      <c r="L23" s="2">
        <f t="shared" si="0"/>
        <v>27.85</v>
      </c>
      <c r="M23" s="2"/>
      <c r="N23" s="19">
        <f t="shared" si="1"/>
        <v>-0.5701125895598772</v>
      </c>
      <c r="O23" s="11"/>
      <c r="P23" s="2">
        <f>-634.75</f>
        <v>-634.75</v>
      </c>
      <c r="Q23" s="2"/>
      <c r="R23" s="19"/>
      <c r="S23" s="2"/>
      <c r="T23" s="2">
        <f>-774.95</f>
        <v>-774.95</v>
      </c>
      <c r="U23" s="2"/>
      <c r="V23" s="19"/>
      <c r="W23" s="2"/>
      <c r="X23" s="2">
        <f t="shared" si="2"/>
        <v>140.20000000000005</v>
      </c>
      <c r="Y23" s="2"/>
      <c r="Z23" s="19">
        <f t="shared" si="3"/>
        <v>-0.18091489773533781</v>
      </c>
    </row>
    <row r="24" spans="1:26" s="24" customFormat="1" hidden="1" outlineLevel="1" x14ac:dyDescent="0.25">
      <c r="A24" s="44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>0</f>
        <v>0</v>
      </c>
      <c r="E24" s="2"/>
      <c r="F24" s="19"/>
      <c r="G24" s="2"/>
      <c r="H24" s="2">
        <f t="shared" ref="H24:H28" si="4"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-16.2</f>
        <v>-16.2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-16.2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"4292", " - ", "SALES RETURN TAXABLE-GRAD MERC")</f>
        <v xml:space="preserve">          4292 - SALES RETURN TAXABLE-GRAD MERC</v>
      </c>
      <c r="C25" s="11"/>
      <c r="D25" s="2">
        <f>-39.95</f>
        <v>-39.950000000000003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-39.950000000000003</v>
      </c>
      <c r="M25" s="2"/>
      <c r="N25" s="19">
        <f t="shared" si="1"/>
        <v>0</v>
      </c>
      <c r="O25" s="11"/>
      <c r="P25" s="2">
        <f>-409.1</f>
        <v>-409.1</v>
      </c>
      <c r="Q25" s="2"/>
      <c r="R25" s="19"/>
      <c r="S25" s="2"/>
      <c r="T25" s="2">
        <f>-478.25</f>
        <v>-478.25</v>
      </c>
      <c r="U25" s="2"/>
      <c r="V25" s="19"/>
      <c r="W25" s="2"/>
      <c r="X25" s="2">
        <f t="shared" si="2"/>
        <v>69.149999999999977</v>
      </c>
      <c r="Y25" s="2"/>
      <c r="Z25" s="19">
        <f t="shared" si="3"/>
        <v>-0.14458964976476735</v>
      </c>
    </row>
    <row r="26" spans="1:26" s="24" customFormat="1" hidden="1" outlineLevel="1" x14ac:dyDescent="0.25">
      <c r="A26" s="44"/>
      <c r="B26" s="11" t="str">
        <f>CONCATENATE("          ", "4295", " - ", "SALES RETURN TAXABLE-CUSTOMER")</f>
        <v xml:space="preserve">          4295 - SALES RETURN TAXABLE-CUSTOMER</v>
      </c>
      <c r="C26" s="11"/>
      <c r="D26" s="2">
        <f t="shared" ref="D26:D28" si="5">0</f>
        <v>0</v>
      </c>
      <c r="E26" s="2"/>
      <c r="F26" s="19"/>
      <c r="G26" s="2"/>
      <c r="H26" s="2">
        <f t="shared" si="4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27" si="6">0</f>
        <v>0</v>
      </c>
      <c r="Q26" s="2"/>
      <c r="R26" s="19"/>
      <c r="S26" s="2"/>
      <c r="T26" s="2">
        <f>-99</f>
        <v>-99</v>
      </c>
      <c r="U26" s="2"/>
      <c r="V26" s="19"/>
      <c r="W26" s="2"/>
      <c r="X26" s="2">
        <f t="shared" si="2"/>
        <v>99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"4341", " - ", "SALES RETURN NON TAXABLE-LOGO")</f>
        <v xml:space="preserve">          4341 - SALES RETURN NON TAXABLE-LOGO</v>
      </c>
      <c r="C27" s="11"/>
      <c r="D27" s="2">
        <f t="shared" si="5"/>
        <v>0</v>
      </c>
      <c r="E27" s="2"/>
      <c r="F27" s="19"/>
      <c r="G27" s="2"/>
      <c r="H27" s="2">
        <f t="shared" si="4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6"/>
        <v>0</v>
      </c>
      <c r="Q27" s="2"/>
      <c r="R27" s="19"/>
      <c r="S27" s="2"/>
      <c r="T27" s="2">
        <f>-8.15</f>
        <v>-8.15</v>
      </c>
      <c r="U27" s="2"/>
      <c r="V27" s="19"/>
      <c r="W27" s="2"/>
      <c r="X27" s="2">
        <f t="shared" si="2"/>
        <v>8.15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"4346", " - ", "SALES RETURN NON TAXABLE-COIN-")</f>
        <v xml:space="preserve">          4346 - SALES RETURN NON TAXABLE-COIN-</v>
      </c>
      <c r="C28" s="11"/>
      <c r="D28" s="2">
        <f t="shared" si="5"/>
        <v>0</v>
      </c>
      <c r="E28" s="2"/>
      <c r="F28" s="19"/>
      <c r="G28" s="2"/>
      <c r="H28" s="2">
        <f t="shared" si="4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-8.15</f>
        <v>-8.15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-8.15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9" t="s">
        <v>8</v>
      </c>
      <c r="C30" s="10"/>
      <c r="D30" s="4">
        <f>SUM(OSRRefD16x_0)</f>
        <v>570.54</v>
      </c>
      <c r="E30" s="4"/>
      <c r="F30" s="12">
        <f t="shared" ref="F30:F35" si="7">IF(D$12=0,0,D30/D$12)</f>
        <v>9.9176967108061589E-3</v>
      </c>
      <c r="G30" s="4"/>
      <c r="H30" s="4">
        <f>SUM(OSRRefH16x_0)</f>
        <v>131.67999999999995</v>
      </c>
      <c r="I30" s="4"/>
      <c r="J30" s="12">
        <f t="shared" ref="J30:J35" si="8">IF(H$12=0,0,H30/H$12)</f>
        <v>2.3324912416441785E-3</v>
      </c>
      <c r="K30" s="4"/>
      <c r="L30" s="4">
        <f t="shared" ref="L30:L35" si="9">+D30-H30</f>
        <v>438.86</v>
      </c>
      <c r="M30" s="4"/>
      <c r="N30" s="12">
        <f t="shared" ref="N30:N35" si="10">IF(H30=0,0,L30/H30)</f>
        <v>3.332776427703525</v>
      </c>
      <c r="O30" s="10"/>
      <c r="P30" s="4">
        <f>SUM(OSRRefP16x_0)</f>
        <v>2462.1200000000003</v>
      </c>
      <c r="Q30" s="4"/>
      <c r="R30" s="12">
        <f t="shared" ref="R30:R35" si="11">IF(P$12=0,0,P30/P$12)</f>
        <v>1.0728579258919638E-2</v>
      </c>
      <c r="S30" s="4"/>
      <c r="T30" s="4">
        <f>SUM(OSRRefT16x_0)</f>
        <v>1605.5400000000002</v>
      </c>
      <c r="U30" s="4"/>
      <c r="V30" s="12">
        <f t="shared" ref="V30:V35" si="12">IF(T$12=0,0,T30/T$12)</f>
        <v>6.7444947831340838E-3</v>
      </c>
      <c r="W30" s="4"/>
      <c r="X30" s="4">
        <f t="shared" ref="X30:X35" si="13">+P30-T30</f>
        <v>856.58000000000015</v>
      </c>
      <c r="Y30" s="4"/>
      <c r="Z30" s="12">
        <f t="shared" ref="Z30:Z35" si="14">IF(T30=0,0,X30/T30)</f>
        <v>0.53351520360750904</v>
      </c>
    </row>
    <row r="31" spans="1:26" s="24" customFormat="1" hidden="1" outlineLevel="1" x14ac:dyDescent="0.25">
      <c r="A31" s="44"/>
      <c r="B31" s="11" t="str">
        <f>CONCATENATE("          ", "5092", " - ", "PURCHASES @ COST-GRAD MERCH")</f>
        <v xml:space="preserve">          5092 - PURCHASES @ COST-GRAD MERCH</v>
      </c>
      <c r="C31" s="11"/>
      <c r="D31" s="2">
        <v>1343.54</v>
      </c>
      <c r="E31" s="2"/>
      <c r="F31" s="19">
        <f t="shared" si="7"/>
        <v>2.3354755562864139E-2</v>
      </c>
      <c r="G31" s="2"/>
      <c r="H31" s="2">
        <v>572.4</v>
      </c>
      <c r="I31" s="2"/>
      <c r="J31" s="19">
        <f t="shared" si="8"/>
        <v>1.013910986267564E-2</v>
      </c>
      <c r="K31" s="2"/>
      <c r="L31" s="2">
        <f t="shared" si="9"/>
        <v>771.14</v>
      </c>
      <c r="M31" s="2"/>
      <c r="N31" s="19">
        <f t="shared" si="10"/>
        <v>1.3472047519217332</v>
      </c>
      <c r="O31" s="11"/>
      <c r="P31" s="2">
        <v>1356.49</v>
      </c>
      <c r="Q31" s="2"/>
      <c r="R31" s="19">
        <f t="shared" si="11"/>
        <v>5.9108453198592663E-3</v>
      </c>
      <c r="S31" s="2"/>
      <c r="T31" s="2">
        <v>-2698.04</v>
      </c>
      <c r="U31" s="2"/>
      <c r="V31" s="19">
        <f t="shared" si="12"/>
        <v>-1.1333829555593184E-2</v>
      </c>
      <c r="W31" s="2"/>
      <c r="X31" s="2">
        <f t="shared" si="13"/>
        <v>4054.5299999999997</v>
      </c>
      <c r="Y31" s="2"/>
      <c r="Z31" s="19">
        <f t="shared" si="14"/>
        <v>-1.5027686765207335</v>
      </c>
    </row>
    <row r="32" spans="1:26" s="24" customFormat="1" hidden="1" outlineLevel="1" x14ac:dyDescent="0.25">
      <c r="A32" s="44"/>
      <c r="B32" s="11" t="str">
        <f>CONCATENATE("          ", "5095", " - ", "PURCHASES @ COST-CUSTOMER SERV")</f>
        <v xml:space="preserve">          5095 - PURCHASES @ COST-CUSTOMER SERV</v>
      </c>
      <c r="C32" s="11"/>
      <c r="D32" s="2"/>
      <c r="E32" s="2"/>
      <c r="F32" s="19">
        <f t="shared" si="7"/>
        <v>0</v>
      </c>
      <c r="G32" s="2"/>
      <c r="H32" s="2">
        <v>-54.72</v>
      </c>
      <c r="I32" s="2"/>
      <c r="J32" s="19">
        <f t="shared" si="8"/>
        <v>-9.692733956771681E-4</v>
      </c>
      <c r="K32" s="2"/>
      <c r="L32" s="2">
        <f t="shared" si="9"/>
        <v>54.72</v>
      </c>
      <c r="M32" s="2"/>
      <c r="N32" s="19">
        <f t="shared" si="10"/>
        <v>-1</v>
      </c>
      <c r="O32" s="11"/>
      <c r="P32" s="2">
        <v>11.85</v>
      </c>
      <c r="Q32" s="2"/>
      <c r="R32" s="19">
        <f t="shared" si="11"/>
        <v>5.1635852118579795E-5</v>
      </c>
      <c r="S32" s="2"/>
      <c r="T32" s="2">
        <v>-54.72</v>
      </c>
      <c r="U32" s="2"/>
      <c r="V32" s="19">
        <f t="shared" si="12"/>
        <v>-2.2986581121186455E-4</v>
      </c>
      <c r="W32" s="2"/>
      <c r="X32" s="2">
        <f t="shared" si="13"/>
        <v>66.569999999999993</v>
      </c>
      <c r="Y32" s="2"/>
      <c r="Z32" s="19">
        <f t="shared" si="14"/>
        <v>-1.2165570175438596</v>
      </c>
    </row>
    <row r="33" spans="1:26" s="24" customFormat="1" hidden="1" outlineLevel="1" x14ac:dyDescent="0.25">
      <c r="A33" s="44"/>
      <c r="B33" s="11" t="str">
        <f>CONCATENATE("          ", "5200", " - ", "PURCHASES OFFSET")</f>
        <v xml:space="preserve">          5200 - PURCHASES OFFSET</v>
      </c>
      <c r="C33" s="11"/>
      <c r="D33" s="2">
        <v>-1344</v>
      </c>
      <c r="E33" s="2"/>
      <c r="F33" s="19">
        <f t="shared" si="7"/>
        <v>-2.3362751742776102E-2</v>
      </c>
      <c r="G33" s="2"/>
      <c r="H33" s="2">
        <v>-517</v>
      </c>
      <c r="I33" s="2"/>
      <c r="J33" s="19">
        <f t="shared" si="8"/>
        <v>-9.1577914028709052E-3</v>
      </c>
      <c r="K33" s="2"/>
      <c r="L33" s="2">
        <f t="shared" si="9"/>
        <v>-827</v>
      </c>
      <c r="M33" s="2"/>
      <c r="N33" s="19">
        <f t="shared" si="10"/>
        <v>1.5996131528046422</v>
      </c>
      <c r="O33" s="11"/>
      <c r="P33" s="2">
        <v>-1440</v>
      </c>
      <c r="Q33" s="2"/>
      <c r="R33" s="19">
        <f t="shared" si="11"/>
        <v>-6.2747364599793172E-3</v>
      </c>
      <c r="S33" s="2"/>
      <c r="T33" s="2">
        <v>2640</v>
      </c>
      <c r="U33" s="2"/>
      <c r="V33" s="19">
        <f t="shared" si="12"/>
        <v>1.1090017207589956E-2</v>
      </c>
      <c r="W33" s="2"/>
      <c r="X33" s="2">
        <f t="shared" si="13"/>
        <v>-4080</v>
      </c>
      <c r="Y33" s="2"/>
      <c r="Z33" s="19">
        <f t="shared" si="14"/>
        <v>-1.5454545454545454</v>
      </c>
    </row>
    <row r="34" spans="1:26" s="24" customFormat="1" hidden="1" outlineLevel="1" x14ac:dyDescent="0.25">
      <c r="A34" s="44"/>
      <c r="B34" s="11" t="str">
        <f>CONCATENATE("          ", "5300", " - ", "COG$ OFFSET")</f>
        <v xml:space="preserve">          5300 - COG$ OFFSET</v>
      </c>
      <c r="C34" s="11"/>
      <c r="D34" s="2">
        <v>571</v>
      </c>
      <c r="E34" s="2"/>
      <c r="F34" s="19">
        <f t="shared" si="7"/>
        <v>9.9256928907181206E-3</v>
      </c>
      <c r="G34" s="2"/>
      <c r="H34" s="2">
        <v>131</v>
      </c>
      <c r="I34" s="2"/>
      <c r="J34" s="19">
        <f t="shared" si="8"/>
        <v>2.3204461775166124E-3</v>
      </c>
      <c r="K34" s="2"/>
      <c r="L34" s="2">
        <f t="shared" si="9"/>
        <v>440</v>
      </c>
      <c r="M34" s="2"/>
      <c r="N34" s="19">
        <f t="shared" si="10"/>
        <v>3.3587786259541983</v>
      </c>
      <c r="O34" s="11"/>
      <c r="P34" s="2">
        <v>2463</v>
      </c>
      <c r="Q34" s="2"/>
      <c r="R34" s="19">
        <f t="shared" si="11"/>
        <v>1.0732413820089624E-2</v>
      </c>
      <c r="S34" s="2"/>
      <c r="T34" s="2">
        <v>1604</v>
      </c>
      <c r="U34" s="2"/>
      <c r="V34" s="19">
        <f t="shared" si="12"/>
        <v>6.7380256064296555E-3</v>
      </c>
      <c r="W34" s="2"/>
      <c r="X34" s="2">
        <f t="shared" si="13"/>
        <v>859</v>
      </c>
      <c r="Y34" s="2"/>
      <c r="Z34" s="19">
        <f t="shared" si="14"/>
        <v>0.53553615960099754</v>
      </c>
    </row>
    <row r="35" spans="1:26" s="24" customFormat="1" hidden="1" outlineLevel="1" x14ac:dyDescent="0.25">
      <c r="A35" s="44"/>
      <c r="B35" s="11" t="str">
        <f>CONCATENATE("          ", "5592", " - ", "FREIGHT-IN-GRAD MERCH")</f>
        <v xml:space="preserve">          5592 - FREIGHT-IN-GRAD MERCH</v>
      </c>
      <c r="C35" s="11"/>
      <c r="D35" s="2"/>
      <c r="E35" s="2"/>
      <c r="F35" s="19">
        <f t="shared" si="7"/>
        <v>0</v>
      </c>
      <c r="G35" s="2"/>
      <c r="H35" s="2"/>
      <c r="I35" s="2"/>
      <c r="J35" s="19">
        <f t="shared" si="8"/>
        <v>0</v>
      </c>
      <c r="K35" s="2"/>
      <c r="L35" s="2">
        <f t="shared" si="9"/>
        <v>0</v>
      </c>
      <c r="M35" s="2"/>
      <c r="N35" s="19">
        <f t="shared" si="10"/>
        <v>0</v>
      </c>
      <c r="O35" s="11"/>
      <c r="P35" s="2">
        <v>70.78</v>
      </c>
      <c r="Q35" s="2"/>
      <c r="R35" s="19">
        <f t="shared" si="11"/>
        <v>3.0842072683148341E-4</v>
      </c>
      <c r="S35" s="2"/>
      <c r="T35" s="2">
        <v>114.3</v>
      </c>
      <c r="U35" s="2"/>
      <c r="V35" s="19">
        <f t="shared" si="12"/>
        <v>4.8014733591951968E-4</v>
      </c>
      <c r="W35" s="2"/>
      <c r="X35" s="2">
        <f t="shared" si="13"/>
        <v>-43.519999999999996</v>
      </c>
      <c r="Y35" s="2"/>
      <c r="Z35" s="19">
        <f t="shared" si="14"/>
        <v>-0.3807524059492563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8" t="s">
        <v>6</v>
      </c>
      <c r="C37" s="28"/>
      <c r="D37" s="21">
        <f>D12-D30</f>
        <v>56956.93</v>
      </c>
      <c r="E37" s="14"/>
      <c r="F37" s="22">
        <f>IF(D$12=0,0,D37/D$12)</f>
        <v>0.99008230328919378</v>
      </c>
      <c r="G37" s="14"/>
      <c r="H37" s="21">
        <f>H12-H30</f>
        <v>56322.98</v>
      </c>
      <c r="I37" s="14"/>
      <c r="J37" s="22">
        <f>IF(H$12=0,0,H37/H$12)</f>
        <v>0.99766750875835586</v>
      </c>
      <c r="K37" s="16"/>
      <c r="L37" s="21">
        <f>+D37-H37</f>
        <v>633.94999999999709</v>
      </c>
      <c r="M37" s="16"/>
      <c r="N37" s="22">
        <f>IF(H37=0,0,L37/H37)</f>
        <v>1.1255618932094804E-2</v>
      </c>
      <c r="O37" s="29"/>
      <c r="P37" s="21">
        <f>P12-P30</f>
        <v>227029.59</v>
      </c>
      <c r="Q37" s="14"/>
      <c r="R37" s="22">
        <f>IF(P$12=0,0,P37/P$12)</f>
        <v>0.98927142074108043</v>
      </c>
      <c r="S37" s="14"/>
      <c r="T37" s="21">
        <f>T12-T30</f>
        <v>236446.39</v>
      </c>
      <c r="U37" s="14"/>
      <c r="V37" s="22">
        <f>IF(T$12=0,0,T37/T$12)</f>
        <v>0.9932555052168659</v>
      </c>
      <c r="W37" s="16"/>
      <c r="X37" s="21">
        <f>+P37-T37</f>
        <v>-9416.8000000000175</v>
      </c>
      <c r="Y37" s="16"/>
      <c r="Z37" s="22">
        <f>IF(T37=0,0,X37/T37)</f>
        <v>-3.982636402272844E-2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9" t="s">
        <v>9</v>
      </c>
      <c r="C39" s="10"/>
      <c r="D39" s="20">
        <f>SUM(OSRRefD22x_0)</f>
        <v>56397.039999999994</v>
      </c>
      <c r="E39" s="20"/>
      <c r="F39" s="35">
        <f t="shared" ref="F39:F48" si="15">IF(D$12=0,0,D39/D$12)</f>
        <v>0.9803497355263493</v>
      </c>
      <c r="G39" s="20"/>
      <c r="H39" s="20">
        <f>SUM(OSRRefH22x_0)</f>
        <v>63015.94</v>
      </c>
      <c r="I39" s="20"/>
      <c r="J39" s="35">
        <f t="shared" ref="J39:J48" si="16">IF(H$12=0,0,H39/H$12)</f>
        <v>1.1162221152337115</v>
      </c>
      <c r="K39" s="4"/>
      <c r="L39" s="20">
        <f t="shared" ref="L39:L48" si="17">+D39-H39</f>
        <v>-6618.9000000000087</v>
      </c>
      <c r="M39" s="4"/>
      <c r="N39" s="35">
        <f t="shared" ref="N39:N48" si="18">IF(H39=0,0,L39/H39)</f>
        <v>-0.10503532915640088</v>
      </c>
      <c r="O39" s="10"/>
      <c r="P39" s="20">
        <f>SUM(OSRRefP22x_0)</f>
        <v>176712.03999999998</v>
      </c>
      <c r="Q39" s="20"/>
      <c r="R39" s="35">
        <f t="shared" ref="R39:R48" si="19">IF(P$12=0,0,P39/P$12)</f>
        <v>0.77001491687869672</v>
      </c>
      <c r="S39" s="20"/>
      <c r="T39" s="20">
        <f>SUM(OSRRefT22x_0)</f>
        <v>191096.71000000002</v>
      </c>
      <c r="U39" s="20"/>
      <c r="V39" s="35">
        <f t="shared" ref="V39:V48" si="20">IF(T$12=0,0,T39/T$12)</f>
        <v>0.80275219780826812</v>
      </c>
      <c r="W39" s="4"/>
      <c r="X39" s="20">
        <f t="shared" ref="X39:X48" si="21">+P39-T39</f>
        <v>-14384.670000000042</v>
      </c>
      <c r="Y39" s="4"/>
      <c r="Z39" s="35">
        <f t="shared" ref="Z39:Z48" si="22">IF(T39=0,0,X39/T39)</f>
        <v>-7.5274294361216576E-2</v>
      </c>
    </row>
    <row r="40" spans="1:26" s="27" customFormat="1" outlineLevel="1" collapsed="1" x14ac:dyDescent="0.25">
      <c r="A40" s="25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10006.25</v>
      </c>
      <c r="E40" s="1"/>
      <c r="F40" s="5">
        <f t="shared" si="15"/>
        <v>0.17393864183493554</v>
      </c>
      <c r="G40" s="1"/>
      <c r="H40" s="1">
        <f>SUM(OSRRefH22_0x_0)</f>
        <v>10273.509999999998</v>
      </c>
      <c r="I40" s="1"/>
      <c r="J40" s="5">
        <f t="shared" si="16"/>
        <v>0.18197806877235639</v>
      </c>
      <c r="K40" s="1"/>
      <c r="L40" s="1">
        <f t="shared" si="17"/>
        <v>-267.2599999999984</v>
      </c>
      <c r="M40" s="1"/>
      <c r="N40" s="5">
        <f t="shared" si="18"/>
        <v>-2.6014478011896464E-2</v>
      </c>
      <c r="O40" s="13"/>
      <c r="P40" s="1">
        <f>SUM(OSRRefP22_0x_0)</f>
        <v>33122.35</v>
      </c>
      <c r="Q40" s="1"/>
      <c r="R40" s="5">
        <f t="shared" si="19"/>
        <v>0.1443291786008305</v>
      </c>
      <c r="S40" s="1"/>
      <c r="T40" s="1">
        <f>SUM(OSRRefT22_0x_0)</f>
        <v>30197.829999999998</v>
      </c>
      <c r="U40" s="1"/>
      <c r="V40" s="5">
        <f t="shared" si="20"/>
        <v>0.12685395997419552</v>
      </c>
      <c r="W40" s="1"/>
      <c r="X40" s="1">
        <f t="shared" si="21"/>
        <v>2924.5200000000004</v>
      </c>
      <c r="Y40" s="1"/>
      <c r="Z40" s="5">
        <f t="shared" si="22"/>
        <v>9.6845369352698538E-2</v>
      </c>
    </row>
    <row r="41" spans="1:26" s="24" customFormat="1" hidden="1" outlineLevel="2" x14ac:dyDescent="0.25">
      <c r="A41" s="26"/>
      <c r="B41" s="11" t="str">
        <f>CONCATENATE("          ", "6111", " - ", "F.I.C.A.")</f>
        <v xml:space="preserve">          6111 - F.I.C.A.</v>
      </c>
      <c r="C41" s="11"/>
      <c r="D41" s="6">
        <v>2360.46</v>
      </c>
      <c r="E41" s="2"/>
      <c r="F41" s="7">
        <f t="shared" si="15"/>
        <v>4.1031875728239048E-2</v>
      </c>
      <c r="G41" s="2"/>
      <c r="H41" s="6">
        <v>2390.88</v>
      </c>
      <c r="I41" s="2"/>
      <c r="J41" s="7">
        <f t="shared" si="16"/>
        <v>4.2350445472526095E-2</v>
      </c>
      <c r="K41" s="2"/>
      <c r="L41" s="6">
        <f t="shared" si="17"/>
        <v>-30.420000000000073</v>
      </c>
      <c r="M41" s="2"/>
      <c r="N41" s="7">
        <f t="shared" si="18"/>
        <v>-1.2723348725155622E-2</v>
      </c>
      <c r="O41" s="11"/>
      <c r="P41" s="6">
        <v>5903.03</v>
      </c>
      <c r="Q41" s="2"/>
      <c r="R41" s="7">
        <f t="shared" si="19"/>
        <v>2.5722192753716462E-2</v>
      </c>
      <c r="S41" s="2"/>
      <c r="T41" s="6">
        <v>5609.83</v>
      </c>
      <c r="U41" s="2"/>
      <c r="V41" s="7">
        <f t="shared" si="20"/>
        <v>2.3565572436232713E-2</v>
      </c>
      <c r="W41" s="2"/>
      <c r="X41" s="6">
        <f t="shared" si="21"/>
        <v>293.19999999999982</v>
      </c>
      <c r="Y41" s="2"/>
      <c r="Z41" s="7">
        <f t="shared" si="22"/>
        <v>5.2265398416707784E-2</v>
      </c>
    </row>
    <row r="42" spans="1:26" s="24" customFormat="1" hidden="1" outlineLevel="2" x14ac:dyDescent="0.25">
      <c r="A42" s="26"/>
      <c r="B42" s="11" t="str">
        <f>CONCATENATE("          ", "6112", " - ", "COMPENSATION INSURANCE")</f>
        <v xml:space="preserve">          6112 - COMPENSATION INSURANCE</v>
      </c>
      <c r="C42" s="11"/>
      <c r="D42" s="6">
        <v>36.97</v>
      </c>
      <c r="E42" s="2"/>
      <c r="F42" s="7">
        <f t="shared" si="15"/>
        <v>6.426495029244289E-4</v>
      </c>
      <c r="G42" s="2"/>
      <c r="H42" s="6">
        <v>517.23</v>
      </c>
      <c r="I42" s="2"/>
      <c r="J42" s="7">
        <f t="shared" si="16"/>
        <v>9.1618654686787589E-3</v>
      </c>
      <c r="K42" s="2"/>
      <c r="L42" s="6">
        <f t="shared" si="17"/>
        <v>-480.26</v>
      </c>
      <c r="M42" s="2"/>
      <c r="N42" s="7">
        <f t="shared" si="18"/>
        <v>-0.92852309417473844</v>
      </c>
      <c r="O42" s="11"/>
      <c r="P42" s="6">
        <v>678.2</v>
      </c>
      <c r="Q42" s="2"/>
      <c r="R42" s="7">
        <f t="shared" si="19"/>
        <v>2.9552265744152593E-3</v>
      </c>
      <c r="S42" s="2"/>
      <c r="T42" s="6">
        <v>930.93</v>
      </c>
      <c r="U42" s="2"/>
      <c r="V42" s="7">
        <f t="shared" si="20"/>
        <v>3.9106173178264083E-3</v>
      </c>
      <c r="W42" s="2"/>
      <c r="X42" s="6">
        <f t="shared" si="21"/>
        <v>-252.7299999999999</v>
      </c>
      <c r="Y42" s="2"/>
      <c r="Z42" s="7">
        <f t="shared" si="22"/>
        <v>-0.27148120696507783</v>
      </c>
    </row>
    <row r="43" spans="1:26" s="24" customFormat="1" hidden="1" outlineLevel="2" x14ac:dyDescent="0.25">
      <c r="A43" s="26"/>
      <c r="B43" s="11" t="str">
        <f>CONCATENATE("          ", "6113", " - ", "GROUP INSURANCE")</f>
        <v xml:space="preserve">          6113 - GROUP INSURANCE</v>
      </c>
      <c r="C43" s="11"/>
      <c r="D43" s="6">
        <v>3051.28</v>
      </c>
      <c r="E43" s="2"/>
      <c r="F43" s="7">
        <f t="shared" si="15"/>
        <v>5.3040399656025201E-2</v>
      </c>
      <c r="G43" s="2"/>
      <c r="H43" s="6">
        <v>2722.97</v>
      </c>
      <c r="I43" s="2"/>
      <c r="J43" s="7">
        <f t="shared" si="16"/>
        <v>4.82328650991787E-2</v>
      </c>
      <c r="K43" s="2"/>
      <c r="L43" s="6">
        <f t="shared" si="17"/>
        <v>328.3100000000004</v>
      </c>
      <c r="M43" s="2"/>
      <c r="N43" s="7">
        <f t="shared" si="18"/>
        <v>0.12057055347653498</v>
      </c>
      <c r="O43" s="11"/>
      <c r="P43" s="6">
        <v>11586.14</v>
      </c>
      <c r="Q43" s="2"/>
      <c r="R43" s="7">
        <f t="shared" si="19"/>
        <v>5.0486093811406084E-2</v>
      </c>
      <c r="S43" s="2"/>
      <c r="T43" s="6">
        <v>9194.74</v>
      </c>
      <c r="U43" s="2"/>
      <c r="V43" s="7">
        <f t="shared" si="20"/>
        <v>3.8624933643680179E-2</v>
      </c>
      <c r="W43" s="2"/>
      <c r="X43" s="6">
        <f t="shared" si="21"/>
        <v>2391.3999999999996</v>
      </c>
      <c r="Y43" s="2"/>
      <c r="Z43" s="7">
        <f t="shared" si="22"/>
        <v>0.26008348251282798</v>
      </c>
    </row>
    <row r="44" spans="1:26" s="24" customFormat="1" hidden="1" outlineLevel="2" x14ac:dyDescent="0.25">
      <c r="A44" s="26"/>
      <c r="B44" s="11" t="str">
        <f>CONCATENATE("          ", "6114", " - ", "STATE UNEMPLOYMENT INSURANCE")</f>
        <v xml:space="preserve">          6114 - STATE UNEMPLOYMENT INSURANCE</v>
      </c>
      <c r="C44" s="11"/>
      <c r="D44" s="6">
        <v>76.510000000000005</v>
      </c>
      <c r="E44" s="2"/>
      <c r="F44" s="7">
        <f t="shared" si="15"/>
        <v>1.3299733153569939E-3</v>
      </c>
      <c r="G44" s="2"/>
      <c r="H44" s="6">
        <v>71.62</v>
      </c>
      <c r="I44" s="2"/>
      <c r="J44" s="7">
        <f t="shared" si="16"/>
        <v>1.2686286659064105E-3</v>
      </c>
      <c r="K44" s="2"/>
      <c r="L44" s="6">
        <f t="shared" si="17"/>
        <v>4.8900000000000006</v>
      </c>
      <c r="M44" s="2"/>
      <c r="N44" s="7">
        <f t="shared" si="18"/>
        <v>6.8277017592851166E-2</v>
      </c>
      <c r="O44" s="11"/>
      <c r="P44" s="6">
        <v>207.33</v>
      </c>
      <c r="Q44" s="2"/>
      <c r="R44" s="7">
        <f t="shared" si="19"/>
        <v>9.0343132656077213E-4</v>
      </c>
      <c r="S44" s="2"/>
      <c r="T44" s="6">
        <v>203.4</v>
      </c>
      <c r="U44" s="2"/>
      <c r="V44" s="7">
        <f t="shared" si="20"/>
        <v>8.5443541667568079E-4</v>
      </c>
      <c r="W44" s="2"/>
      <c r="X44" s="6">
        <f t="shared" si="21"/>
        <v>3.9300000000000068</v>
      </c>
      <c r="Y44" s="2"/>
      <c r="Z44" s="7">
        <f t="shared" si="22"/>
        <v>1.9321533923303869E-2</v>
      </c>
    </row>
    <row r="45" spans="1:26" s="24" customFormat="1" hidden="1" outlineLevel="2" x14ac:dyDescent="0.25">
      <c r="A45" s="26"/>
      <c r="B45" s="11" t="str">
        <f>CONCATENATE("          ", "6115", " - ", "P.E.R.S.")</f>
        <v xml:space="preserve">          6115 - P.E.R.S.</v>
      </c>
      <c r="C45" s="11"/>
      <c r="D45" s="6">
        <v>2078.9</v>
      </c>
      <c r="E45" s="2"/>
      <c r="F45" s="7">
        <f t="shared" si="15"/>
        <v>3.6137518302125922E-2</v>
      </c>
      <c r="G45" s="2"/>
      <c r="H45" s="6">
        <v>2119.6799999999998</v>
      </c>
      <c r="I45" s="2"/>
      <c r="J45" s="7">
        <f t="shared" si="16"/>
        <v>3.7546590485178721E-2</v>
      </c>
      <c r="K45" s="2"/>
      <c r="L45" s="6">
        <f t="shared" si="17"/>
        <v>-40.779999999999745</v>
      </c>
      <c r="M45" s="2"/>
      <c r="N45" s="7">
        <f t="shared" si="18"/>
        <v>-1.9238753019323554E-2</v>
      </c>
      <c r="O45" s="11"/>
      <c r="P45" s="6">
        <v>5580.03</v>
      </c>
      <c r="Q45" s="2"/>
      <c r="R45" s="7">
        <f t="shared" si="19"/>
        <v>2.4314734506096104E-2</v>
      </c>
      <c r="S45" s="2"/>
      <c r="T45" s="6">
        <v>5551.73</v>
      </c>
      <c r="U45" s="2"/>
      <c r="V45" s="7">
        <f t="shared" si="20"/>
        <v>2.3321508042383858E-2</v>
      </c>
      <c r="W45" s="2"/>
      <c r="X45" s="6">
        <f t="shared" si="21"/>
        <v>28.300000000000182</v>
      </c>
      <c r="Y45" s="2"/>
      <c r="Z45" s="7">
        <f t="shared" si="22"/>
        <v>5.0975101454862146E-3</v>
      </c>
    </row>
    <row r="46" spans="1:26" s="24" customFormat="1" hidden="1" outlineLevel="2" x14ac:dyDescent="0.25">
      <c r="A46" s="26"/>
      <c r="B46" s="11" t="str">
        <f>CONCATENATE("          ", "6118", " - ", "VACATION")</f>
        <v xml:space="preserve">          6118 - VACATION</v>
      </c>
      <c r="C46" s="11"/>
      <c r="D46" s="6">
        <v>1263.1600000000001</v>
      </c>
      <c r="E46" s="2"/>
      <c r="F46" s="7">
        <f t="shared" si="15"/>
        <v>2.1957510038247814E-2</v>
      </c>
      <c r="G46" s="2"/>
      <c r="H46" s="6">
        <v>1427.13</v>
      </c>
      <c r="I46" s="2"/>
      <c r="J46" s="7">
        <f t="shared" si="16"/>
        <v>2.5279224071139566E-2</v>
      </c>
      <c r="K46" s="2"/>
      <c r="L46" s="6">
        <f t="shared" si="17"/>
        <v>-163.97000000000003</v>
      </c>
      <c r="M46" s="2"/>
      <c r="N46" s="7">
        <f t="shared" si="18"/>
        <v>-0.11489492898334421</v>
      </c>
      <c r="O46" s="11"/>
      <c r="P46" s="6">
        <v>5056.2299999999996</v>
      </c>
      <c r="Q46" s="2"/>
      <c r="R46" s="7">
        <f t="shared" si="19"/>
        <v>2.2032299118778624E-2</v>
      </c>
      <c r="S46" s="2"/>
      <c r="T46" s="6">
        <v>4281.3900000000003</v>
      </c>
      <c r="U46" s="2"/>
      <c r="V46" s="7">
        <f t="shared" si="20"/>
        <v>1.79851093834862E-2</v>
      </c>
      <c r="W46" s="2"/>
      <c r="X46" s="6">
        <f t="shared" si="21"/>
        <v>774.83999999999924</v>
      </c>
      <c r="Y46" s="2"/>
      <c r="Z46" s="7">
        <f t="shared" si="22"/>
        <v>0.18097860741488142</v>
      </c>
    </row>
    <row r="47" spans="1:26" s="24" customFormat="1" hidden="1" outlineLevel="2" x14ac:dyDescent="0.25">
      <c r="A47" s="26"/>
      <c r="B47" s="11" t="str">
        <f>CONCATENATE("          ", "6119", " - ", "SICK LEAVE")</f>
        <v xml:space="preserve">          6119 - SICK LEAVE</v>
      </c>
      <c r="C47" s="11"/>
      <c r="D47" s="6">
        <v>834.81</v>
      </c>
      <c r="E47" s="2"/>
      <c r="F47" s="7">
        <f t="shared" si="15"/>
        <v>1.451150207022836E-2</v>
      </c>
      <c r="G47" s="2"/>
      <c r="H47" s="6">
        <v>724.08</v>
      </c>
      <c r="I47" s="2"/>
      <c r="J47" s="7">
        <f t="shared" si="16"/>
        <v>1.282586769630709E-2</v>
      </c>
      <c r="K47" s="2"/>
      <c r="L47" s="6">
        <f t="shared" si="17"/>
        <v>110.7299999999999</v>
      </c>
      <c r="M47" s="2"/>
      <c r="N47" s="7">
        <f t="shared" si="18"/>
        <v>0.15292509115014902</v>
      </c>
      <c r="O47" s="11"/>
      <c r="P47" s="6">
        <v>3071.78</v>
      </c>
      <c r="Q47" s="2"/>
      <c r="R47" s="7">
        <f t="shared" si="19"/>
        <v>1.338514580766338E-2</v>
      </c>
      <c r="S47" s="2"/>
      <c r="T47" s="6">
        <v>3276.27</v>
      </c>
      <c r="U47" s="2"/>
      <c r="V47" s="7">
        <f t="shared" si="20"/>
        <v>1.3762837377541949E-2</v>
      </c>
      <c r="W47" s="2"/>
      <c r="X47" s="6">
        <f t="shared" si="21"/>
        <v>-204.48999999999978</v>
      </c>
      <c r="Y47" s="2"/>
      <c r="Z47" s="7">
        <f t="shared" si="22"/>
        <v>-6.2415490786778799E-2</v>
      </c>
    </row>
    <row r="48" spans="1:26" s="24" customFormat="1" hidden="1" outlineLevel="2" x14ac:dyDescent="0.25">
      <c r="A48" s="26"/>
      <c r="B48" s="11" t="str">
        <f>CONCATENATE("          ", "6156", " - ", "EMPLOYEE MEALS")</f>
        <v xml:space="preserve">          6156 - EMPLOYEE MEALS</v>
      </c>
      <c r="C48" s="11"/>
      <c r="D48" s="6">
        <v>304.16000000000003</v>
      </c>
      <c r="E48" s="2"/>
      <c r="F48" s="7">
        <f t="shared" si="15"/>
        <v>5.2872132217877824E-3</v>
      </c>
      <c r="G48" s="2"/>
      <c r="H48" s="6">
        <v>299.92</v>
      </c>
      <c r="I48" s="2"/>
      <c r="J48" s="7">
        <f t="shared" si="16"/>
        <v>5.3125818134410873E-3</v>
      </c>
      <c r="K48" s="2"/>
      <c r="L48" s="6">
        <f t="shared" si="17"/>
        <v>4.2400000000000091</v>
      </c>
      <c r="M48" s="2"/>
      <c r="N48" s="7">
        <f t="shared" si="18"/>
        <v>1.413710322752737E-2</v>
      </c>
      <c r="O48" s="11"/>
      <c r="P48" s="6">
        <v>1039.6099999999999</v>
      </c>
      <c r="Q48" s="2"/>
      <c r="R48" s="7">
        <f t="shared" si="19"/>
        <v>4.5300547021938174E-3</v>
      </c>
      <c r="S48" s="2"/>
      <c r="T48" s="6">
        <v>1149.54</v>
      </c>
      <c r="U48" s="2"/>
      <c r="V48" s="7">
        <f t="shared" si="20"/>
        <v>4.8289463563685447E-3</v>
      </c>
      <c r="W48" s="2"/>
      <c r="X48" s="6">
        <f t="shared" si="21"/>
        <v>-109.93000000000006</v>
      </c>
      <c r="Y48" s="2"/>
      <c r="Z48" s="7">
        <f t="shared" si="22"/>
        <v>-9.5629556170294269E-2</v>
      </c>
    </row>
    <row r="49" spans="1:26" s="27" customFormat="1" outlineLevel="1" collapsed="1" x14ac:dyDescent="0.25">
      <c r="A49" s="25"/>
      <c r="B49" s="13" t="str">
        <f>CONCATENATE("     ","*Payroll                                          ")</f>
        <v xml:space="preserve">     *Payroll                                          </v>
      </c>
      <c r="C49" s="13"/>
      <c r="D49" s="1">
        <f>SUM(OSRRefD22_1x_0)</f>
        <v>18919.54</v>
      </c>
      <c r="E49" s="1"/>
      <c r="F49" s="5">
        <f t="shared" ref="F49:F53" si="23">IF(D$12=0,0,D49/D$12)</f>
        <v>0.32887836019904926</v>
      </c>
      <c r="G49" s="1"/>
      <c r="H49" s="1">
        <f>SUM(OSRRefH22_1x_0)</f>
        <v>16402.71</v>
      </c>
      <c r="I49" s="1"/>
      <c r="J49" s="5">
        <f t="shared" ref="J49:J53" si="24">IF(H$12=0,0,H49/H$12)</f>
        <v>0.29054660855277487</v>
      </c>
      <c r="K49" s="1"/>
      <c r="L49" s="1">
        <f t="shared" ref="L49:L53" si="25">+D49-H49</f>
        <v>2516.8300000000017</v>
      </c>
      <c r="M49" s="1"/>
      <c r="N49" s="5">
        <f t="shared" ref="N49:N53" si="26">IF(H49=0,0,L49/H49)</f>
        <v>0.15343988889640808</v>
      </c>
      <c r="O49" s="13"/>
      <c r="P49" s="1">
        <f>SUM(OSRRefP22_1x_0)</f>
        <v>73167.64</v>
      </c>
      <c r="Q49" s="1"/>
      <c r="R49" s="5">
        <f t="shared" ref="R49:R53" si="27">IF(P$12=0,0,P49/P$12)</f>
        <v>0.31882476277683408</v>
      </c>
      <c r="S49" s="1"/>
      <c r="T49" s="1">
        <f>SUM(OSRRefT22_1x_0)</f>
        <v>63641.46</v>
      </c>
      <c r="U49" s="1"/>
      <c r="V49" s="5">
        <f t="shared" ref="V49:V53" si="28">IF(T$12=0,0,T49/T$12)</f>
        <v>0.26734276004399543</v>
      </c>
      <c r="W49" s="1"/>
      <c r="X49" s="1">
        <f t="shared" ref="X49:X53" si="29">+P49-T49</f>
        <v>9526.18</v>
      </c>
      <c r="Y49" s="1"/>
      <c r="Z49" s="5">
        <f t="shared" ref="Z49:Z53" si="30">IF(T49=0,0,X49/T49)</f>
        <v>0.14968512664542893</v>
      </c>
    </row>
    <row r="50" spans="1:26" s="24" customFormat="1" hidden="1" outlineLevel="2" x14ac:dyDescent="0.25">
      <c r="A50" s="26"/>
      <c r="B50" s="11" t="str">
        <f>CONCATENATE("          ", "6002", " - ", "STAFF SALARIES")</f>
        <v xml:space="preserve">          6002 - STAFF SALARIES</v>
      </c>
      <c r="C50" s="11"/>
      <c r="D50" s="6">
        <v>11058.78</v>
      </c>
      <c r="E50" s="2"/>
      <c r="F50" s="7">
        <f t="shared" si="23"/>
        <v>0.19223477062349517</v>
      </c>
      <c r="G50" s="2"/>
      <c r="H50" s="6">
        <v>9437.09</v>
      </c>
      <c r="I50" s="2"/>
      <c r="J50" s="7">
        <f t="shared" si="24"/>
        <v>0.16716228562885685</v>
      </c>
      <c r="K50" s="2"/>
      <c r="L50" s="6">
        <f t="shared" si="25"/>
        <v>1621.6900000000005</v>
      </c>
      <c r="M50" s="2"/>
      <c r="N50" s="7">
        <f t="shared" si="26"/>
        <v>0.17184216744780439</v>
      </c>
      <c r="O50" s="11"/>
      <c r="P50" s="6">
        <v>47845.75</v>
      </c>
      <c r="Q50" s="2"/>
      <c r="R50" s="7">
        <f t="shared" si="27"/>
        <v>0.20848574443059403</v>
      </c>
      <c r="S50" s="2"/>
      <c r="T50" s="6">
        <v>42128.19</v>
      </c>
      <c r="U50" s="2"/>
      <c r="V50" s="7">
        <f t="shared" si="28"/>
        <v>0.17697058788811332</v>
      </c>
      <c r="W50" s="2"/>
      <c r="X50" s="6">
        <f t="shared" si="29"/>
        <v>5717.5599999999977</v>
      </c>
      <c r="Y50" s="2"/>
      <c r="Z50" s="7">
        <f t="shared" si="30"/>
        <v>0.13571814977097277</v>
      </c>
    </row>
    <row r="51" spans="1:26" s="24" customFormat="1" hidden="1" outlineLevel="2" x14ac:dyDescent="0.25">
      <c r="A51" s="26"/>
      <c r="B51" s="11" t="str">
        <f>CONCATENATE("          ", "6005", " - ", "TEMPORARY WAGES-HOURLY")</f>
        <v xml:space="preserve">          6005 - TEMPORARY WAGES-HOURLY</v>
      </c>
      <c r="C51" s="11"/>
      <c r="D51" s="6">
        <v>4012.75</v>
      </c>
      <c r="E51" s="2"/>
      <c r="F51" s="7">
        <f t="shared" si="23"/>
        <v>6.9753632482012509E-2</v>
      </c>
      <c r="G51" s="2"/>
      <c r="H51" s="6">
        <v>1881.05</v>
      </c>
      <c r="I51" s="2"/>
      <c r="J51" s="7">
        <f t="shared" si="24"/>
        <v>3.3319658642882624E-2</v>
      </c>
      <c r="K51" s="2"/>
      <c r="L51" s="6">
        <f t="shared" si="25"/>
        <v>2131.6999999999998</v>
      </c>
      <c r="M51" s="2"/>
      <c r="N51" s="7">
        <f t="shared" si="26"/>
        <v>1.1332500465165731</v>
      </c>
      <c r="O51" s="11"/>
      <c r="P51" s="6">
        <v>8195.25</v>
      </c>
      <c r="Q51" s="2"/>
      <c r="R51" s="7">
        <f t="shared" si="27"/>
        <v>3.5710440259476041E-2</v>
      </c>
      <c r="S51" s="2"/>
      <c r="T51" s="6">
        <v>5088.68</v>
      </c>
      <c r="U51" s="2"/>
      <c r="V51" s="7">
        <f t="shared" si="28"/>
        <v>2.1376344228757144E-2</v>
      </c>
      <c r="W51" s="2"/>
      <c r="X51" s="6">
        <f t="shared" si="29"/>
        <v>3106.5699999999997</v>
      </c>
      <c r="Y51" s="2"/>
      <c r="Z51" s="7">
        <f t="shared" si="30"/>
        <v>0.61048641297939732</v>
      </c>
    </row>
    <row r="52" spans="1:26" s="24" customFormat="1" hidden="1" outlineLevel="2" x14ac:dyDescent="0.25">
      <c r="A52" s="26"/>
      <c r="B52" s="11" t="str">
        <f>CONCATENATE("          ", "6006", " - ", "TEMPORARY PART TIME")</f>
        <v xml:space="preserve">          6006 - TEMPORARY PART TIME</v>
      </c>
      <c r="C52" s="11"/>
      <c r="D52" s="6"/>
      <c r="E52" s="2"/>
      <c r="F52" s="7">
        <f t="shared" si="23"/>
        <v>0</v>
      </c>
      <c r="G52" s="2"/>
      <c r="H52" s="6">
        <v>1128.32</v>
      </c>
      <c r="I52" s="2"/>
      <c r="J52" s="7">
        <f t="shared" si="24"/>
        <v>1.9986304053553769E-2</v>
      </c>
      <c r="K52" s="2"/>
      <c r="L52" s="6">
        <f t="shared" si="25"/>
        <v>-1128.32</v>
      </c>
      <c r="M52" s="2"/>
      <c r="N52" s="7">
        <f t="shared" si="26"/>
        <v>-1</v>
      </c>
      <c r="O52" s="11"/>
      <c r="P52" s="6">
        <v>57.37</v>
      </c>
      <c r="Q52" s="2"/>
      <c r="R52" s="7">
        <f t="shared" si="27"/>
        <v>2.4998724354792598E-4</v>
      </c>
      <c r="S52" s="2"/>
      <c r="T52" s="6">
        <v>4271.46</v>
      </c>
      <c r="U52" s="2"/>
      <c r="V52" s="7">
        <f t="shared" si="28"/>
        <v>1.7943395796034923E-2</v>
      </c>
      <c r="W52" s="2"/>
      <c r="X52" s="6">
        <f t="shared" si="29"/>
        <v>-4214.09</v>
      </c>
      <c r="Y52" s="2"/>
      <c r="Z52" s="7">
        <f t="shared" si="30"/>
        <v>-0.98656899514451735</v>
      </c>
    </row>
    <row r="53" spans="1:26" s="24" customFormat="1" hidden="1" outlineLevel="2" x14ac:dyDescent="0.25">
      <c r="A53" s="26"/>
      <c r="B53" s="11" t="str">
        <f>CONCATENATE("          ", "6007", " - ", "STUDENT HOURLY")</f>
        <v xml:space="preserve">          6007 - STUDENT HOURLY</v>
      </c>
      <c r="C53" s="11"/>
      <c r="D53" s="6">
        <v>3848.01</v>
      </c>
      <c r="E53" s="2"/>
      <c r="F53" s="7">
        <f t="shared" si="23"/>
        <v>6.6889957093541577E-2</v>
      </c>
      <c r="G53" s="2"/>
      <c r="H53" s="6">
        <v>3956.25</v>
      </c>
      <c r="I53" s="2"/>
      <c r="J53" s="7">
        <f t="shared" si="24"/>
        <v>7.0078360227481665E-2</v>
      </c>
      <c r="K53" s="2"/>
      <c r="L53" s="6">
        <f t="shared" si="25"/>
        <v>-108.23999999999978</v>
      </c>
      <c r="M53" s="2"/>
      <c r="N53" s="7">
        <f t="shared" si="26"/>
        <v>-2.7359241706161084E-2</v>
      </c>
      <c r="O53" s="11"/>
      <c r="P53" s="6">
        <v>17069.27</v>
      </c>
      <c r="Q53" s="2"/>
      <c r="R53" s="7">
        <f t="shared" si="27"/>
        <v>7.4378590843216089E-2</v>
      </c>
      <c r="S53" s="2"/>
      <c r="T53" s="6">
        <v>12153.13</v>
      </c>
      <c r="U53" s="2"/>
      <c r="V53" s="7">
        <f t="shared" si="28"/>
        <v>5.1052432131090043E-2</v>
      </c>
      <c r="W53" s="2"/>
      <c r="X53" s="6">
        <f t="shared" si="29"/>
        <v>4916.1400000000012</v>
      </c>
      <c r="Y53" s="2"/>
      <c r="Z53" s="7">
        <f t="shared" si="30"/>
        <v>0.40451636738848357</v>
      </c>
    </row>
    <row r="54" spans="1:26" s="27" customFormat="1" outlineLevel="1" collapsed="1" x14ac:dyDescent="0.25">
      <c r="A54" s="25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0</v>
      </c>
      <c r="E54" s="1"/>
      <c r="F54" s="5">
        <f t="shared" ref="F54:F62" si="31">IF(D$12=0,0,D54/D$12)</f>
        <v>0</v>
      </c>
      <c r="G54" s="1"/>
      <c r="H54" s="1">
        <f>SUM(OSRRefH22_2x_0)</f>
        <v>0</v>
      </c>
      <c r="I54" s="1"/>
      <c r="J54" s="5">
        <f t="shared" ref="J54:J62" si="32">IF(H$12=0,0,H54/H$12)</f>
        <v>0</v>
      </c>
      <c r="K54" s="1"/>
      <c r="L54" s="1">
        <f t="shared" ref="L54:L62" si="33">+D54-H54</f>
        <v>0</v>
      </c>
      <c r="M54" s="1"/>
      <c r="N54" s="5">
        <f t="shared" ref="N54:N62" si="34">IF(H54=0,0,L54/H54)</f>
        <v>0</v>
      </c>
      <c r="O54" s="13"/>
      <c r="P54" s="1">
        <f>SUM(OSRRefP22_2x_0)</f>
        <v>-857.46</v>
      </c>
      <c r="Q54" s="1"/>
      <c r="R54" s="5">
        <f t="shared" ref="R54:R62" si="35">IF(P$12=0,0,P54/P$12)</f>
        <v>-3.7363441145651845E-3</v>
      </c>
      <c r="S54" s="1"/>
      <c r="T54" s="1">
        <f>SUM(OSRRefT22_2x_0)</f>
        <v>551.5</v>
      </c>
      <c r="U54" s="1"/>
      <c r="V54" s="5">
        <f t="shared" ref="V54:V62" si="36">IF(T$12=0,0,T54/T$12)</f>
        <v>2.3167213977219169E-3</v>
      </c>
      <c r="W54" s="1"/>
      <c r="X54" s="1">
        <f t="shared" ref="X54:X62" si="37">+P54-T54</f>
        <v>-1408.96</v>
      </c>
      <c r="Y54" s="1"/>
      <c r="Z54" s="5">
        <f t="shared" ref="Z54:Z62" si="38">IF(T54=0,0,X54/T54)</f>
        <v>-2.5547778785131459</v>
      </c>
    </row>
    <row r="55" spans="1:26" s="24" customFormat="1" hidden="1" outlineLevel="2" x14ac:dyDescent="0.25">
      <c r="A55" s="26"/>
      <c r="B55" s="11" t="str">
        <f>CONCATENATE("          ", "6362", " - ", "ADVERTISING EXPENSE")</f>
        <v xml:space="preserve">          6362 - ADVERTISING EXPENSE</v>
      </c>
      <c r="C55" s="11"/>
      <c r="D55" s="6"/>
      <c r="E55" s="2"/>
      <c r="F55" s="7">
        <f t="shared" si="31"/>
        <v>0</v>
      </c>
      <c r="G55" s="2"/>
      <c r="H55" s="6"/>
      <c r="I55" s="2"/>
      <c r="J55" s="7">
        <f t="shared" si="32"/>
        <v>0</v>
      </c>
      <c r="K55" s="2"/>
      <c r="L55" s="6">
        <f t="shared" si="33"/>
        <v>0</v>
      </c>
      <c r="M55" s="2"/>
      <c r="N55" s="7">
        <f t="shared" si="34"/>
        <v>0</v>
      </c>
      <c r="O55" s="11"/>
      <c r="P55" s="6">
        <v>-857.46</v>
      </c>
      <c r="Q55" s="2"/>
      <c r="R55" s="7">
        <f t="shared" si="35"/>
        <v>-3.7363441145651845E-3</v>
      </c>
      <c r="S55" s="2"/>
      <c r="T55" s="6">
        <v>551.5</v>
      </c>
      <c r="U55" s="2"/>
      <c r="V55" s="7">
        <f t="shared" si="36"/>
        <v>2.3167213977219169E-3</v>
      </c>
      <c r="W55" s="2"/>
      <c r="X55" s="6">
        <f t="shared" si="37"/>
        <v>-1408.96</v>
      </c>
      <c r="Y55" s="2"/>
      <c r="Z55" s="7">
        <f t="shared" si="38"/>
        <v>-2.5547778785131459</v>
      </c>
    </row>
    <row r="56" spans="1:26" s="27" customFormat="1" outlineLevel="1" collapsed="1" x14ac:dyDescent="0.25">
      <c r="A56" s="25"/>
      <c r="B56" s="13" t="str">
        <f>CONCATENATE("     ","Discounts and Markdowns                           ")</f>
        <v xml:space="preserve">     Discounts and Markdowns                           </v>
      </c>
      <c r="C56" s="13"/>
      <c r="D56" s="1">
        <f>SUM(OSRRefD22_3x_0)</f>
        <v>321.91000000000003</v>
      </c>
      <c r="E56" s="1"/>
      <c r="F56" s="5">
        <f t="shared" si="31"/>
        <v>5.5957614683906668E-3</v>
      </c>
      <c r="G56" s="1"/>
      <c r="H56" s="1">
        <f>SUM(OSRRefH22_3x_0)</f>
        <v>271.08</v>
      </c>
      <c r="I56" s="1"/>
      <c r="J56" s="5">
        <f t="shared" si="32"/>
        <v>4.8017293877954444E-3</v>
      </c>
      <c r="K56" s="1"/>
      <c r="L56" s="1">
        <f t="shared" si="33"/>
        <v>50.830000000000041</v>
      </c>
      <c r="M56" s="1"/>
      <c r="N56" s="5">
        <f t="shared" si="34"/>
        <v>0.18750922236978029</v>
      </c>
      <c r="O56" s="13"/>
      <c r="P56" s="1">
        <f>SUM(OSRRefP22_3x_0)</f>
        <v>627.72</v>
      </c>
      <c r="Q56" s="1"/>
      <c r="R56" s="5">
        <f t="shared" si="35"/>
        <v>2.735262201845984E-3</v>
      </c>
      <c r="S56" s="1"/>
      <c r="T56" s="1">
        <f>SUM(OSRRefT22_3x_0)</f>
        <v>765.66</v>
      </c>
      <c r="U56" s="1"/>
      <c r="V56" s="5">
        <f t="shared" si="36"/>
        <v>3.2163570360467142E-3</v>
      </c>
      <c r="W56" s="1"/>
      <c r="X56" s="1">
        <f t="shared" si="37"/>
        <v>-137.93999999999994</v>
      </c>
      <c r="Y56" s="1"/>
      <c r="Z56" s="5">
        <f t="shared" si="38"/>
        <v>-0.18015829480448234</v>
      </c>
    </row>
    <row r="57" spans="1:26" s="24" customFormat="1" hidden="1" outlineLevel="2" x14ac:dyDescent="0.25">
      <c r="A57" s="26"/>
      <c r="B57" s="11" t="str">
        <f>CONCATENATE("          ", "6382", " - ", "DISCOUNTS/MARK DOWNS")</f>
        <v xml:space="preserve">          6382 - DISCOUNTS/MARK DOWNS</v>
      </c>
      <c r="C57" s="11"/>
      <c r="D57" s="6">
        <v>321.91000000000003</v>
      </c>
      <c r="E57" s="2"/>
      <c r="F57" s="7">
        <f t="shared" si="31"/>
        <v>5.5957614683906668E-3</v>
      </c>
      <c r="G57" s="2"/>
      <c r="H57" s="6">
        <v>271.08</v>
      </c>
      <c r="I57" s="2"/>
      <c r="J57" s="7">
        <f t="shared" si="32"/>
        <v>4.8017293877954444E-3</v>
      </c>
      <c r="K57" s="2"/>
      <c r="L57" s="6">
        <f t="shared" si="33"/>
        <v>50.830000000000041</v>
      </c>
      <c r="M57" s="2"/>
      <c r="N57" s="7">
        <f t="shared" si="34"/>
        <v>0.18750922236978029</v>
      </c>
      <c r="O57" s="11"/>
      <c r="P57" s="6">
        <v>627.72</v>
      </c>
      <c r="Q57" s="2"/>
      <c r="R57" s="7">
        <f t="shared" si="35"/>
        <v>2.735262201845984E-3</v>
      </c>
      <c r="S57" s="2"/>
      <c r="T57" s="6">
        <v>765.66</v>
      </c>
      <c r="U57" s="2"/>
      <c r="V57" s="7">
        <f t="shared" si="36"/>
        <v>3.2163570360467142E-3</v>
      </c>
      <c r="W57" s="2"/>
      <c r="X57" s="6">
        <f t="shared" si="37"/>
        <v>-137.93999999999994</v>
      </c>
      <c r="Y57" s="2"/>
      <c r="Z57" s="7">
        <f t="shared" si="38"/>
        <v>-0.18015829480448234</v>
      </c>
    </row>
    <row r="58" spans="1:26" s="27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SUM(OSRRefD22_4x_0)</f>
        <v>2411.2800000000002</v>
      </c>
      <c r="E58" s="1"/>
      <c r="F58" s="5">
        <f t="shared" si="31"/>
        <v>4.1915279778512775E-2</v>
      </c>
      <c r="G58" s="1"/>
      <c r="H58" s="1">
        <f>SUM(OSRRefH22_4x_0)</f>
        <v>3142.91</v>
      </c>
      <c r="I58" s="1"/>
      <c r="J58" s="5">
        <f t="shared" si="32"/>
        <v>5.5671400731135384E-2</v>
      </c>
      <c r="K58" s="1"/>
      <c r="L58" s="1">
        <f t="shared" si="33"/>
        <v>-731.62999999999965</v>
      </c>
      <c r="M58" s="1"/>
      <c r="N58" s="5">
        <f t="shared" si="34"/>
        <v>-0.23278744857472841</v>
      </c>
      <c r="O58" s="13"/>
      <c r="P58" s="1">
        <f>SUM(OSRRefP22_4x_0)</f>
        <v>6028.2</v>
      </c>
      <c r="Q58" s="1"/>
      <c r="R58" s="5">
        <f t="shared" si="35"/>
        <v>2.6267615505588416E-2</v>
      </c>
      <c r="S58" s="1"/>
      <c r="T58" s="1">
        <f>SUM(OSRRefT22_4x_0)</f>
        <v>12572.92</v>
      </c>
      <c r="U58" s="1"/>
      <c r="V58" s="5">
        <f t="shared" si="36"/>
        <v>5.2815870890019663E-2</v>
      </c>
      <c r="W58" s="1"/>
      <c r="X58" s="1">
        <f t="shared" si="37"/>
        <v>-6544.72</v>
      </c>
      <c r="Y58" s="1"/>
      <c r="Z58" s="5">
        <f t="shared" si="38"/>
        <v>-0.52054097218466355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2411.2800000000002</v>
      </c>
      <c r="E59" s="2"/>
      <c r="F59" s="7">
        <f t="shared" si="31"/>
        <v>4.1915279778512775E-2</v>
      </c>
      <c r="G59" s="2"/>
      <c r="H59" s="6">
        <v>3142.91</v>
      </c>
      <c r="I59" s="2"/>
      <c r="J59" s="7">
        <f t="shared" si="32"/>
        <v>5.5671400731135384E-2</v>
      </c>
      <c r="K59" s="2"/>
      <c r="L59" s="6">
        <f t="shared" si="33"/>
        <v>-731.62999999999965</v>
      </c>
      <c r="M59" s="2"/>
      <c r="N59" s="7">
        <f t="shared" si="34"/>
        <v>-0.23278744857472841</v>
      </c>
      <c r="O59" s="11"/>
      <c r="P59" s="6">
        <v>6028.2</v>
      </c>
      <c r="Q59" s="2"/>
      <c r="R59" s="7">
        <f t="shared" si="35"/>
        <v>2.6267615505588416E-2</v>
      </c>
      <c r="S59" s="2"/>
      <c r="T59" s="6">
        <v>12572.92</v>
      </c>
      <c r="U59" s="2"/>
      <c r="V59" s="7">
        <f t="shared" si="36"/>
        <v>5.2815870890019663E-2</v>
      </c>
      <c r="W59" s="2"/>
      <c r="X59" s="6">
        <f t="shared" si="37"/>
        <v>-6544.72</v>
      </c>
      <c r="Y59" s="2"/>
      <c r="Z59" s="7">
        <f t="shared" si="38"/>
        <v>-0.52054097218466355</v>
      </c>
    </row>
    <row r="60" spans="1:26" s="27" customFormat="1" outlineLevel="1" collapsed="1" x14ac:dyDescent="0.25">
      <c r="A60" s="25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SUM(OSRRefD22_5x_0)</f>
        <v>234.75</v>
      </c>
      <c r="E60" s="1"/>
      <c r="F60" s="5">
        <f t="shared" si="31"/>
        <v>4.0806592050719424E-3</v>
      </c>
      <c r="G60" s="1"/>
      <c r="H60" s="1">
        <f>SUM(OSRRefH22_5x_0)</f>
        <v>2830.2300000000005</v>
      </c>
      <c r="I60" s="1"/>
      <c r="J60" s="5">
        <f t="shared" si="32"/>
        <v>5.0132796832006436E-2</v>
      </c>
      <c r="K60" s="1"/>
      <c r="L60" s="1">
        <f t="shared" si="33"/>
        <v>-2595.4800000000005</v>
      </c>
      <c r="M60" s="1"/>
      <c r="N60" s="5">
        <f t="shared" si="34"/>
        <v>-0.91705621097931966</v>
      </c>
      <c r="O60" s="13"/>
      <c r="P60" s="1">
        <f>SUM(OSRRefP22_5x_0)</f>
        <v>-8278.4699999999975</v>
      </c>
      <c r="Q60" s="1"/>
      <c r="R60" s="5">
        <f t="shared" si="35"/>
        <v>-3.6073067737392335E-2</v>
      </c>
      <c r="S60" s="1"/>
      <c r="T60" s="1">
        <f>SUM(OSRRefT22_5x_0)</f>
        <v>-1176.2000000000007</v>
      </c>
      <c r="U60" s="1"/>
      <c r="V60" s="5">
        <f t="shared" si="36"/>
        <v>-4.9409387271088312E-3</v>
      </c>
      <c r="W60" s="1"/>
      <c r="X60" s="1">
        <f t="shared" si="37"/>
        <v>-7102.2699999999968</v>
      </c>
      <c r="Y60" s="1"/>
      <c r="Z60" s="5">
        <f t="shared" si="38"/>
        <v>6.0383183132120326</v>
      </c>
    </row>
    <row r="61" spans="1:26" s="24" customFormat="1" hidden="1" outlineLevel="2" x14ac:dyDescent="0.25">
      <c r="A61" s="26"/>
      <c r="B61" s="11" t="str">
        <f>CONCATENATE("          ", "6305", " - ", "FREIGHT OUT")</f>
        <v xml:space="preserve">          6305 - FREIGHT OUT</v>
      </c>
      <c r="C61" s="11"/>
      <c r="D61" s="6">
        <v>3195.83</v>
      </c>
      <c r="E61" s="2"/>
      <c r="F61" s="7">
        <f t="shared" si="31"/>
        <v>5.5553112278360232E-2</v>
      </c>
      <c r="G61" s="2"/>
      <c r="H61" s="6">
        <v>4542.3</v>
      </c>
      <c r="I61" s="2"/>
      <c r="J61" s="7">
        <f t="shared" si="32"/>
        <v>8.0459257039188617E-2</v>
      </c>
      <c r="K61" s="2"/>
      <c r="L61" s="6">
        <f t="shared" si="33"/>
        <v>-1346.4700000000003</v>
      </c>
      <c r="M61" s="2"/>
      <c r="N61" s="7">
        <f t="shared" si="34"/>
        <v>-0.29642912181053654</v>
      </c>
      <c r="O61" s="11"/>
      <c r="P61" s="6">
        <v>15325.150000000001</v>
      </c>
      <c r="Q61" s="2"/>
      <c r="R61" s="7">
        <f t="shared" si="35"/>
        <v>6.6778664902536145E-2</v>
      </c>
      <c r="S61" s="2"/>
      <c r="T61" s="6">
        <v>18978.68</v>
      </c>
      <c r="U61" s="2"/>
      <c r="V61" s="7">
        <f t="shared" si="36"/>
        <v>7.9724957491417933E-2</v>
      </c>
      <c r="W61" s="2"/>
      <c r="X61" s="6">
        <f t="shared" si="37"/>
        <v>-3653.5299999999988</v>
      </c>
      <c r="Y61" s="2"/>
      <c r="Z61" s="7">
        <f t="shared" si="38"/>
        <v>-0.19250706582333432</v>
      </c>
    </row>
    <row r="62" spans="1:26" s="24" customFormat="1" hidden="1" outlineLevel="2" x14ac:dyDescent="0.25">
      <c r="A62" s="26"/>
      <c r="B62" s="11" t="str">
        <f>CONCATENATE("          ", "6307", " - ", "POSTAGE")</f>
        <v xml:space="preserve">          6307 - POSTAGE</v>
      </c>
      <c r="C62" s="11"/>
      <c r="D62" s="6">
        <v>-2961.08</v>
      </c>
      <c r="E62" s="2"/>
      <c r="F62" s="7">
        <f t="shared" si="31"/>
        <v>-5.1472453073288287E-2</v>
      </c>
      <c r="G62" s="2"/>
      <c r="H62" s="6">
        <v>-1712.07</v>
      </c>
      <c r="I62" s="2"/>
      <c r="J62" s="7">
        <f t="shared" si="32"/>
        <v>-3.0326460207182184E-2</v>
      </c>
      <c r="K62" s="2"/>
      <c r="L62" s="6">
        <f t="shared" si="33"/>
        <v>-1249.01</v>
      </c>
      <c r="M62" s="2"/>
      <c r="N62" s="7">
        <f t="shared" si="34"/>
        <v>0.72953208688897064</v>
      </c>
      <c r="O62" s="11"/>
      <c r="P62" s="6">
        <v>-23603.62</v>
      </c>
      <c r="Q62" s="2"/>
      <c r="R62" s="7">
        <f t="shared" si="35"/>
        <v>-0.10285173263992847</v>
      </c>
      <c r="S62" s="2"/>
      <c r="T62" s="6">
        <v>-20154.88</v>
      </c>
      <c r="U62" s="2"/>
      <c r="V62" s="7">
        <f t="shared" si="36"/>
        <v>-8.4665896218526771E-2</v>
      </c>
      <c r="W62" s="2"/>
      <c r="X62" s="6">
        <f t="shared" si="37"/>
        <v>-3448.739999999998</v>
      </c>
      <c r="Y62" s="2"/>
      <c r="Z62" s="7">
        <f t="shared" si="38"/>
        <v>0.1711119093738091</v>
      </c>
    </row>
    <row r="63" spans="1:26" s="27" customFormat="1" outlineLevel="1" collapsed="1" x14ac:dyDescent="0.25">
      <c r="A63" s="25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SUM(OSRRefD22_6x_0)</f>
        <v>0</v>
      </c>
      <c r="E63" s="1"/>
      <c r="F63" s="5">
        <f t="shared" ref="F63:F69" si="39">IF(D$12=0,0,D63/D$12)</f>
        <v>0</v>
      </c>
      <c r="G63" s="1"/>
      <c r="H63" s="1">
        <f>SUM(OSRRefH22_6x_0)</f>
        <v>0</v>
      </c>
      <c r="I63" s="1"/>
      <c r="J63" s="5">
        <f t="shared" ref="J63:J69" si="40">IF(H$12=0,0,H63/H$12)</f>
        <v>0</v>
      </c>
      <c r="K63" s="1"/>
      <c r="L63" s="1">
        <f t="shared" ref="L63:L69" si="41">+D63-H63</f>
        <v>0</v>
      </c>
      <c r="M63" s="1"/>
      <c r="N63" s="5">
        <f t="shared" ref="N63:N69" si="42">IF(H63=0,0,L63/H63)</f>
        <v>0</v>
      </c>
      <c r="O63" s="13"/>
      <c r="P63" s="1">
        <f>SUM(OSRRefP22_6x_0)</f>
        <v>80.17</v>
      </c>
      <c r="Q63" s="1"/>
      <c r="R63" s="5">
        <f t="shared" ref="R63:R69" si="43">IF(P$12=0,0,P63/P$12)</f>
        <v>3.4933723749759854E-4</v>
      </c>
      <c r="S63" s="1"/>
      <c r="T63" s="1">
        <f>SUM(OSRRefT22_6x_0)</f>
        <v>83.47</v>
      </c>
      <c r="U63" s="1"/>
      <c r="V63" s="5">
        <f t="shared" ref="V63:V69" si="44">IF(T$12=0,0,T63/T$12)</f>
        <v>3.5063777890815667E-4</v>
      </c>
      <c r="W63" s="1"/>
      <c r="X63" s="1">
        <f t="shared" ref="X63:X69" si="45">+P63-T63</f>
        <v>-3.2999999999999972</v>
      </c>
      <c r="Y63" s="1"/>
      <c r="Z63" s="5">
        <f t="shared" ref="Z63:Z69" si="46">IF(T63=0,0,X63/T63)</f>
        <v>-3.9535162333772578E-2</v>
      </c>
    </row>
    <row r="64" spans="1:26" s="24" customFormat="1" hidden="1" outlineLevel="2" x14ac:dyDescent="0.25">
      <c r="A64" s="26"/>
      <c r="B64" s="11" t="str">
        <f>CONCATENATE("          ", "6279", " - ", "GENERAL EXPENSE")</f>
        <v xml:space="preserve">          6279 - GENERAL EXPENSE</v>
      </c>
      <c r="C64" s="11"/>
      <c r="D64" s="6"/>
      <c r="E64" s="2"/>
      <c r="F64" s="7">
        <f t="shared" si="39"/>
        <v>0</v>
      </c>
      <c r="G64" s="2"/>
      <c r="H64" s="6"/>
      <c r="I64" s="2"/>
      <c r="J64" s="7">
        <f t="shared" si="40"/>
        <v>0</v>
      </c>
      <c r="K64" s="2"/>
      <c r="L64" s="6">
        <f t="shared" si="41"/>
        <v>0</v>
      </c>
      <c r="M64" s="2"/>
      <c r="N64" s="7">
        <f t="shared" si="42"/>
        <v>0</v>
      </c>
      <c r="O64" s="11"/>
      <c r="P64" s="6">
        <v>80.17</v>
      </c>
      <c r="Q64" s="2"/>
      <c r="R64" s="7">
        <f t="shared" si="43"/>
        <v>3.4933723749759854E-4</v>
      </c>
      <c r="S64" s="2"/>
      <c r="T64" s="6">
        <v>83.47</v>
      </c>
      <c r="U64" s="2"/>
      <c r="V64" s="7">
        <f t="shared" si="44"/>
        <v>3.5063777890815667E-4</v>
      </c>
      <c r="W64" s="2"/>
      <c r="X64" s="6">
        <f t="shared" si="45"/>
        <v>-3.2999999999999972</v>
      </c>
      <c r="Y64" s="2"/>
      <c r="Z64" s="7">
        <f t="shared" si="46"/>
        <v>-3.9535162333772578E-2</v>
      </c>
    </row>
    <row r="65" spans="1:26" s="27" customFormat="1" outlineLevel="1" collapsed="1" x14ac:dyDescent="0.25">
      <c r="A65" s="25"/>
      <c r="B65" s="13" t="str">
        <f>CONCATENATE("     ","Inventory Adjustment                              ")</f>
        <v xml:space="preserve">     Inventory Adjustment                              </v>
      </c>
      <c r="C65" s="13"/>
      <c r="D65" s="1">
        <f>SUM(OSRRefD22_7x_0)</f>
        <v>100</v>
      </c>
      <c r="E65" s="1"/>
      <c r="F65" s="5">
        <f t="shared" si="39"/>
        <v>1.7382999808613171E-3</v>
      </c>
      <c r="G65" s="1"/>
      <c r="H65" s="1">
        <f>SUM(OSRRefH22_7x_0)</f>
        <v>100</v>
      </c>
      <c r="I65" s="1"/>
      <c r="J65" s="5">
        <f t="shared" si="40"/>
        <v>1.7713329599363453E-3</v>
      </c>
      <c r="K65" s="1"/>
      <c r="L65" s="1">
        <f t="shared" si="41"/>
        <v>0</v>
      </c>
      <c r="M65" s="1"/>
      <c r="N65" s="5">
        <f t="shared" si="42"/>
        <v>0</v>
      </c>
      <c r="O65" s="13"/>
      <c r="P65" s="1">
        <f>SUM(OSRRefP22_7x_0)</f>
        <v>300</v>
      </c>
      <c r="Q65" s="1"/>
      <c r="R65" s="5">
        <f t="shared" si="43"/>
        <v>1.307236762495691E-3</v>
      </c>
      <c r="S65" s="1"/>
      <c r="T65" s="1">
        <f>SUM(OSRRefT22_7x_0)</f>
        <v>400</v>
      </c>
      <c r="U65" s="1"/>
      <c r="V65" s="5">
        <f t="shared" si="44"/>
        <v>1.6803056375136298E-3</v>
      </c>
      <c r="W65" s="1"/>
      <c r="X65" s="1">
        <f t="shared" si="45"/>
        <v>-100</v>
      </c>
      <c r="Y65" s="1"/>
      <c r="Z65" s="5">
        <f t="shared" si="46"/>
        <v>-0.25</v>
      </c>
    </row>
    <row r="66" spans="1:26" s="24" customFormat="1" hidden="1" outlineLevel="2" x14ac:dyDescent="0.25">
      <c r="A66" s="26"/>
      <c r="B66" s="11" t="str">
        <f>CONCATENATE("          ", "6408", " - ", "INVENTORY ADJUSTMENT")</f>
        <v xml:space="preserve">          6408 - INVENTORY ADJUSTMENT</v>
      </c>
      <c r="C66" s="11"/>
      <c r="D66" s="6">
        <v>100</v>
      </c>
      <c r="E66" s="2"/>
      <c r="F66" s="7">
        <f t="shared" si="39"/>
        <v>1.7382999808613171E-3</v>
      </c>
      <c r="G66" s="2"/>
      <c r="H66" s="6">
        <v>100</v>
      </c>
      <c r="I66" s="2"/>
      <c r="J66" s="7">
        <f t="shared" si="40"/>
        <v>1.7713329599363453E-3</v>
      </c>
      <c r="K66" s="2"/>
      <c r="L66" s="6">
        <f t="shared" si="41"/>
        <v>0</v>
      </c>
      <c r="M66" s="2"/>
      <c r="N66" s="7">
        <f t="shared" si="42"/>
        <v>0</v>
      </c>
      <c r="O66" s="11"/>
      <c r="P66" s="6">
        <v>300</v>
      </c>
      <c r="Q66" s="2"/>
      <c r="R66" s="7">
        <f t="shared" si="43"/>
        <v>1.307236762495691E-3</v>
      </c>
      <c r="S66" s="2"/>
      <c r="T66" s="6">
        <v>400</v>
      </c>
      <c r="U66" s="2"/>
      <c r="V66" s="7">
        <f t="shared" si="44"/>
        <v>1.6803056375136298E-3</v>
      </c>
      <c r="W66" s="2"/>
      <c r="X66" s="6">
        <f t="shared" si="45"/>
        <v>-100</v>
      </c>
      <c r="Y66" s="2"/>
      <c r="Z66" s="7">
        <f t="shared" si="46"/>
        <v>-0.25</v>
      </c>
    </row>
    <row r="67" spans="1:26" s="27" customFormat="1" outlineLevel="1" collapsed="1" x14ac:dyDescent="0.25">
      <c r="A67" s="25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SUM(OSRRefD22_8x_0)</f>
        <v>9597.5400000000009</v>
      </c>
      <c r="E67" s="1"/>
      <c r="F67" s="5">
        <f t="shared" si="39"/>
        <v>0.16683403598315727</v>
      </c>
      <c r="G67" s="1"/>
      <c r="H67" s="1">
        <f>SUM(OSRRefH22_8x_0)</f>
        <v>5859.36</v>
      </c>
      <c r="I67" s="1"/>
      <c r="J67" s="5">
        <f t="shared" si="40"/>
        <v>0.10378877492132624</v>
      </c>
      <c r="K67" s="1"/>
      <c r="L67" s="1">
        <f t="shared" si="41"/>
        <v>3738.1800000000012</v>
      </c>
      <c r="M67" s="1"/>
      <c r="N67" s="5">
        <f t="shared" si="42"/>
        <v>0.63798435323994451</v>
      </c>
      <c r="O67" s="13"/>
      <c r="P67" s="1">
        <f>SUM(OSRRefP22_8x_0)</f>
        <v>28044.969999999998</v>
      </c>
      <c r="Q67" s="1"/>
      <c r="R67" s="5">
        <f t="shared" si="43"/>
        <v>0.12220471929029593</v>
      </c>
      <c r="S67" s="1"/>
      <c r="T67" s="1">
        <f>SUM(OSRRefT22_8x_0)</f>
        <v>26114.1</v>
      </c>
      <c r="U67" s="1"/>
      <c r="V67" s="5">
        <f t="shared" si="44"/>
        <v>0.10969917362148669</v>
      </c>
      <c r="W67" s="1"/>
      <c r="X67" s="1">
        <f t="shared" si="45"/>
        <v>1930.869999999999</v>
      </c>
      <c r="Y67" s="1"/>
      <c r="Z67" s="5">
        <f t="shared" si="46"/>
        <v>7.3939749024473339E-2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9597.5400000000009</v>
      </c>
      <c r="E68" s="2"/>
      <c r="F68" s="7">
        <f t="shared" si="39"/>
        <v>0.16683403598315727</v>
      </c>
      <c r="G68" s="2"/>
      <c r="H68" s="6">
        <v>5743.74</v>
      </c>
      <c r="I68" s="2"/>
      <c r="J68" s="7">
        <f t="shared" si="40"/>
        <v>0.10174075975304783</v>
      </c>
      <c r="K68" s="2"/>
      <c r="L68" s="6">
        <f t="shared" si="41"/>
        <v>3853.8000000000011</v>
      </c>
      <c r="M68" s="2"/>
      <c r="N68" s="7">
        <f t="shared" si="42"/>
        <v>0.67095655444013858</v>
      </c>
      <c r="O68" s="11"/>
      <c r="P68" s="6">
        <v>28044.969999999998</v>
      </c>
      <c r="Q68" s="2"/>
      <c r="R68" s="7">
        <f t="shared" si="43"/>
        <v>0.12220471929029593</v>
      </c>
      <c r="S68" s="2"/>
      <c r="T68" s="6">
        <v>25998.48</v>
      </c>
      <c r="U68" s="2"/>
      <c r="V68" s="7">
        <f t="shared" si="44"/>
        <v>0.10921348127696338</v>
      </c>
      <c r="W68" s="2"/>
      <c r="X68" s="6">
        <f t="shared" si="45"/>
        <v>2046.489999999998</v>
      </c>
      <c r="Y68" s="2"/>
      <c r="Z68" s="7">
        <f t="shared" si="46"/>
        <v>7.8715755690332595E-2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39"/>
        <v>0</v>
      </c>
      <c r="G69" s="2"/>
      <c r="H69" s="6">
        <v>115.62</v>
      </c>
      <c r="I69" s="2"/>
      <c r="J69" s="7">
        <f t="shared" si="40"/>
        <v>2.0480151682784023E-3</v>
      </c>
      <c r="K69" s="2"/>
      <c r="L69" s="6">
        <f t="shared" si="41"/>
        <v>-115.62</v>
      </c>
      <c r="M69" s="2"/>
      <c r="N69" s="7">
        <f t="shared" si="42"/>
        <v>-1</v>
      </c>
      <c r="O69" s="11"/>
      <c r="P69" s="6"/>
      <c r="Q69" s="2"/>
      <c r="R69" s="7">
        <f t="shared" si="43"/>
        <v>0</v>
      </c>
      <c r="S69" s="2"/>
      <c r="T69" s="6">
        <v>115.62</v>
      </c>
      <c r="U69" s="2"/>
      <c r="V69" s="7">
        <f t="shared" si="44"/>
        <v>4.8569234452331469E-4</v>
      </c>
      <c r="W69" s="2"/>
      <c r="X69" s="6">
        <f t="shared" si="45"/>
        <v>-115.62</v>
      </c>
      <c r="Y69" s="2"/>
      <c r="Z69" s="7">
        <f t="shared" si="46"/>
        <v>-1</v>
      </c>
    </row>
    <row r="70" spans="1:26" s="27" customFormat="1" outlineLevel="1" collapsed="1" x14ac:dyDescent="0.25">
      <c r="A70" s="25"/>
      <c r="B70" s="13" t="str">
        <f>CONCATENATE("     ","Royalty &amp; Commissions                             ")</f>
        <v xml:space="preserve">     Royalty &amp; Commissions                             </v>
      </c>
      <c r="C70" s="13"/>
      <c r="D70" s="1">
        <f>SUM(OSRRefD22_9x_0)</f>
        <v>11744.64</v>
      </c>
      <c r="E70" s="1"/>
      <c r="F70" s="5">
        <f t="shared" ref="F70:F77" si="47">IF(D$12=0,0,D70/D$12)</f>
        <v>0.20415707487223059</v>
      </c>
      <c r="G70" s="1"/>
      <c r="H70" s="1">
        <f>SUM(OSRRefH22_9x_0)</f>
        <v>11991.03</v>
      </c>
      <c r="I70" s="1"/>
      <c r="J70" s="5">
        <f t="shared" ref="J70:J77" si="48">IF(H$12=0,0,H70/H$12)</f>
        <v>0.21240106662585514</v>
      </c>
      <c r="K70" s="1"/>
      <c r="L70" s="1">
        <f t="shared" ref="L70:L77" si="49">+D70-H70</f>
        <v>-246.39000000000124</v>
      </c>
      <c r="M70" s="1"/>
      <c r="N70" s="5">
        <f t="shared" ref="N70:N77" si="50">IF(H70=0,0,L70/H70)</f>
        <v>-2.0547859524995035E-2</v>
      </c>
      <c r="O70" s="13"/>
      <c r="P70" s="1">
        <f>SUM(OSRRefP22_9x_0)</f>
        <v>26214.26</v>
      </c>
      <c r="Q70" s="1"/>
      <c r="R70" s="5">
        <f t="shared" ref="R70:R77" si="51">IF(P$12=0,0,P70/P$12)</f>
        <v>0.11422748124540097</v>
      </c>
      <c r="S70" s="1"/>
      <c r="T70" s="1">
        <f>SUM(OSRRefT22_9x_0)</f>
        <v>26362.38</v>
      </c>
      <c r="U70" s="1"/>
      <c r="V70" s="5">
        <f t="shared" ref="V70:V77" si="52">IF(T$12=0,0,T70/T$12)</f>
        <v>0.11074213933069141</v>
      </c>
      <c r="W70" s="1"/>
      <c r="X70" s="1">
        <f t="shared" ref="X70:X77" si="53">+P70-T70</f>
        <v>-148.12000000000262</v>
      </c>
      <c r="Y70" s="1"/>
      <c r="Z70" s="5">
        <f t="shared" ref="Z70:Z77" si="54">IF(T70=0,0,X70/T70)</f>
        <v>-5.6186125835377011E-3</v>
      </c>
    </row>
    <row r="71" spans="1:26" s="24" customFormat="1" hidden="1" outlineLevel="2" x14ac:dyDescent="0.25">
      <c r="A71" s="26"/>
      <c r="B71" s="11" t="str">
        <f>CONCATENATE("          ", "6259", " - ", "ROYALTY &amp; COMMISSIONS")</f>
        <v xml:space="preserve">          6259 - ROYALTY &amp; COMMISSIONS</v>
      </c>
      <c r="C71" s="11"/>
      <c r="D71" s="6">
        <v>11744.64</v>
      </c>
      <c r="E71" s="2"/>
      <c r="F71" s="7">
        <f t="shared" si="47"/>
        <v>0.20415707487223059</v>
      </c>
      <c r="G71" s="2"/>
      <c r="H71" s="6">
        <v>11991.03</v>
      </c>
      <c r="I71" s="2"/>
      <c r="J71" s="7">
        <f t="shared" si="48"/>
        <v>0.21240106662585514</v>
      </c>
      <c r="K71" s="2"/>
      <c r="L71" s="6">
        <f t="shared" si="49"/>
        <v>-246.39000000000124</v>
      </c>
      <c r="M71" s="2"/>
      <c r="N71" s="7">
        <f t="shared" si="50"/>
        <v>-2.0547859524995035E-2</v>
      </c>
      <c r="O71" s="11"/>
      <c r="P71" s="6">
        <v>26214.26</v>
      </c>
      <c r="Q71" s="2"/>
      <c r="R71" s="7">
        <f t="shared" si="51"/>
        <v>0.11422748124540097</v>
      </c>
      <c r="S71" s="2"/>
      <c r="T71" s="6">
        <v>26362.38</v>
      </c>
      <c r="U71" s="2"/>
      <c r="V71" s="7">
        <f t="shared" si="52"/>
        <v>0.11074213933069141</v>
      </c>
      <c r="W71" s="2"/>
      <c r="X71" s="6">
        <f t="shared" si="53"/>
        <v>-148.12000000000262</v>
      </c>
      <c r="Y71" s="2"/>
      <c r="Z71" s="7">
        <f t="shared" si="54"/>
        <v>-5.6186125835377011E-3</v>
      </c>
    </row>
    <row r="72" spans="1:26" s="27" customFormat="1" outlineLevel="1" collapsed="1" x14ac:dyDescent="0.25">
      <c r="A72" s="25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SUM(OSRRefD22_10x_0)</f>
        <v>2868.23</v>
      </c>
      <c r="E72" s="1"/>
      <c r="F72" s="5">
        <f t="shared" si="47"/>
        <v>4.9858441541058555E-2</v>
      </c>
      <c r="G72" s="1"/>
      <c r="H72" s="1">
        <f>SUM(OSRRefH22_10x_0)</f>
        <v>11861.11</v>
      </c>
      <c r="I72" s="1"/>
      <c r="J72" s="5">
        <f t="shared" si="48"/>
        <v>0.21009975084430585</v>
      </c>
      <c r="K72" s="1"/>
      <c r="L72" s="1">
        <f t="shared" si="49"/>
        <v>-8992.880000000001</v>
      </c>
      <c r="M72" s="1"/>
      <c r="N72" s="5">
        <f t="shared" si="50"/>
        <v>-0.7581819913987814</v>
      </c>
      <c r="O72" s="13"/>
      <c r="P72" s="1">
        <f>SUM(OSRRefP22_10x_0)</f>
        <v>17330</v>
      </c>
      <c r="Q72" s="1"/>
      <c r="R72" s="5">
        <f t="shared" si="51"/>
        <v>7.5514710313501085E-2</v>
      </c>
      <c r="S72" s="1"/>
      <c r="T72" s="1">
        <f>SUM(OSRRefT22_10x_0)</f>
        <v>30369.140000000003</v>
      </c>
      <c r="U72" s="1"/>
      <c r="V72" s="5">
        <f t="shared" si="52"/>
        <v>0.1275735928711017</v>
      </c>
      <c r="W72" s="1"/>
      <c r="X72" s="1">
        <f t="shared" si="53"/>
        <v>-13039.140000000003</v>
      </c>
      <c r="Y72" s="1"/>
      <c r="Z72" s="5">
        <f t="shared" si="54"/>
        <v>-0.42935493069609482</v>
      </c>
    </row>
    <row r="73" spans="1:26" s="24" customFormat="1" hidden="1" outlineLevel="2" x14ac:dyDescent="0.25">
      <c r="A73" s="26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47"/>
        <v>0</v>
      </c>
      <c r="G73" s="2"/>
      <c r="H73" s="6"/>
      <c r="I73" s="2"/>
      <c r="J73" s="7">
        <f t="shared" si="48"/>
        <v>0</v>
      </c>
      <c r="K73" s="2"/>
      <c r="L73" s="6">
        <f t="shared" si="49"/>
        <v>0</v>
      </c>
      <c r="M73" s="2"/>
      <c r="N73" s="7">
        <f t="shared" si="50"/>
        <v>0</v>
      </c>
      <c r="O73" s="11"/>
      <c r="P73" s="6">
        <v>1017.27</v>
      </c>
      <c r="Q73" s="2"/>
      <c r="R73" s="7">
        <f t="shared" si="51"/>
        <v>4.4327091379466384E-3</v>
      </c>
      <c r="S73" s="2"/>
      <c r="T73" s="6">
        <v>856.68</v>
      </c>
      <c r="U73" s="2"/>
      <c r="V73" s="7">
        <f t="shared" si="52"/>
        <v>3.5987105838629408E-3</v>
      </c>
      <c r="W73" s="2"/>
      <c r="X73" s="6">
        <f t="shared" si="53"/>
        <v>160.59000000000003</v>
      </c>
      <c r="Y73" s="2"/>
      <c r="Z73" s="7">
        <f t="shared" si="54"/>
        <v>0.18745622636223566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47"/>
        <v>0</v>
      </c>
      <c r="G74" s="2"/>
      <c r="H74" s="6"/>
      <c r="I74" s="2"/>
      <c r="J74" s="7">
        <f t="shared" si="48"/>
        <v>0</v>
      </c>
      <c r="K74" s="2"/>
      <c r="L74" s="6">
        <f t="shared" si="49"/>
        <v>0</v>
      </c>
      <c r="M74" s="2"/>
      <c r="N74" s="7">
        <f t="shared" si="50"/>
        <v>0</v>
      </c>
      <c r="O74" s="11"/>
      <c r="P74" s="6">
        <v>115.02</v>
      </c>
      <c r="Q74" s="2"/>
      <c r="R74" s="7">
        <f t="shared" si="51"/>
        <v>5.0119457474084796E-4</v>
      </c>
      <c r="S74" s="2"/>
      <c r="T74" s="6">
        <v>1.59</v>
      </c>
      <c r="U74" s="2"/>
      <c r="V74" s="7">
        <f t="shared" si="52"/>
        <v>6.6792149091166789E-6</v>
      </c>
      <c r="W74" s="2"/>
      <c r="X74" s="6">
        <f t="shared" si="53"/>
        <v>113.42999999999999</v>
      </c>
      <c r="Y74" s="2"/>
      <c r="Z74" s="7">
        <f t="shared" si="54"/>
        <v>71.339622641509422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6">
        <v>1929.38</v>
      </c>
      <c r="E75" s="2"/>
      <c r="F75" s="7">
        <f t="shared" si="47"/>
        <v>3.3538412170742084E-2</v>
      </c>
      <c r="G75" s="2"/>
      <c r="H75" s="6">
        <v>8301.76</v>
      </c>
      <c r="I75" s="2"/>
      <c r="J75" s="7">
        <f t="shared" si="48"/>
        <v>0.14705181113481153</v>
      </c>
      <c r="K75" s="2"/>
      <c r="L75" s="6">
        <f t="shared" si="49"/>
        <v>-6372.38</v>
      </c>
      <c r="M75" s="2"/>
      <c r="N75" s="7">
        <f t="shared" si="50"/>
        <v>-0.76759385961531046</v>
      </c>
      <c r="O75" s="11"/>
      <c r="P75" s="6">
        <v>4906.33</v>
      </c>
      <c r="Q75" s="2"/>
      <c r="R75" s="7">
        <f t="shared" si="51"/>
        <v>2.1379116483118278E-2</v>
      </c>
      <c r="S75" s="2"/>
      <c r="T75" s="6">
        <v>16655.900000000001</v>
      </c>
      <c r="U75" s="2"/>
      <c r="V75" s="7">
        <f t="shared" si="52"/>
        <v>6.9967506669658175E-2</v>
      </c>
      <c r="W75" s="2"/>
      <c r="X75" s="6">
        <f t="shared" si="53"/>
        <v>-11749.570000000002</v>
      </c>
      <c r="Y75" s="2"/>
      <c r="Z75" s="7">
        <f t="shared" si="54"/>
        <v>-0.70542990772038738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6">
        <v>7.24</v>
      </c>
      <c r="E76" s="2"/>
      <c r="F76" s="7">
        <f t="shared" si="47"/>
        <v>1.2585291861435936E-4</v>
      </c>
      <c r="G76" s="2"/>
      <c r="H76" s="6">
        <v>565.89</v>
      </c>
      <c r="I76" s="2"/>
      <c r="J76" s="7">
        <f t="shared" si="48"/>
        <v>1.0023796086983785E-2</v>
      </c>
      <c r="K76" s="2"/>
      <c r="L76" s="6">
        <f t="shared" si="49"/>
        <v>-558.65</v>
      </c>
      <c r="M76" s="2"/>
      <c r="N76" s="7">
        <f t="shared" si="50"/>
        <v>-0.98720599409779286</v>
      </c>
      <c r="O76" s="11"/>
      <c r="P76" s="6">
        <v>249.44</v>
      </c>
      <c r="Q76" s="2"/>
      <c r="R76" s="7">
        <f t="shared" si="51"/>
        <v>1.0869237934564172E-3</v>
      </c>
      <c r="S76" s="2"/>
      <c r="T76" s="6">
        <v>4387.13</v>
      </c>
      <c r="U76" s="2"/>
      <c r="V76" s="7">
        <f t="shared" si="52"/>
        <v>1.8429298178762928E-2</v>
      </c>
      <c r="W76" s="2"/>
      <c r="X76" s="6">
        <f t="shared" si="53"/>
        <v>-4137.6900000000005</v>
      </c>
      <c r="Y76" s="2"/>
      <c r="Z76" s="7">
        <f t="shared" si="54"/>
        <v>-0.94314278355097758</v>
      </c>
    </row>
    <row r="77" spans="1:26" s="24" customFormat="1" hidden="1" outlineLevel="2" x14ac:dyDescent="0.25">
      <c r="A77" s="26"/>
      <c r="B77" s="11" t="str">
        <f>CONCATENATE("          ", "6247", " - ", "STORE SUPPLIES")</f>
        <v xml:space="preserve">          6247 - STORE SUPPLIES</v>
      </c>
      <c r="C77" s="11"/>
      <c r="D77" s="6">
        <v>931.61</v>
      </c>
      <c r="E77" s="2"/>
      <c r="F77" s="7">
        <f t="shared" si="47"/>
        <v>1.6194176451702118E-2</v>
      </c>
      <c r="G77" s="2"/>
      <c r="H77" s="6">
        <v>2993.46</v>
      </c>
      <c r="I77" s="2"/>
      <c r="J77" s="7">
        <f t="shared" si="48"/>
        <v>5.3024143622510525E-2</v>
      </c>
      <c r="K77" s="2"/>
      <c r="L77" s="6">
        <f t="shared" si="49"/>
        <v>-2061.85</v>
      </c>
      <c r="M77" s="2"/>
      <c r="N77" s="7">
        <f t="shared" si="50"/>
        <v>-0.68878488438128449</v>
      </c>
      <c r="O77" s="11"/>
      <c r="P77" s="6">
        <v>11041.94</v>
      </c>
      <c r="Q77" s="2"/>
      <c r="R77" s="7">
        <f t="shared" si="51"/>
        <v>4.8114766324238903E-2</v>
      </c>
      <c r="S77" s="2"/>
      <c r="T77" s="6">
        <v>8467.84</v>
      </c>
      <c r="U77" s="2"/>
      <c r="V77" s="7">
        <f t="shared" si="52"/>
        <v>3.5571398223908535E-2</v>
      </c>
      <c r="W77" s="2"/>
      <c r="X77" s="6">
        <f t="shared" si="53"/>
        <v>2574.1000000000004</v>
      </c>
      <c r="Y77" s="2"/>
      <c r="Z77" s="7">
        <f t="shared" si="54"/>
        <v>0.3039854319401406</v>
      </c>
    </row>
    <row r="78" spans="1:26" s="27" customFormat="1" outlineLevel="1" collapsed="1" x14ac:dyDescent="0.25">
      <c r="A78" s="25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SUM(OSRRefD22_11x_0)</f>
        <v>192.9</v>
      </c>
      <c r="E78" s="1"/>
      <c r="F78" s="5">
        <f t="shared" ref="F78:F81" si="55">IF(D$12=0,0,D78/D$12)</f>
        <v>3.3531806630814811E-3</v>
      </c>
      <c r="G78" s="1"/>
      <c r="H78" s="1">
        <f>SUM(OSRRefH22_11x_0)</f>
        <v>284</v>
      </c>
      <c r="I78" s="1"/>
      <c r="J78" s="5">
        <f t="shared" ref="J78:J81" si="56">IF(H$12=0,0,H78/H$12)</f>
        <v>5.0305856062192204E-3</v>
      </c>
      <c r="K78" s="1"/>
      <c r="L78" s="1">
        <f t="shared" ref="L78:L81" si="57">+D78-H78</f>
        <v>-91.1</v>
      </c>
      <c r="M78" s="1"/>
      <c r="N78" s="5">
        <f t="shared" ref="N78:N81" si="58">IF(H78=0,0,L78/H78)</f>
        <v>-0.3207746478873239</v>
      </c>
      <c r="O78" s="13"/>
      <c r="P78" s="1">
        <f>SUM(OSRRefP22_11x_0)</f>
        <v>834.95</v>
      </c>
      <c r="Q78" s="1"/>
      <c r="R78" s="5">
        <f t="shared" ref="R78:R81" si="59">IF(P$12=0,0,P78/P$12)</f>
        <v>3.6382577828192575E-3</v>
      </c>
      <c r="S78" s="1"/>
      <c r="T78" s="1">
        <f>SUM(OSRRefT22_11x_0)</f>
        <v>1214.45</v>
      </c>
      <c r="U78" s="1"/>
      <c r="V78" s="5">
        <f t="shared" ref="V78:V81" si="60">IF(T$12=0,0,T78/T$12)</f>
        <v>5.1016179536960693E-3</v>
      </c>
      <c r="W78" s="1"/>
      <c r="X78" s="1">
        <f t="shared" ref="X78:X81" si="61">+P78-T78</f>
        <v>-379.5</v>
      </c>
      <c r="Y78" s="1"/>
      <c r="Z78" s="5">
        <f t="shared" ref="Z78:Z81" si="62">IF(T78=0,0,X78/T78)</f>
        <v>-0.31248713409362261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6">
        <v>192.9</v>
      </c>
      <c r="E79" s="2"/>
      <c r="F79" s="7">
        <f t="shared" si="55"/>
        <v>3.3531806630814811E-3</v>
      </c>
      <c r="G79" s="2"/>
      <c r="H79" s="6">
        <v>284</v>
      </c>
      <c r="I79" s="2"/>
      <c r="J79" s="7">
        <f t="shared" si="56"/>
        <v>5.0305856062192204E-3</v>
      </c>
      <c r="K79" s="2"/>
      <c r="L79" s="6">
        <f t="shared" si="57"/>
        <v>-91.1</v>
      </c>
      <c r="M79" s="2"/>
      <c r="N79" s="7">
        <f t="shared" si="58"/>
        <v>-0.3207746478873239</v>
      </c>
      <c r="O79" s="11"/>
      <c r="P79" s="6">
        <v>834.95</v>
      </c>
      <c r="Q79" s="2"/>
      <c r="R79" s="7">
        <f t="shared" si="59"/>
        <v>3.6382577828192575E-3</v>
      </c>
      <c r="S79" s="2"/>
      <c r="T79" s="6">
        <v>1214.45</v>
      </c>
      <c r="U79" s="2"/>
      <c r="V79" s="7">
        <f t="shared" si="60"/>
        <v>5.1016179536960693E-3</v>
      </c>
      <c r="W79" s="2"/>
      <c r="X79" s="6">
        <f t="shared" si="61"/>
        <v>-379.5</v>
      </c>
      <c r="Y79" s="2"/>
      <c r="Z79" s="7">
        <f t="shared" si="62"/>
        <v>-0.31248713409362261</v>
      </c>
    </row>
    <row r="80" spans="1:26" s="27" customFormat="1" outlineLevel="1" collapsed="1" x14ac:dyDescent="0.25">
      <c r="A80" s="25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SUM(OSRRefD22_12x_0)</f>
        <v>0</v>
      </c>
      <c r="E80" s="1"/>
      <c r="F80" s="5">
        <f t="shared" si="55"/>
        <v>0</v>
      </c>
      <c r="G80" s="1"/>
      <c r="H80" s="1">
        <f>SUM(OSRRefH22_12x_0)</f>
        <v>0</v>
      </c>
      <c r="I80" s="1"/>
      <c r="J80" s="5">
        <f t="shared" si="56"/>
        <v>0</v>
      </c>
      <c r="K80" s="1"/>
      <c r="L80" s="1">
        <f t="shared" si="57"/>
        <v>0</v>
      </c>
      <c r="M80" s="1"/>
      <c r="N80" s="5">
        <f t="shared" si="58"/>
        <v>0</v>
      </c>
      <c r="O80" s="13"/>
      <c r="P80" s="1">
        <f>SUM(OSRRefP22_12x_0)</f>
        <v>97.71</v>
      </c>
      <c r="Q80" s="1"/>
      <c r="R80" s="5">
        <f t="shared" si="59"/>
        <v>4.2576701354484658E-4</v>
      </c>
      <c r="S80" s="1"/>
      <c r="T80" s="1">
        <f>SUM(OSRRefT22_12x_0)</f>
        <v>0</v>
      </c>
      <c r="U80" s="1"/>
      <c r="V80" s="5">
        <f t="shared" si="60"/>
        <v>0</v>
      </c>
      <c r="W80" s="1"/>
      <c r="X80" s="1">
        <f t="shared" si="61"/>
        <v>97.71</v>
      </c>
      <c r="Y80" s="1"/>
      <c r="Z80" s="5">
        <f t="shared" si="62"/>
        <v>0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55"/>
        <v>0</v>
      </c>
      <c r="G81" s="2"/>
      <c r="H81" s="6"/>
      <c r="I81" s="2"/>
      <c r="J81" s="7">
        <f t="shared" si="56"/>
        <v>0</v>
      </c>
      <c r="K81" s="2"/>
      <c r="L81" s="6">
        <f t="shared" si="57"/>
        <v>0</v>
      </c>
      <c r="M81" s="2"/>
      <c r="N81" s="7">
        <f t="shared" si="58"/>
        <v>0</v>
      </c>
      <c r="O81" s="11"/>
      <c r="P81" s="6">
        <v>97.71</v>
      </c>
      <c r="Q81" s="2"/>
      <c r="R81" s="7">
        <f t="shared" si="59"/>
        <v>4.2576701354484658E-4</v>
      </c>
      <c r="S81" s="2"/>
      <c r="T81" s="6"/>
      <c r="U81" s="2"/>
      <c r="V81" s="7">
        <f t="shared" si="60"/>
        <v>0</v>
      </c>
      <c r="W81" s="2"/>
      <c r="X81" s="6">
        <f t="shared" si="61"/>
        <v>97.71</v>
      </c>
      <c r="Y81" s="2"/>
      <c r="Z81" s="7">
        <f t="shared" si="62"/>
        <v>0</v>
      </c>
    </row>
    <row r="82" spans="1:26" s="55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0</v>
      </c>
      <c r="C83" s="10"/>
      <c r="D83" s="4">
        <f>SUM(OSRRefD25x_0)</f>
        <v>74375.55</v>
      </c>
      <c r="E83" s="4"/>
      <c r="F83" s="12">
        <f t="shared" ref="F83:F89" si="63">IF(D$12=0,0,D83/D$12)</f>
        <v>1.2928701714154995</v>
      </c>
      <c r="G83" s="4"/>
      <c r="H83" s="4">
        <f>SUM(OSRRefH25x_0)</f>
        <v>12383</v>
      </c>
      <c r="I83" s="4"/>
      <c r="J83" s="12">
        <f t="shared" ref="J83:J89" si="64">IF(H$12=0,0,H83/H$12)</f>
        <v>0.21934416042891763</v>
      </c>
      <c r="K83" s="4"/>
      <c r="L83" s="4">
        <f t="shared" ref="L83:L89" si="65">+D83-H83</f>
        <v>61992.55</v>
      </c>
      <c r="M83" s="4"/>
      <c r="N83" s="12">
        <f t="shared" ref="N83:N89" si="66">IF(H83=0,0,L83/H83)</f>
        <v>5.0062626181054677</v>
      </c>
      <c r="O83" s="10"/>
      <c r="P83" s="4">
        <f>SUM(OSRRefP25x_0)</f>
        <v>137504.40000000002</v>
      </c>
      <c r="Q83" s="4"/>
      <c r="R83" s="12">
        <f t="shared" ref="R83:R89" si="67">IF(P$12=0,0,P83/P$12)</f>
        <v>0.59916935561637508</v>
      </c>
      <c r="S83" s="4"/>
      <c r="T83" s="4">
        <f>SUM(OSRRefT25x_0)</f>
        <v>49317</v>
      </c>
      <c r="U83" s="4"/>
      <c r="V83" s="12">
        <f t="shared" ref="V83:V89" si="68">IF(T$12=0,0,T83/T$12)</f>
        <v>0.20716908281314919</v>
      </c>
      <c r="W83" s="4"/>
      <c r="X83" s="4">
        <f t="shared" ref="X83:X89" si="69">+P83-T83</f>
        <v>88187.400000000023</v>
      </c>
      <c r="Y83" s="4"/>
      <c r="Z83" s="12">
        <f t="shared" ref="Z83:Z89" si="70">IF(T83=0,0,X83/T83)</f>
        <v>1.7881744631668597</v>
      </c>
    </row>
    <row r="84" spans="1:26" s="24" customFormat="1" hidden="1" outlineLevel="1" x14ac:dyDescent="0.25">
      <c r="A84" s="44"/>
      <c r="B84" s="11" t="str">
        <f>CONCATENATE("          ", "4098", " - ", "TAXABLE SALES-GRAD RENTALS")</f>
        <v xml:space="preserve">          4098 - TAXABLE SALES-GRAD RENTALS</v>
      </c>
      <c r="C84" s="11"/>
      <c r="D84" s="2">
        <f t="shared" ref="D84:D86" si="71">0</f>
        <v>0</v>
      </c>
      <c r="E84" s="2"/>
      <c r="F84" s="19">
        <f t="shared" si="63"/>
        <v>0</v>
      </c>
      <c r="G84" s="2"/>
      <c r="H84" s="2">
        <f>0</f>
        <v>0</v>
      </c>
      <c r="I84" s="2"/>
      <c r="J84" s="19">
        <f t="shared" si="64"/>
        <v>0</v>
      </c>
      <c r="K84" s="2"/>
      <c r="L84" s="2">
        <f t="shared" si="65"/>
        <v>0</v>
      </c>
      <c r="M84" s="2"/>
      <c r="N84" s="19">
        <f t="shared" si="66"/>
        <v>0</v>
      </c>
      <c r="O84" s="11"/>
      <c r="P84" s="2">
        <f>--1626.85</f>
        <v>1626.85</v>
      </c>
      <c r="Q84" s="2"/>
      <c r="R84" s="19">
        <f t="shared" si="67"/>
        <v>7.0889270902203833E-3</v>
      </c>
      <c r="S84" s="2"/>
      <c r="T84" s="2">
        <f>0</f>
        <v>0</v>
      </c>
      <c r="U84" s="2"/>
      <c r="V84" s="19">
        <f t="shared" si="68"/>
        <v>0</v>
      </c>
      <c r="W84" s="2"/>
      <c r="X84" s="2">
        <f t="shared" si="69"/>
        <v>1626.85</v>
      </c>
      <c r="Y84" s="2"/>
      <c r="Z84" s="19">
        <f t="shared" si="70"/>
        <v>0</v>
      </c>
    </row>
    <row r="85" spans="1:26" s="24" customFormat="1" hidden="1" outlineLevel="1" x14ac:dyDescent="0.25">
      <c r="A85" s="44"/>
      <c r="B85" s="11" t="str">
        <f>CONCATENATE("          ", "4197", " - ", "NON-TAXABLE SALES-RETURNED CHE")</f>
        <v xml:space="preserve">          4197 - NON-TAXABLE SALES-RETURNED CHE</v>
      </c>
      <c r="C85" s="11"/>
      <c r="D85" s="2">
        <f t="shared" si="71"/>
        <v>0</v>
      </c>
      <c r="E85" s="2"/>
      <c r="F85" s="19">
        <f t="shared" si="63"/>
        <v>0</v>
      </c>
      <c r="G85" s="2"/>
      <c r="H85" s="2">
        <f>--10</f>
        <v>10</v>
      </c>
      <c r="I85" s="2"/>
      <c r="J85" s="19">
        <f t="shared" si="64"/>
        <v>1.7713329599363452E-4</v>
      </c>
      <c r="K85" s="2"/>
      <c r="L85" s="2">
        <f t="shared" si="65"/>
        <v>-10</v>
      </c>
      <c r="M85" s="2"/>
      <c r="N85" s="19">
        <f t="shared" si="66"/>
        <v>-1</v>
      </c>
      <c r="O85" s="11"/>
      <c r="P85" s="2">
        <f>--30</f>
        <v>30</v>
      </c>
      <c r="Q85" s="2"/>
      <c r="R85" s="19">
        <f t="shared" si="67"/>
        <v>1.3072367624956911E-4</v>
      </c>
      <c r="S85" s="2"/>
      <c r="T85" s="2">
        <f>--260</f>
        <v>260</v>
      </c>
      <c r="U85" s="2"/>
      <c r="V85" s="19">
        <f t="shared" si="68"/>
        <v>1.0921986643838593E-3</v>
      </c>
      <c r="W85" s="2"/>
      <c r="X85" s="2">
        <f t="shared" si="69"/>
        <v>-230</v>
      </c>
      <c r="Y85" s="2"/>
      <c r="Z85" s="19">
        <f t="shared" si="70"/>
        <v>-0.88461538461538458</v>
      </c>
    </row>
    <row r="86" spans="1:26" s="24" customFormat="1" hidden="1" outlineLevel="1" x14ac:dyDescent="0.25">
      <c r="A86" s="44"/>
      <c r="B86" s="11" t="str">
        <f>CONCATENATE("          ", "4198", " - ", "NON-TAXABLE SALES-GRAD RENTALS")</f>
        <v xml:space="preserve">          4198 - NON-TAXABLE SALES-GRAD RENTALS</v>
      </c>
      <c r="C86" s="11"/>
      <c r="D86" s="2">
        <f t="shared" si="71"/>
        <v>0</v>
      </c>
      <c r="E86" s="2"/>
      <c r="F86" s="19">
        <f t="shared" si="63"/>
        <v>0</v>
      </c>
      <c r="G86" s="2"/>
      <c r="H86" s="2">
        <f>0</f>
        <v>0</v>
      </c>
      <c r="I86" s="2"/>
      <c r="J86" s="19">
        <f t="shared" si="64"/>
        <v>0</v>
      </c>
      <c r="K86" s="2"/>
      <c r="L86" s="2">
        <f t="shared" si="65"/>
        <v>0</v>
      </c>
      <c r="M86" s="2"/>
      <c r="N86" s="19">
        <f t="shared" si="66"/>
        <v>0</v>
      </c>
      <c r="O86" s="11"/>
      <c r="P86" s="2">
        <f>--495</f>
        <v>495</v>
      </c>
      <c r="Q86" s="2"/>
      <c r="R86" s="19">
        <f t="shared" si="67"/>
        <v>2.1569406581178905E-3</v>
      </c>
      <c r="S86" s="2"/>
      <c r="T86" s="2">
        <f>--435</f>
        <v>435</v>
      </c>
      <c r="U86" s="2"/>
      <c r="V86" s="19">
        <f t="shared" si="68"/>
        <v>1.8273323807960723E-3</v>
      </c>
      <c r="W86" s="2"/>
      <c r="X86" s="2">
        <f t="shared" si="69"/>
        <v>60</v>
      </c>
      <c r="Y86" s="2"/>
      <c r="Z86" s="19">
        <f t="shared" si="70"/>
        <v>0.13793103448275862</v>
      </c>
    </row>
    <row r="87" spans="1:26" s="24" customFormat="1" hidden="1" outlineLevel="1" x14ac:dyDescent="0.25">
      <c r="A87" s="44"/>
      <c r="B87" s="11" t="str">
        <f>CONCATENATE("          ", "9150", " - ", "MISC. INCOME")</f>
        <v xml:space="preserve">          9150 - MISC. INCOME</v>
      </c>
      <c r="C87" s="11"/>
      <c r="D87" s="2">
        <f>--13269</f>
        <v>13269</v>
      </c>
      <c r="E87" s="2"/>
      <c r="F87" s="19">
        <f t="shared" si="63"/>
        <v>0.23065502446048819</v>
      </c>
      <c r="G87" s="2"/>
      <c r="H87" s="2">
        <f>--12083</f>
        <v>12083</v>
      </c>
      <c r="I87" s="2"/>
      <c r="J87" s="19">
        <f t="shared" si="64"/>
        <v>0.21403016154910859</v>
      </c>
      <c r="K87" s="2"/>
      <c r="L87" s="2">
        <f t="shared" si="65"/>
        <v>1186</v>
      </c>
      <c r="M87" s="2"/>
      <c r="N87" s="19">
        <f t="shared" si="66"/>
        <v>9.8154431846395759E-2</v>
      </c>
      <c r="O87" s="11"/>
      <c r="P87" s="2">
        <f>--53076</f>
        <v>53076</v>
      </c>
      <c r="Q87" s="2"/>
      <c r="R87" s="19">
        <f t="shared" si="67"/>
        <v>0.23127632802073766</v>
      </c>
      <c r="S87" s="2"/>
      <c r="T87" s="2">
        <f>--48332</f>
        <v>48332</v>
      </c>
      <c r="U87" s="2"/>
      <c r="V87" s="19">
        <f t="shared" si="68"/>
        <v>0.20303133018077188</v>
      </c>
      <c r="W87" s="2"/>
      <c r="X87" s="2">
        <f t="shared" si="69"/>
        <v>4744</v>
      </c>
      <c r="Y87" s="2"/>
      <c r="Z87" s="19">
        <f t="shared" si="70"/>
        <v>9.8154431846395759E-2</v>
      </c>
    </row>
    <row r="88" spans="1:26" s="24" customFormat="1" hidden="1" outlineLevel="1" x14ac:dyDescent="0.25">
      <c r="A88" s="44"/>
      <c r="B88" s="11" t="str">
        <f>CONCATENATE("          ", "9160", " - ", "MISC. INCOME")</f>
        <v xml:space="preserve">          9160 - MISC. INCOME</v>
      </c>
      <c r="C88" s="11"/>
      <c r="D88" s="2">
        <f>0</f>
        <v>0</v>
      </c>
      <c r="E88" s="2"/>
      <c r="F88" s="19">
        <f t="shared" si="63"/>
        <v>0</v>
      </c>
      <c r="G88" s="2"/>
      <c r="H88" s="2">
        <f>--290</f>
        <v>290</v>
      </c>
      <c r="I88" s="2"/>
      <c r="J88" s="19">
        <f t="shared" si="64"/>
        <v>5.1368655838154014E-3</v>
      </c>
      <c r="K88" s="2"/>
      <c r="L88" s="2">
        <f t="shared" si="65"/>
        <v>-290</v>
      </c>
      <c r="M88" s="2"/>
      <c r="N88" s="19">
        <f t="shared" si="66"/>
        <v>-1</v>
      </c>
      <c r="O88" s="11"/>
      <c r="P88" s="2">
        <f>--21170</f>
        <v>21170</v>
      </c>
      <c r="Q88" s="2"/>
      <c r="R88" s="19">
        <f t="shared" si="67"/>
        <v>9.2247340873445938E-2</v>
      </c>
      <c r="S88" s="2"/>
      <c r="T88" s="2">
        <f>--290</f>
        <v>290</v>
      </c>
      <c r="U88" s="2"/>
      <c r="V88" s="19">
        <f t="shared" si="68"/>
        <v>1.2182215871973817E-3</v>
      </c>
      <c r="W88" s="2"/>
      <c r="X88" s="2">
        <f t="shared" si="69"/>
        <v>20880</v>
      </c>
      <c r="Y88" s="2"/>
      <c r="Z88" s="19">
        <f t="shared" si="70"/>
        <v>72</v>
      </c>
    </row>
    <row r="89" spans="1:26" s="24" customFormat="1" hidden="1" outlineLevel="1" x14ac:dyDescent="0.25">
      <c r="A89" s="44"/>
      <c r="B89" s="11" t="str">
        <f>CONCATENATE("          ", "9163", " - ", "MISC. INCOME")</f>
        <v xml:space="preserve">          9163 - MISC. INCOME</v>
      </c>
      <c r="C89" s="11"/>
      <c r="D89" s="2">
        <f>--61106.55</f>
        <v>61106.55</v>
      </c>
      <c r="E89" s="2"/>
      <c r="F89" s="19">
        <f t="shared" si="63"/>
        <v>1.0622151469550112</v>
      </c>
      <c r="G89" s="2"/>
      <c r="H89" s="2">
        <f>0</f>
        <v>0</v>
      </c>
      <c r="I89" s="2"/>
      <c r="J89" s="19">
        <f t="shared" si="64"/>
        <v>0</v>
      </c>
      <c r="K89" s="2"/>
      <c r="L89" s="2">
        <f t="shared" si="65"/>
        <v>61106.55</v>
      </c>
      <c r="M89" s="2"/>
      <c r="N89" s="19">
        <f t="shared" si="66"/>
        <v>0</v>
      </c>
      <c r="O89" s="11"/>
      <c r="P89" s="2">
        <f>--61106.55</f>
        <v>61106.55</v>
      </c>
      <c r="Q89" s="2"/>
      <c r="R89" s="19">
        <f t="shared" si="67"/>
        <v>0.26626909529760356</v>
      </c>
      <c r="S89" s="2"/>
      <c r="T89" s="2">
        <f>0</f>
        <v>0</v>
      </c>
      <c r="U89" s="2"/>
      <c r="V89" s="19">
        <f t="shared" si="68"/>
        <v>0</v>
      </c>
      <c r="W89" s="2"/>
      <c r="X89" s="2">
        <f t="shared" si="69"/>
        <v>61106.55</v>
      </c>
      <c r="Y89" s="2"/>
      <c r="Z89" s="19">
        <f t="shared" si="70"/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3</v>
      </c>
      <c r="C91" s="28"/>
      <c r="D91" s="21">
        <f>+D37-D39+D83</f>
        <v>74935.44</v>
      </c>
      <c r="E91" s="14"/>
      <c r="F91" s="22">
        <f>IF(D$12=0,0,D91/D$12)</f>
        <v>1.3026027391783439</v>
      </c>
      <c r="G91" s="14"/>
      <c r="H91" s="21">
        <f>+H37-H39+H83</f>
        <v>5690.0400000000009</v>
      </c>
      <c r="I91" s="14"/>
      <c r="J91" s="22">
        <f>IF(H$12=0,0,H91/H$12)</f>
        <v>0.10078955395356204</v>
      </c>
      <c r="K91" s="16"/>
      <c r="L91" s="21">
        <f>+D91-H91</f>
        <v>69245.399999999994</v>
      </c>
      <c r="M91" s="16"/>
      <c r="N91" s="22">
        <f>IF(H91=0,0,L91/H91)</f>
        <v>12.169580530189592</v>
      </c>
      <c r="O91" s="29"/>
      <c r="P91" s="21">
        <f>+P37-P39+P83</f>
        <v>187821.95000000004</v>
      </c>
      <c r="Q91" s="14"/>
      <c r="R91" s="22">
        <f>IF(P$12=0,0,P91/P$12)</f>
        <v>0.81842585947875868</v>
      </c>
      <c r="S91" s="14"/>
      <c r="T91" s="21">
        <f>+T37-T39+T83</f>
        <v>94666.68</v>
      </c>
      <c r="U91" s="14"/>
      <c r="V91" s="22">
        <f>IF(T$12=0,0,T91/T$12)</f>
        <v>0.39767239022174694</v>
      </c>
      <c r="W91" s="16"/>
      <c r="X91" s="21">
        <f>+P91-T91</f>
        <v>93155.270000000048</v>
      </c>
      <c r="Y91" s="16"/>
      <c r="Z91" s="22">
        <f>IF(T91=0,0,X91/T91)</f>
        <v>0.9840344036571268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>
        <v>4629.99</v>
      </c>
      <c r="E93" s="4"/>
      <c r="F93" s="12">
        <f>IF(D$12=0,0,D93/D$12)</f>
        <v>8.0483115283880899E-2</v>
      </c>
      <c r="G93" s="4"/>
      <c r="H93" s="4">
        <v>5728.25</v>
      </c>
      <c r="I93" s="4"/>
      <c r="J93" s="12">
        <f>IF(H$12=0,0,H93/H$12)</f>
        <v>0.1014663802775537</v>
      </c>
      <c r="K93" s="4"/>
      <c r="L93" s="4">
        <f>+D93-H93</f>
        <v>-1098.2600000000002</v>
      </c>
      <c r="M93" s="4"/>
      <c r="N93" s="12">
        <f>IF(H93=0,0,L93/H93)</f>
        <v>-0.19172696722384677</v>
      </c>
      <c r="O93" s="10"/>
      <c r="P93" s="4">
        <v>23101.22</v>
      </c>
      <c r="Q93" s="4"/>
      <c r="R93" s="12">
        <f>IF(P$12=0,0,P93/P$12)</f>
        <v>0.1006625468083357</v>
      </c>
      <c r="S93" s="4"/>
      <c r="T93" s="4">
        <v>21862.639999999999</v>
      </c>
      <c r="U93" s="4"/>
      <c r="V93" s="12">
        <f>IF(T$12=0,0,T93/T$12)</f>
        <v>9.1839793107327455E-2</v>
      </c>
      <c r="W93" s="4"/>
      <c r="X93" s="4">
        <f>+P93-T93</f>
        <v>1238.5800000000017</v>
      </c>
      <c r="Y93" s="4"/>
      <c r="Z93" s="12">
        <f>IF(T93=0,0,X93/T93)</f>
        <v>5.6652810456559767E-2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4</v>
      </c>
      <c r="C95" s="28"/>
      <c r="D95" s="31">
        <f>+D91-D93</f>
        <v>70305.45</v>
      </c>
      <c r="E95" s="14"/>
      <c r="F95" s="34">
        <f>IF(D$12=0,0,D95/D$12)</f>
        <v>1.2221196238944629</v>
      </c>
      <c r="G95" s="14"/>
      <c r="H95" s="31">
        <f>+H91-H93</f>
        <v>-38.209999999999127</v>
      </c>
      <c r="I95" s="14"/>
      <c r="J95" s="34">
        <f>IF(H$12=0,0,H95/H$12)</f>
        <v>-6.7682632399166211E-4</v>
      </c>
      <c r="K95" s="16"/>
      <c r="L95" s="31">
        <f>D95-H95</f>
        <v>70343.66</v>
      </c>
      <c r="M95" s="16"/>
      <c r="N95" s="34">
        <f>IF(H95=0,0,L95/H95)</f>
        <v>-1840.9751373986289</v>
      </c>
      <c r="O95" s="29"/>
      <c r="P95" s="31">
        <f>+P91-P93</f>
        <v>164720.73000000004</v>
      </c>
      <c r="Q95" s="14"/>
      <c r="R95" s="34">
        <f>IF(P$12=0,0,P95/P$12)</f>
        <v>0.71776331267042304</v>
      </c>
      <c r="S95" s="14"/>
      <c r="T95" s="31">
        <f>+T91-T93</f>
        <v>72804.039999999994</v>
      </c>
      <c r="U95" s="14"/>
      <c r="V95" s="34">
        <f>IF(T$12=0,0,T95/T$12)</f>
        <v>0.30583259711441946</v>
      </c>
      <c r="W95" s="16"/>
      <c r="X95" s="31">
        <f>P95-T95</f>
        <v>91916.690000000046</v>
      </c>
      <c r="Y95" s="16"/>
      <c r="Z95" s="34">
        <f>IF(T95=0,0,X95/T95)</f>
        <v>1.2625218325796213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5</v>
      </c>
      <c r="C98" s="28"/>
      <c r="D98" s="36">
        <f>SUM(D95:D97)</f>
        <v>70305.45</v>
      </c>
      <c r="E98" s="14"/>
      <c r="F98" s="33">
        <f>IF(D$12=0,0,D98/D$12)</f>
        <v>1.2221196238944629</v>
      </c>
      <c r="G98" s="14"/>
      <c r="H98" s="36">
        <f>SUM(H95:H97)</f>
        <v>-38.209999999999127</v>
      </c>
      <c r="I98" s="14"/>
      <c r="J98" s="33">
        <f>IF(H$12=0,0,H98/H$12)</f>
        <v>-6.7682632399166211E-4</v>
      </c>
      <c r="K98" s="16"/>
      <c r="L98" s="36">
        <f>+D98-H98</f>
        <v>70343.66</v>
      </c>
      <c r="M98" s="16"/>
      <c r="N98" s="33">
        <f>IF(H98=0,0,L98/H98)</f>
        <v>-1840.9751373986289</v>
      </c>
      <c r="O98" s="29"/>
      <c r="P98" s="36">
        <f>SUM(P95:P97)</f>
        <v>164720.73000000004</v>
      </c>
      <c r="Q98" s="14"/>
      <c r="R98" s="33">
        <f>IF(P$12=0,0,P98/P$12)</f>
        <v>0.71776331267042304</v>
      </c>
      <c r="S98" s="14"/>
      <c r="T98" s="36">
        <f>SUM(T95:T97)</f>
        <v>72804.039999999994</v>
      </c>
      <c r="U98" s="14"/>
      <c r="V98" s="33">
        <f>IF(T$12=0,0,T98/T$12)</f>
        <v>0.30583259711441946</v>
      </c>
      <c r="W98" s="16"/>
      <c r="X98" s="36">
        <f>+P98-T98</f>
        <v>91916.690000000046</v>
      </c>
      <c r="Y98" s="16"/>
      <c r="Z98" s="33">
        <f>IF(T98=0,0,X98/T98)</f>
        <v>1.2625218325796213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61">
        <v>43791.354865011577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6" t="s">
        <v>313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7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","316", " - ", "Campus Copy Center")</f>
        <v>Department 316 - Campus Copy Center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56348.18</v>
      </c>
      <c r="E12" s="4"/>
      <c r="F12" s="12"/>
      <c r="G12" s="4"/>
      <c r="H12" s="4">
        <f>SUM(OSRRefH13x_0)</f>
        <v>55676.530000000006</v>
      </c>
      <c r="I12" s="4"/>
      <c r="J12" s="12"/>
      <c r="K12" s="4"/>
      <c r="L12" s="4">
        <f t="shared" ref="L12:L24" si="0">+D12-H12</f>
        <v>671.64999999999418</v>
      </c>
      <c r="M12" s="4"/>
      <c r="N12" s="12">
        <f t="shared" ref="N12:N24" si="1">IF(H12=0,0,L12/H12)</f>
        <v>1.2063431395598722E-2</v>
      </c>
      <c r="O12" s="10"/>
      <c r="P12" s="4">
        <f>SUM(OSRRefP13x_0)</f>
        <v>224591.89999999997</v>
      </c>
      <c r="Q12" s="4"/>
      <c r="R12" s="12"/>
      <c r="S12" s="4"/>
      <c r="T12" s="4">
        <f>SUM(OSRRefT13x_0)</f>
        <v>233174.87000000002</v>
      </c>
      <c r="U12" s="4"/>
      <c r="V12" s="12"/>
      <c r="W12" s="4"/>
      <c r="X12" s="4">
        <f t="shared" ref="X12:X24" si="2">+P12-T12</f>
        <v>-8582.9700000000594</v>
      </c>
      <c r="Y12" s="4"/>
      <c r="Z12" s="12">
        <f t="shared" ref="Z12:Z24" si="3">IF(T12=0,0,X12/T12)</f>
        <v>-3.680915529190628E-2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--1480.05</f>
        <v>1480.05</v>
      </c>
      <c r="E13" s="2"/>
      <c r="F13" s="19"/>
      <c r="G13" s="2"/>
      <c r="H13" s="2">
        <f>--2548.65</f>
        <v>2548.65</v>
      </c>
      <c r="I13" s="2"/>
      <c r="J13" s="19"/>
      <c r="K13" s="2"/>
      <c r="L13" s="2">
        <f t="shared" si="0"/>
        <v>-1068.6000000000001</v>
      </c>
      <c r="M13" s="2"/>
      <c r="N13" s="19">
        <f t="shared" si="1"/>
        <v>-0.4192807957153788</v>
      </c>
      <c r="O13" s="11"/>
      <c r="P13" s="2">
        <f>--96774.25</f>
        <v>96774.25</v>
      </c>
      <c r="Q13" s="2"/>
      <c r="R13" s="19"/>
      <c r="S13" s="2"/>
      <c r="T13" s="2">
        <f>--107961.65</f>
        <v>107961.65</v>
      </c>
      <c r="U13" s="2"/>
      <c r="V13" s="19"/>
      <c r="W13" s="2"/>
      <c r="X13" s="2">
        <f t="shared" si="2"/>
        <v>-11187.399999999994</v>
      </c>
      <c r="Y13" s="2"/>
      <c r="Z13" s="19">
        <f t="shared" si="3"/>
        <v>-0.10362383309258422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--12160.33</f>
        <v>12160.33</v>
      </c>
      <c r="E14" s="2"/>
      <c r="F14" s="19"/>
      <c r="G14" s="2"/>
      <c r="H14" s="2">
        <f>--9139.29</f>
        <v>9139.2900000000009</v>
      </c>
      <c r="I14" s="2"/>
      <c r="J14" s="19"/>
      <c r="K14" s="2"/>
      <c r="L14" s="2">
        <f t="shared" si="0"/>
        <v>3021.0399999999991</v>
      </c>
      <c r="M14" s="2"/>
      <c r="N14" s="19">
        <f t="shared" si="1"/>
        <v>0.33055521818434458</v>
      </c>
      <c r="O14" s="11"/>
      <c r="P14" s="2">
        <f>--31918.22</f>
        <v>31918.22</v>
      </c>
      <c r="Q14" s="2"/>
      <c r="R14" s="19"/>
      <c r="S14" s="2"/>
      <c r="T14" s="2">
        <f>--28158.2</f>
        <v>28158.2</v>
      </c>
      <c r="U14" s="2"/>
      <c r="V14" s="19"/>
      <c r="W14" s="2"/>
      <c r="X14" s="2">
        <f t="shared" si="2"/>
        <v>3760.0200000000004</v>
      </c>
      <c r="Y14" s="2"/>
      <c r="Z14" s="19">
        <f t="shared" si="3"/>
        <v>0.13353197292440569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--2.55</f>
        <v>2.5499999999999998</v>
      </c>
      <c r="E15" s="2"/>
      <c r="F15" s="19"/>
      <c r="G15" s="2"/>
      <c r="H15" s="2">
        <f>--37.46</f>
        <v>37.46</v>
      </c>
      <c r="I15" s="2"/>
      <c r="J15" s="19"/>
      <c r="K15" s="2"/>
      <c r="L15" s="2">
        <f t="shared" si="0"/>
        <v>-34.910000000000004</v>
      </c>
      <c r="M15" s="2"/>
      <c r="N15" s="19">
        <f t="shared" si="1"/>
        <v>-0.93192738921516294</v>
      </c>
      <c r="O15" s="11"/>
      <c r="P15" s="2">
        <f>--98.28</f>
        <v>98.28</v>
      </c>
      <c r="Q15" s="2"/>
      <c r="R15" s="19"/>
      <c r="S15" s="2"/>
      <c r="T15" s="2">
        <f>--391.23</f>
        <v>391.23</v>
      </c>
      <c r="U15" s="2"/>
      <c r="V15" s="19"/>
      <c r="W15" s="2"/>
      <c r="X15" s="2">
        <f t="shared" si="2"/>
        <v>-292.95000000000005</v>
      </c>
      <c r="Y15" s="2"/>
      <c r="Z15" s="19">
        <f t="shared" si="3"/>
        <v>-0.74879227053140107</v>
      </c>
    </row>
    <row r="16" spans="1:26" s="24" customFormat="1" hidden="1" outlineLevel="1" x14ac:dyDescent="0.25">
      <c r="A16" s="44"/>
      <c r="B16" s="11" t="str">
        <f>CONCATENATE("          ", "4047", " - ", "TAXABLE SALES-MISC")</f>
        <v xml:space="preserve">          4047 - TAXABLE SALES-MISC</v>
      </c>
      <c r="C16" s="11"/>
      <c r="D16" s="2">
        <f>--402.65</f>
        <v>402.65</v>
      </c>
      <c r="E16" s="2"/>
      <c r="F16" s="19"/>
      <c r="G16" s="2"/>
      <c r="H16" s="2">
        <f>--532.34</f>
        <v>532.34</v>
      </c>
      <c r="I16" s="2"/>
      <c r="J16" s="19"/>
      <c r="K16" s="2"/>
      <c r="L16" s="2">
        <f t="shared" si="0"/>
        <v>-129.69000000000005</v>
      </c>
      <c r="M16" s="2"/>
      <c r="N16" s="19">
        <f t="shared" si="1"/>
        <v>-0.24362249690047721</v>
      </c>
      <c r="O16" s="11"/>
      <c r="P16" s="2">
        <f>--1374</f>
        <v>1374</v>
      </c>
      <c r="Q16" s="2"/>
      <c r="R16" s="19"/>
      <c r="S16" s="2"/>
      <c r="T16" s="2">
        <f>--1181.85</f>
        <v>1181.8499999999999</v>
      </c>
      <c r="U16" s="2"/>
      <c r="V16" s="19"/>
      <c r="W16" s="2"/>
      <c r="X16" s="2">
        <f t="shared" si="2"/>
        <v>192.15000000000009</v>
      </c>
      <c r="Y16" s="2"/>
      <c r="Z16" s="19">
        <f t="shared" si="3"/>
        <v>0.16258408427465423</v>
      </c>
    </row>
    <row r="17" spans="1:26" s="24" customFormat="1" hidden="1" outlineLevel="1" x14ac:dyDescent="0.25">
      <c r="A17" s="44"/>
      <c r="B17" s="11" t="str">
        <f>CONCATENATE("          ", "4141", " - ", "NON-TAXABLE SALES-LOGO GIFTS")</f>
        <v xml:space="preserve">          4141 - NON-TAXABLE SALES-LOGO GIFTS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--152.75</f>
        <v>152.75</v>
      </c>
      <c r="Q17" s="2"/>
      <c r="R17" s="19"/>
      <c r="S17" s="2"/>
      <c r="T17" s="2">
        <f>--1187.45</f>
        <v>1187.45</v>
      </c>
      <c r="U17" s="2"/>
      <c r="V17" s="19"/>
      <c r="W17" s="2"/>
      <c r="X17" s="2">
        <f t="shared" si="2"/>
        <v>-1034.7</v>
      </c>
      <c r="Y17" s="2"/>
      <c r="Z17" s="19">
        <f t="shared" si="3"/>
        <v>-0.87136300475809503</v>
      </c>
    </row>
    <row r="18" spans="1:26" s="24" customFormat="1" hidden="1" outlineLevel="1" x14ac:dyDescent="0.25">
      <c r="A18" s="44"/>
      <c r="B18" s="11" t="str">
        <f>CONCATENATE("          ", "4142", " - ", "NON-TAXABLE SALES-EVERYDAY GIF")</f>
        <v xml:space="preserve">          4142 - NON-TAXABLE SALES-EVERYDAY GIF</v>
      </c>
      <c r="C18" s="11"/>
      <c r="D18" s="2">
        <f>--2246.8</f>
        <v>2246.8000000000002</v>
      </c>
      <c r="E18" s="2"/>
      <c r="F18" s="19"/>
      <c r="G18" s="2"/>
      <c r="H18" s="2">
        <f>--2244.99</f>
        <v>2244.9899999999998</v>
      </c>
      <c r="I18" s="2"/>
      <c r="J18" s="19"/>
      <c r="K18" s="2"/>
      <c r="L18" s="2">
        <f t="shared" si="0"/>
        <v>1.8100000000004002</v>
      </c>
      <c r="M18" s="2"/>
      <c r="N18" s="19">
        <f t="shared" si="1"/>
        <v>8.062396714463763E-4</v>
      </c>
      <c r="O18" s="11"/>
      <c r="P18" s="2">
        <f>--4348.3</f>
        <v>4348.3</v>
      </c>
      <c r="Q18" s="2"/>
      <c r="R18" s="19"/>
      <c r="S18" s="2"/>
      <c r="T18" s="2">
        <f>--4550.49</f>
        <v>4550.49</v>
      </c>
      <c r="U18" s="2"/>
      <c r="V18" s="19"/>
      <c r="W18" s="2"/>
      <c r="X18" s="2">
        <f t="shared" si="2"/>
        <v>-202.1899999999996</v>
      </c>
      <c r="Y18" s="2"/>
      <c r="Z18" s="19">
        <f t="shared" si="3"/>
        <v>-4.4432577590545107E-2</v>
      </c>
    </row>
    <row r="19" spans="1:26" s="24" customFormat="1" hidden="1" outlineLevel="1" x14ac:dyDescent="0.25">
      <c r="A19" s="44"/>
      <c r="B19" s="11" t="str">
        <f>CONCATENATE("          ", "4146", " - ", "NON-TAXABLE SALES-COIN OP MACH")</f>
        <v xml:space="preserve">          4146 - NON-TAXABLE SALES-COIN OP MACH</v>
      </c>
      <c r="C19" s="11"/>
      <c r="D19" s="2">
        <f>--40316.8</f>
        <v>40316.800000000003</v>
      </c>
      <c r="E19" s="2"/>
      <c r="F19" s="19"/>
      <c r="G19" s="2"/>
      <c r="H19" s="2">
        <f>--41126.65</f>
        <v>41126.65</v>
      </c>
      <c r="I19" s="2"/>
      <c r="J19" s="19"/>
      <c r="K19" s="2"/>
      <c r="L19" s="2">
        <f t="shared" si="0"/>
        <v>-809.84999999999854</v>
      </c>
      <c r="M19" s="2"/>
      <c r="N19" s="19">
        <f t="shared" si="1"/>
        <v>-1.9691611157242286E-2</v>
      </c>
      <c r="O19" s="11"/>
      <c r="P19" s="2">
        <f>--90410.3</f>
        <v>90410.3</v>
      </c>
      <c r="Q19" s="2"/>
      <c r="R19" s="19"/>
      <c r="S19" s="2"/>
      <c r="T19" s="2">
        <f>--90241.1</f>
        <v>90241.1</v>
      </c>
      <c r="U19" s="2"/>
      <c r="V19" s="19"/>
      <c r="W19" s="2"/>
      <c r="X19" s="2">
        <f t="shared" si="2"/>
        <v>169.19999999999709</v>
      </c>
      <c r="Y19" s="2"/>
      <c r="Z19" s="19">
        <f t="shared" si="3"/>
        <v>1.8749771445604839E-3</v>
      </c>
    </row>
    <row r="20" spans="1:26" s="24" customFormat="1" hidden="1" outlineLevel="1" x14ac:dyDescent="0.25">
      <c r="A20" s="44"/>
      <c r="B20" s="11" t="str">
        <f>CONCATENATE("          ", "4147", " - ", "NON-TAXABLE SALES-MISC")</f>
        <v xml:space="preserve">          4147 - NON-TAXABLE SALES-MISC</v>
      </c>
      <c r="C20" s="11"/>
      <c r="D20" s="2">
        <f>-240</f>
        <v>-240</v>
      </c>
      <c r="E20" s="2"/>
      <c r="F20" s="19"/>
      <c r="G20" s="2"/>
      <c r="H20" s="2">
        <f>--96</f>
        <v>96</v>
      </c>
      <c r="I20" s="2"/>
      <c r="J20" s="19"/>
      <c r="K20" s="2"/>
      <c r="L20" s="2">
        <f t="shared" si="0"/>
        <v>-336</v>
      </c>
      <c r="M20" s="2"/>
      <c r="N20" s="19">
        <f t="shared" si="1"/>
        <v>-3.5</v>
      </c>
      <c r="O20" s="11"/>
      <c r="P20" s="2">
        <f>--174.9</f>
        <v>174.9</v>
      </c>
      <c r="Q20" s="2"/>
      <c r="R20" s="19"/>
      <c r="S20" s="2"/>
      <c r="T20" s="2">
        <f>--286</f>
        <v>286</v>
      </c>
      <c r="U20" s="2"/>
      <c r="V20" s="19"/>
      <c r="W20" s="2"/>
      <c r="X20" s="2">
        <f t="shared" si="2"/>
        <v>-111.1</v>
      </c>
      <c r="Y20" s="2"/>
      <c r="Z20" s="19">
        <f t="shared" si="3"/>
        <v>-0.38846153846153847</v>
      </c>
    </row>
    <row r="21" spans="1:26" s="24" customFormat="1" hidden="1" outlineLevel="1" x14ac:dyDescent="0.25">
      <c r="A21" s="44"/>
      <c r="B21" s="11" t="str">
        <f>CONCATENATE("          ", "4241", " - ", "SALES RETURN TAXABLE-LOGO GIFT")</f>
        <v xml:space="preserve">          4241 - SALES RETURN TAXABLE-LOGO GIFT</v>
      </c>
      <c r="C21" s="11"/>
      <c r="D21" s="2">
        <f>-21</f>
        <v>-21</v>
      </c>
      <c r="E21" s="2"/>
      <c r="F21" s="19"/>
      <c r="G21" s="2"/>
      <c r="H21" s="2">
        <f>-48.85</f>
        <v>-48.85</v>
      </c>
      <c r="I21" s="2"/>
      <c r="J21" s="19"/>
      <c r="K21" s="2"/>
      <c r="L21" s="2">
        <f t="shared" si="0"/>
        <v>27.85</v>
      </c>
      <c r="M21" s="2"/>
      <c r="N21" s="19">
        <f t="shared" si="1"/>
        <v>-0.5701125895598772</v>
      </c>
      <c r="O21" s="11"/>
      <c r="P21" s="2">
        <f>-634.75</f>
        <v>-634.75</v>
      </c>
      <c r="Q21" s="2"/>
      <c r="R21" s="19"/>
      <c r="S21" s="2"/>
      <c r="T21" s="2">
        <f>-774.95</f>
        <v>-774.95</v>
      </c>
      <c r="U21" s="2"/>
      <c r="V21" s="19"/>
      <c r="W21" s="2"/>
      <c r="X21" s="2">
        <f t="shared" si="2"/>
        <v>140.20000000000005</v>
      </c>
      <c r="Y21" s="2"/>
      <c r="Z21" s="19">
        <f t="shared" si="3"/>
        <v>-0.18091489773533781</v>
      </c>
    </row>
    <row r="22" spans="1:26" s="24" customFormat="1" hidden="1" outlineLevel="1" x14ac:dyDescent="0.25">
      <c r="A22" s="44"/>
      <c r="B22" s="11" t="str">
        <f>CONCATENATE("          ", "4242", " - ", "SALES RETURN TAXABLE-EVERYDAY")</f>
        <v xml:space="preserve">          4242 - SALES RETURN TAXABLE-EVERYDAY</v>
      </c>
      <c r="C22" s="11"/>
      <c r="D22" s="2">
        <f t="shared" ref="D22:D24" si="4">0</f>
        <v>0</v>
      </c>
      <c r="E22" s="2"/>
      <c r="F22" s="19"/>
      <c r="G22" s="2"/>
      <c r="H22" s="2">
        <f t="shared" ref="H22:H24" si="5"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-16.2</f>
        <v>-16.2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-16.2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"4341", " - ", "SALES RETURN NON TAXABLE-LOGO")</f>
        <v xml:space="preserve">          4341 - SALES RETURN NON TAXABLE-LOGO</v>
      </c>
      <c r="C23" s="11"/>
      <c r="D23" s="2">
        <f t="shared" si="4"/>
        <v>0</v>
      </c>
      <c r="E23" s="2"/>
      <c r="F23" s="19"/>
      <c r="G23" s="2"/>
      <c r="H23" s="2">
        <f t="shared" si="5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-8.15</f>
        <v>-8.15</v>
      </c>
      <c r="U23" s="2"/>
      <c r="V23" s="19"/>
      <c r="W23" s="2"/>
      <c r="X23" s="2">
        <f t="shared" si="2"/>
        <v>8.15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"4346", " - ", "SALES RETURN NON TAXABLE-COIN-")</f>
        <v xml:space="preserve">          4346 - SALES RETURN NON TAXABLE-COIN-</v>
      </c>
      <c r="C24" s="11"/>
      <c r="D24" s="2">
        <f t="shared" si="4"/>
        <v>0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-8.15</f>
        <v>-8.15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-8.15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9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6</v>
      </c>
      <c r="C28" s="28"/>
      <c r="D28" s="21">
        <f>D12-D26</f>
        <v>56348.18</v>
      </c>
      <c r="E28" s="14"/>
      <c r="F28" s="22">
        <f>IF(D$12=0,0,D28/D$12)</f>
        <v>1</v>
      </c>
      <c r="G28" s="14"/>
      <c r="H28" s="21">
        <f>H12-H26</f>
        <v>55676.530000000006</v>
      </c>
      <c r="I28" s="14"/>
      <c r="J28" s="22">
        <f>IF(H$12=0,0,H28/H$12)</f>
        <v>1</v>
      </c>
      <c r="K28" s="16"/>
      <c r="L28" s="21">
        <f>+D28-H28</f>
        <v>671.64999999999418</v>
      </c>
      <c r="M28" s="16"/>
      <c r="N28" s="22">
        <f>IF(H28=0,0,L28/H28)</f>
        <v>1.2063431395598722E-2</v>
      </c>
      <c r="O28" s="29"/>
      <c r="P28" s="21">
        <f>P12-P26</f>
        <v>224591.89999999997</v>
      </c>
      <c r="Q28" s="14"/>
      <c r="R28" s="22">
        <f>IF(P$12=0,0,P28/P$12)</f>
        <v>1</v>
      </c>
      <c r="S28" s="14"/>
      <c r="T28" s="21">
        <f>T12-T26</f>
        <v>233174.87000000002</v>
      </c>
      <c r="U28" s="14"/>
      <c r="V28" s="22">
        <f>IF(T$12=0,0,T28/T$12)</f>
        <v>1</v>
      </c>
      <c r="W28" s="16"/>
      <c r="X28" s="21">
        <f>+P28-T28</f>
        <v>-8582.9700000000594</v>
      </c>
      <c r="Y28" s="16"/>
      <c r="Z28" s="22">
        <f>IF(T28=0,0,X28/T28)</f>
        <v>-3.680915529190628E-2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9</v>
      </c>
      <c r="C30" s="10"/>
      <c r="D30" s="20">
        <f>SUM(OSRRefD22x_0)</f>
        <v>55355.859999999993</v>
      </c>
      <c r="E30" s="20"/>
      <c r="F30" s="35">
        <f t="shared" ref="F30:F39" si="6">IF(D$12=0,0,D30/D$12)</f>
        <v>0.98238949332525016</v>
      </c>
      <c r="G30" s="20"/>
      <c r="H30" s="20">
        <f>SUM(OSRRefH22x_0)</f>
        <v>57103.51</v>
      </c>
      <c r="I30" s="20"/>
      <c r="J30" s="35">
        <f t="shared" ref="J30:J39" si="7">IF(H$12=0,0,H30/H$12)</f>
        <v>1.0256298300199382</v>
      </c>
      <c r="K30" s="4"/>
      <c r="L30" s="20">
        <f t="shared" ref="L30:L39" si="8">+D30-H30</f>
        <v>-1747.6500000000087</v>
      </c>
      <c r="M30" s="4"/>
      <c r="N30" s="35">
        <f t="shared" ref="N30:N39" si="9">IF(H30=0,0,L30/H30)</f>
        <v>-3.0604948802621917E-2</v>
      </c>
      <c r="O30" s="10"/>
      <c r="P30" s="20">
        <f>SUM(OSRRefP22x_0)</f>
        <v>177013.58999999997</v>
      </c>
      <c r="Q30" s="20"/>
      <c r="R30" s="35">
        <f t="shared" ref="R30:R39" si="10">IF(P$12=0,0,P30/P$12)</f>
        <v>0.78815660760695283</v>
      </c>
      <c r="S30" s="20"/>
      <c r="T30" s="20">
        <f>SUM(OSRRefT22x_0)</f>
        <v>183884.38</v>
      </c>
      <c r="U30" s="20"/>
      <c r="V30" s="35">
        <f t="shared" ref="V30:V39" si="11">IF(T$12=0,0,T30/T$12)</f>
        <v>0.78861148287549165</v>
      </c>
      <c r="W30" s="4"/>
      <c r="X30" s="20">
        <f t="shared" ref="X30:X39" si="12">+P30-T30</f>
        <v>-6870.7900000000373</v>
      </c>
      <c r="Y30" s="4"/>
      <c r="Z30" s="35">
        <f t="shared" ref="Z30:Z39" si="13">IF(T30=0,0,X30/T30)</f>
        <v>-3.736472885842744E-2</v>
      </c>
    </row>
    <row r="31" spans="1:26" s="27" customFormat="1" outlineLevel="1" collapsed="1" x14ac:dyDescent="0.25">
      <c r="A31" s="25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10020.68</v>
      </c>
      <c r="E31" s="1"/>
      <c r="F31" s="5">
        <f t="shared" si="6"/>
        <v>0.17783502501766696</v>
      </c>
      <c r="G31" s="1"/>
      <c r="H31" s="1">
        <f>SUM(OSRRefH22_0x_0)</f>
        <v>10238.509999999998</v>
      </c>
      <c r="I31" s="1"/>
      <c r="J31" s="5">
        <f t="shared" si="7"/>
        <v>0.18389274618946255</v>
      </c>
      <c r="K31" s="1"/>
      <c r="L31" s="1">
        <f t="shared" si="8"/>
        <v>-217.82999999999811</v>
      </c>
      <c r="M31" s="1"/>
      <c r="N31" s="5">
        <f t="shared" si="9"/>
        <v>-2.1275556697214551E-2</v>
      </c>
      <c r="O31" s="13"/>
      <c r="P31" s="1">
        <f>SUM(OSRRefP22_0x_0)</f>
        <v>32301.06</v>
      </c>
      <c r="Q31" s="1"/>
      <c r="R31" s="5">
        <f t="shared" si="10"/>
        <v>0.14382112622939655</v>
      </c>
      <c r="S31" s="1"/>
      <c r="T31" s="1">
        <f>SUM(OSRRefT22_0x_0)</f>
        <v>30155.19</v>
      </c>
      <c r="U31" s="1"/>
      <c r="V31" s="5">
        <f t="shared" si="11"/>
        <v>0.12932435643686643</v>
      </c>
      <c r="W31" s="1"/>
      <c r="X31" s="1">
        <f t="shared" si="12"/>
        <v>2145.8700000000026</v>
      </c>
      <c r="Y31" s="1"/>
      <c r="Z31" s="5">
        <f t="shared" si="13"/>
        <v>7.1160884743223393E-2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6">
        <v>2360.46</v>
      </c>
      <c r="E32" s="2"/>
      <c r="F32" s="7">
        <f t="shared" si="6"/>
        <v>4.1890616520356118E-2</v>
      </c>
      <c r="G32" s="2"/>
      <c r="H32" s="6">
        <v>2355.88</v>
      </c>
      <c r="I32" s="2"/>
      <c r="J32" s="7">
        <f t="shared" si="7"/>
        <v>4.2313700225211588E-2</v>
      </c>
      <c r="K32" s="2"/>
      <c r="L32" s="6">
        <f t="shared" si="8"/>
        <v>4.5799999999999272</v>
      </c>
      <c r="M32" s="2"/>
      <c r="N32" s="7">
        <f t="shared" si="9"/>
        <v>1.9440718542540058E-3</v>
      </c>
      <c r="O32" s="11"/>
      <c r="P32" s="6">
        <v>5747.37</v>
      </c>
      <c r="Q32" s="2"/>
      <c r="R32" s="7">
        <f t="shared" si="10"/>
        <v>2.5590281751033766E-2</v>
      </c>
      <c r="S32" s="2"/>
      <c r="T32" s="6">
        <v>5567.19</v>
      </c>
      <c r="U32" s="2"/>
      <c r="V32" s="7">
        <f t="shared" si="11"/>
        <v>2.3875600316620737E-2</v>
      </c>
      <c r="W32" s="2"/>
      <c r="X32" s="6">
        <f t="shared" si="12"/>
        <v>180.18000000000029</v>
      </c>
      <c r="Y32" s="2"/>
      <c r="Z32" s="7">
        <f t="shared" si="13"/>
        <v>3.2364622008589666E-2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6">
        <v>51.4</v>
      </c>
      <c r="E33" s="2"/>
      <c r="F33" s="7">
        <f t="shared" si="6"/>
        <v>9.1218562871063448E-4</v>
      </c>
      <c r="G33" s="2"/>
      <c r="H33" s="6">
        <v>517.23</v>
      </c>
      <c r="I33" s="2"/>
      <c r="J33" s="7">
        <f t="shared" si="7"/>
        <v>9.289910847533063E-3</v>
      </c>
      <c r="K33" s="2"/>
      <c r="L33" s="6">
        <f t="shared" si="8"/>
        <v>-465.83000000000004</v>
      </c>
      <c r="M33" s="2"/>
      <c r="N33" s="7">
        <f t="shared" si="9"/>
        <v>-0.90062448040523568</v>
      </c>
      <c r="O33" s="11"/>
      <c r="P33" s="6">
        <v>656.15</v>
      </c>
      <c r="Q33" s="2"/>
      <c r="R33" s="7">
        <f t="shared" si="10"/>
        <v>2.9215212124747156E-3</v>
      </c>
      <c r="S33" s="2"/>
      <c r="T33" s="6">
        <v>930.93</v>
      </c>
      <c r="U33" s="2"/>
      <c r="V33" s="7">
        <f t="shared" si="11"/>
        <v>3.9924113606238949E-3</v>
      </c>
      <c r="W33" s="2"/>
      <c r="X33" s="6">
        <f t="shared" si="12"/>
        <v>-274.77999999999997</v>
      </c>
      <c r="Y33" s="2"/>
      <c r="Z33" s="7">
        <f t="shared" si="13"/>
        <v>-0.29516719839300481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6">
        <v>3051.28</v>
      </c>
      <c r="E34" s="2"/>
      <c r="F34" s="7">
        <f t="shared" si="6"/>
        <v>5.4150462357435508E-2</v>
      </c>
      <c r="G34" s="2"/>
      <c r="H34" s="6">
        <v>2722.97</v>
      </c>
      <c r="I34" s="2"/>
      <c r="J34" s="7">
        <f t="shared" si="7"/>
        <v>4.8906963131502619E-2</v>
      </c>
      <c r="K34" s="2"/>
      <c r="L34" s="6">
        <f t="shared" si="8"/>
        <v>328.3100000000004</v>
      </c>
      <c r="M34" s="2"/>
      <c r="N34" s="7">
        <f t="shared" si="9"/>
        <v>0.12057055347653498</v>
      </c>
      <c r="O34" s="11"/>
      <c r="P34" s="6">
        <v>11280.88</v>
      </c>
      <c r="Q34" s="2"/>
      <c r="R34" s="7">
        <f t="shared" si="10"/>
        <v>5.0228347504963453E-2</v>
      </c>
      <c r="S34" s="2"/>
      <c r="T34" s="6">
        <v>9194.74</v>
      </c>
      <c r="U34" s="2"/>
      <c r="V34" s="7">
        <f t="shared" si="11"/>
        <v>3.9432808518345047E-2</v>
      </c>
      <c r="W34" s="2"/>
      <c r="X34" s="6">
        <f t="shared" si="12"/>
        <v>2086.1399999999994</v>
      </c>
      <c r="Y34" s="2"/>
      <c r="Z34" s="7">
        <f t="shared" si="13"/>
        <v>0.22688406632487698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6">
        <v>76.510000000000005</v>
      </c>
      <c r="E35" s="2"/>
      <c r="F35" s="7">
        <f t="shared" si="6"/>
        <v>1.3578078298181061E-3</v>
      </c>
      <c r="G35" s="2"/>
      <c r="H35" s="6">
        <v>71.62</v>
      </c>
      <c r="I35" s="2"/>
      <c r="J35" s="7">
        <f t="shared" si="7"/>
        <v>1.2863589020364594E-3</v>
      </c>
      <c r="K35" s="2"/>
      <c r="L35" s="6">
        <f t="shared" si="8"/>
        <v>4.8900000000000006</v>
      </c>
      <c r="M35" s="2"/>
      <c r="N35" s="7">
        <f t="shared" si="9"/>
        <v>6.8277017592851166E-2</v>
      </c>
      <c r="O35" s="11"/>
      <c r="P35" s="6">
        <v>202.33</v>
      </c>
      <c r="Q35" s="2"/>
      <c r="R35" s="7">
        <f t="shared" si="10"/>
        <v>9.0087843773528804E-4</v>
      </c>
      <c r="S35" s="2"/>
      <c r="T35" s="6">
        <v>203.4</v>
      </c>
      <c r="U35" s="2"/>
      <c r="V35" s="7">
        <f t="shared" si="11"/>
        <v>8.7230669411330643E-4</v>
      </c>
      <c r="W35" s="2"/>
      <c r="X35" s="6">
        <f t="shared" si="12"/>
        <v>-1.0699999999999932</v>
      </c>
      <c r="Y35" s="2"/>
      <c r="Z35" s="7">
        <f t="shared" si="13"/>
        <v>-5.2605703048180588E-3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6">
        <v>2078.9</v>
      </c>
      <c r="E36" s="2"/>
      <c r="F36" s="7">
        <f t="shared" si="6"/>
        <v>3.6893826916858719E-2</v>
      </c>
      <c r="G36" s="2"/>
      <c r="H36" s="6">
        <v>2119.6799999999998</v>
      </c>
      <c r="I36" s="2"/>
      <c r="J36" s="7">
        <f t="shared" si="7"/>
        <v>3.8071338138350209E-2</v>
      </c>
      <c r="K36" s="2"/>
      <c r="L36" s="6">
        <f t="shared" si="8"/>
        <v>-40.779999999999745</v>
      </c>
      <c r="M36" s="2"/>
      <c r="N36" s="7">
        <f t="shared" si="9"/>
        <v>-1.9238753019323554E-2</v>
      </c>
      <c r="O36" s="11"/>
      <c r="P36" s="6">
        <v>5445.91</v>
      </c>
      <c r="Q36" s="2"/>
      <c r="R36" s="7">
        <f t="shared" si="10"/>
        <v>2.4248024973296013E-2</v>
      </c>
      <c r="S36" s="2"/>
      <c r="T36" s="6">
        <v>5551.73</v>
      </c>
      <c r="U36" s="2"/>
      <c r="V36" s="7">
        <f t="shared" si="11"/>
        <v>2.3809298146065222E-2</v>
      </c>
      <c r="W36" s="2"/>
      <c r="X36" s="6">
        <f t="shared" si="12"/>
        <v>-105.81999999999971</v>
      </c>
      <c r="Y36" s="2"/>
      <c r="Z36" s="7">
        <f t="shared" si="13"/>
        <v>-1.906072521538326E-2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6">
        <v>1263.1600000000001</v>
      </c>
      <c r="E37" s="2"/>
      <c r="F37" s="7">
        <f t="shared" si="6"/>
        <v>2.2417050559574419E-2</v>
      </c>
      <c r="G37" s="2"/>
      <c r="H37" s="6">
        <v>1427.13</v>
      </c>
      <c r="I37" s="2"/>
      <c r="J37" s="7">
        <f t="shared" si="7"/>
        <v>2.5632524153355103E-2</v>
      </c>
      <c r="K37" s="2"/>
      <c r="L37" s="6">
        <f t="shared" si="8"/>
        <v>-163.97000000000003</v>
      </c>
      <c r="M37" s="2"/>
      <c r="N37" s="7">
        <f t="shared" si="9"/>
        <v>-0.11489492898334421</v>
      </c>
      <c r="O37" s="11"/>
      <c r="P37" s="6">
        <v>4945.59</v>
      </c>
      <c r="Q37" s="2"/>
      <c r="R37" s="7">
        <f t="shared" si="10"/>
        <v>2.2020340003357203E-2</v>
      </c>
      <c r="S37" s="2"/>
      <c r="T37" s="6">
        <v>4281.3900000000003</v>
      </c>
      <c r="U37" s="2"/>
      <c r="V37" s="7">
        <f t="shared" si="11"/>
        <v>1.8361283958258451E-2</v>
      </c>
      <c r="W37" s="2"/>
      <c r="X37" s="6">
        <f t="shared" si="12"/>
        <v>664.19999999999982</v>
      </c>
      <c r="Y37" s="2"/>
      <c r="Z37" s="7">
        <f t="shared" si="13"/>
        <v>0.15513653276155637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6">
        <v>834.81</v>
      </c>
      <c r="E38" s="2"/>
      <c r="F38" s="7">
        <f t="shared" si="6"/>
        <v>1.4815207873617212E-2</v>
      </c>
      <c r="G38" s="2"/>
      <c r="H38" s="6">
        <v>724.08</v>
      </c>
      <c r="I38" s="2"/>
      <c r="J38" s="7">
        <f t="shared" si="7"/>
        <v>1.3005120829189606E-2</v>
      </c>
      <c r="K38" s="2"/>
      <c r="L38" s="6">
        <f t="shared" si="8"/>
        <v>110.7299999999999</v>
      </c>
      <c r="M38" s="2"/>
      <c r="N38" s="7">
        <f t="shared" si="9"/>
        <v>0.15292509115014902</v>
      </c>
      <c r="O38" s="11"/>
      <c r="P38" s="6">
        <v>2983.22</v>
      </c>
      <c r="Q38" s="2"/>
      <c r="R38" s="7">
        <f t="shared" si="10"/>
        <v>1.3282847689520415E-2</v>
      </c>
      <c r="S38" s="2"/>
      <c r="T38" s="6">
        <v>3276.27</v>
      </c>
      <c r="U38" s="2"/>
      <c r="V38" s="7">
        <f t="shared" si="11"/>
        <v>1.4050699374250748E-2</v>
      </c>
      <c r="W38" s="2"/>
      <c r="X38" s="6">
        <f t="shared" si="12"/>
        <v>-293.05000000000018</v>
      </c>
      <c r="Y38" s="2"/>
      <c r="Z38" s="7">
        <f t="shared" si="13"/>
        <v>-8.9446230011568095E-2</v>
      </c>
    </row>
    <row r="39" spans="1:26" s="24" customFormat="1" hidden="1" outlineLevel="2" x14ac:dyDescent="0.25">
      <c r="A39" s="26"/>
      <c r="B39" s="11" t="str">
        <f>CONCATENATE("          ", "6156", " - ", "EMPLOYEE MEALS")</f>
        <v xml:space="preserve">          6156 - EMPLOYEE MEALS</v>
      </c>
      <c r="C39" s="11"/>
      <c r="D39" s="6">
        <v>304.16000000000003</v>
      </c>
      <c r="E39" s="2"/>
      <c r="F39" s="7">
        <f t="shared" si="6"/>
        <v>5.3978673312962376E-3</v>
      </c>
      <c r="G39" s="2"/>
      <c r="H39" s="6">
        <v>299.92</v>
      </c>
      <c r="I39" s="2"/>
      <c r="J39" s="7">
        <f t="shared" si="7"/>
        <v>5.386829962283928E-3</v>
      </c>
      <c r="K39" s="2"/>
      <c r="L39" s="6">
        <f t="shared" si="8"/>
        <v>4.2400000000000091</v>
      </c>
      <c r="M39" s="2"/>
      <c r="N39" s="7">
        <f t="shared" si="9"/>
        <v>1.413710322752737E-2</v>
      </c>
      <c r="O39" s="11"/>
      <c r="P39" s="6">
        <v>1039.6099999999999</v>
      </c>
      <c r="Q39" s="2"/>
      <c r="R39" s="7">
        <f t="shared" si="10"/>
        <v>4.6288846570156804E-3</v>
      </c>
      <c r="S39" s="2"/>
      <c r="T39" s="6">
        <v>1149.54</v>
      </c>
      <c r="U39" s="2"/>
      <c r="V39" s="7">
        <f t="shared" si="11"/>
        <v>4.9299480685890372E-3</v>
      </c>
      <c r="W39" s="2"/>
      <c r="X39" s="6">
        <f t="shared" si="12"/>
        <v>-109.93000000000006</v>
      </c>
      <c r="Y39" s="2"/>
      <c r="Z39" s="7">
        <f t="shared" si="13"/>
        <v>-9.5629556170294269E-2</v>
      </c>
    </row>
    <row r="40" spans="1:26" s="27" customFormat="1" outlineLevel="1" collapsed="1" x14ac:dyDescent="0.25">
      <c r="A40" s="25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18919.54</v>
      </c>
      <c r="E40" s="1"/>
      <c r="F40" s="5">
        <f t="shared" ref="F40:F44" si="14">IF(D$12=0,0,D40/D$12)</f>
        <v>0.3357613324866926</v>
      </c>
      <c r="G40" s="1"/>
      <c r="H40" s="1">
        <f>SUM(OSRRefH22_1x_0)</f>
        <v>15945.15</v>
      </c>
      <c r="I40" s="1"/>
      <c r="J40" s="5">
        <f t="shared" ref="J40:J44" si="15">IF(H$12=0,0,H40/H$12)</f>
        <v>0.28638907633072674</v>
      </c>
      <c r="K40" s="1"/>
      <c r="L40" s="1">
        <f t="shared" ref="L40:L44" si="16">+D40-H40</f>
        <v>2974.3900000000012</v>
      </c>
      <c r="M40" s="1"/>
      <c r="N40" s="5">
        <f t="shared" ref="N40:N44" si="17">IF(H40=0,0,L40/H40)</f>
        <v>0.18653885350717939</v>
      </c>
      <c r="O40" s="13"/>
      <c r="P40" s="1">
        <f>SUM(OSRRefP22_1x_0)</f>
        <v>71180.899999999994</v>
      </c>
      <c r="Q40" s="1"/>
      <c r="R40" s="5">
        <f t="shared" ref="R40:R44" si="18">IF(P$12=0,0,P40/P$12)</f>
        <v>0.31693440413478852</v>
      </c>
      <c r="S40" s="1"/>
      <c r="T40" s="1">
        <f>SUM(OSRRefT22_1x_0)</f>
        <v>63084.020000000004</v>
      </c>
      <c r="U40" s="1"/>
      <c r="V40" s="5">
        <f t="shared" ref="V40:V44" si="19">IF(T$12=0,0,T40/T$12)</f>
        <v>0.27054381975210279</v>
      </c>
      <c r="W40" s="1"/>
      <c r="X40" s="1">
        <f t="shared" ref="X40:X44" si="20">+P40-T40</f>
        <v>8096.8799999999901</v>
      </c>
      <c r="Y40" s="1"/>
      <c r="Z40" s="5">
        <f t="shared" ref="Z40:Z44" si="21">IF(T40=0,0,X40/T40)</f>
        <v>0.12835072970936204</v>
      </c>
    </row>
    <row r="41" spans="1:26" s="24" customFormat="1" hidden="1" outlineLevel="2" x14ac:dyDescent="0.25">
      <c r="A41" s="26"/>
      <c r="B41" s="11" t="str">
        <f>CONCATENATE("          ", "6002", " - ", "STAFF SALARIES")</f>
        <v xml:space="preserve">          6002 - STAFF SALARIES</v>
      </c>
      <c r="C41" s="11"/>
      <c r="D41" s="6">
        <v>11058.78</v>
      </c>
      <c r="E41" s="2"/>
      <c r="F41" s="7">
        <f t="shared" si="14"/>
        <v>0.19625798029324107</v>
      </c>
      <c r="G41" s="2"/>
      <c r="H41" s="6">
        <v>8979.5300000000007</v>
      </c>
      <c r="I41" s="2"/>
      <c r="J41" s="7">
        <f t="shared" si="15"/>
        <v>0.16128034559625035</v>
      </c>
      <c r="K41" s="2"/>
      <c r="L41" s="6">
        <f t="shared" si="16"/>
        <v>2079.25</v>
      </c>
      <c r="M41" s="2"/>
      <c r="N41" s="7">
        <f t="shared" si="17"/>
        <v>0.2315544354771352</v>
      </c>
      <c r="O41" s="11"/>
      <c r="P41" s="6">
        <v>45973.75</v>
      </c>
      <c r="Q41" s="2"/>
      <c r="R41" s="7">
        <f t="shared" si="18"/>
        <v>0.20469905637736716</v>
      </c>
      <c r="S41" s="2"/>
      <c r="T41" s="6">
        <v>41670.630000000005</v>
      </c>
      <c r="U41" s="2"/>
      <c r="V41" s="7">
        <f t="shared" si="19"/>
        <v>0.17870978120412376</v>
      </c>
      <c r="W41" s="2"/>
      <c r="X41" s="6">
        <f t="shared" si="20"/>
        <v>4303.1199999999953</v>
      </c>
      <c r="Y41" s="2"/>
      <c r="Z41" s="7">
        <f t="shared" si="21"/>
        <v>0.10326505742773735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>
        <v>4012.75</v>
      </c>
      <c r="E42" s="2"/>
      <c r="F42" s="7">
        <f t="shared" si="14"/>
        <v>7.1213480186937711E-2</v>
      </c>
      <c r="G42" s="2"/>
      <c r="H42" s="6">
        <v>1881.05</v>
      </c>
      <c r="I42" s="2"/>
      <c r="J42" s="7">
        <f t="shared" si="15"/>
        <v>3.3785331090137975E-2</v>
      </c>
      <c r="K42" s="2"/>
      <c r="L42" s="6">
        <f t="shared" si="16"/>
        <v>2131.6999999999998</v>
      </c>
      <c r="M42" s="2"/>
      <c r="N42" s="7">
        <f t="shared" si="17"/>
        <v>1.1332500465165731</v>
      </c>
      <c r="O42" s="11"/>
      <c r="P42" s="6">
        <v>8195.25</v>
      </c>
      <c r="Q42" s="2"/>
      <c r="R42" s="7">
        <f t="shared" si="18"/>
        <v>3.6489517208768446E-2</v>
      </c>
      <c r="S42" s="2"/>
      <c r="T42" s="6">
        <v>5088.68</v>
      </c>
      <c r="U42" s="2"/>
      <c r="V42" s="7">
        <f t="shared" si="19"/>
        <v>2.1823449499510816E-2</v>
      </c>
      <c r="W42" s="2"/>
      <c r="X42" s="6">
        <f t="shared" si="20"/>
        <v>3106.5699999999997</v>
      </c>
      <c r="Y42" s="2"/>
      <c r="Z42" s="7">
        <f t="shared" si="21"/>
        <v>0.61048641297939732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14"/>
        <v>0</v>
      </c>
      <c r="G43" s="2"/>
      <c r="H43" s="6">
        <v>1128.32</v>
      </c>
      <c r="I43" s="2"/>
      <c r="J43" s="7">
        <f t="shared" si="15"/>
        <v>2.0265630778354898E-2</v>
      </c>
      <c r="K43" s="2"/>
      <c r="L43" s="6">
        <f t="shared" si="16"/>
        <v>-1128.32</v>
      </c>
      <c r="M43" s="2"/>
      <c r="N43" s="7">
        <f t="shared" si="17"/>
        <v>-1</v>
      </c>
      <c r="O43" s="11"/>
      <c r="P43" s="6"/>
      <c r="Q43" s="2"/>
      <c r="R43" s="7">
        <f t="shared" si="18"/>
        <v>0</v>
      </c>
      <c r="S43" s="2"/>
      <c r="T43" s="6">
        <v>4271.46</v>
      </c>
      <c r="U43" s="2"/>
      <c r="V43" s="7">
        <f t="shared" si="19"/>
        <v>1.8318697893988316E-2</v>
      </c>
      <c r="W43" s="2"/>
      <c r="X43" s="6">
        <f t="shared" si="20"/>
        <v>-4271.46</v>
      </c>
      <c r="Y43" s="2"/>
      <c r="Z43" s="7">
        <f t="shared" si="21"/>
        <v>-1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>
        <v>3848.01</v>
      </c>
      <c r="E44" s="2"/>
      <c r="F44" s="7">
        <f t="shared" si="14"/>
        <v>6.8289872006513791E-2</v>
      </c>
      <c r="G44" s="2"/>
      <c r="H44" s="6">
        <v>3956.25</v>
      </c>
      <c r="I44" s="2"/>
      <c r="J44" s="7">
        <f t="shared" si="15"/>
        <v>7.1057768865983556E-2</v>
      </c>
      <c r="K44" s="2"/>
      <c r="L44" s="6">
        <f t="shared" si="16"/>
        <v>-108.23999999999978</v>
      </c>
      <c r="M44" s="2"/>
      <c r="N44" s="7">
        <f t="shared" si="17"/>
        <v>-2.7359241706161084E-2</v>
      </c>
      <c r="O44" s="11"/>
      <c r="P44" s="6">
        <v>17011.900000000001</v>
      </c>
      <c r="Q44" s="2"/>
      <c r="R44" s="7">
        <f t="shared" si="18"/>
        <v>7.5745830548652929E-2</v>
      </c>
      <c r="S44" s="2"/>
      <c r="T44" s="6">
        <v>12053.25</v>
      </c>
      <c r="U44" s="2"/>
      <c r="V44" s="7">
        <f t="shared" si="19"/>
        <v>5.1691891154479891E-2</v>
      </c>
      <c r="W44" s="2"/>
      <c r="X44" s="6">
        <f t="shared" si="20"/>
        <v>4958.6500000000015</v>
      </c>
      <c r="Y44" s="2"/>
      <c r="Z44" s="7">
        <f t="shared" si="21"/>
        <v>0.41139526683674538</v>
      </c>
    </row>
    <row r="45" spans="1:26" s="27" customFormat="1" outlineLevel="1" collapsed="1" x14ac:dyDescent="0.25">
      <c r="A45" s="25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53" si="22">IF(D$12=0,0,D45/D$12)</f>
        <v>0</v>
      </c>
      <c r="G45" s="1"/>
      <c r="H45" s="1">
        <f>SUM(OSRRefH22_2x_0)</f>
        <v>0</v>
      </c>
      <c r="I45" s="1"/>
      <c r="J45" s="5">
        <f t="shared" ref="J45:J53" si="23">IF(H$12=0,0,H45/H$12)</f>
        <v>0</v>
      </c>
      <c r="K45" s="1"/>
      <c r="L45" s="1">
        <f t="shared" ref="L45:L53" si="24">+D45-H45</f>
        <v>0</v>
      </c>
      <c r="M45" s="1"/>
      <c r="N45" s="5">
        <f t="shared" ref="N45:N53" si="25">IF(H45=0,0,L45/H45)</f>
        <v>0</v>
      </c>
      <c r="O45" s="13"/>
      <c r="P45" s="1">
        <f>SUM(OSRRefP22_2x_0)</f>
        <v>0</v>
      </c>
      <c r="Q45" s="1"/>
      <c r="R45" s="5">
        <f t="shared" ref="R45:R53" si="26">IF(P$12=0,0,P45/P$12)</f>
        <v>0</v>
      </c>
      <c r="S45" s="1"/>
      <c r="T45" s="1">
        <f>SUM(OSRRefT22_2x_0)</f>
        <v>551.5</v>
      </c>
      <c r="U45" s="1"/>
      <c r="V45" s="5">
        <f t="shared" ref="V45:V53" si="27">IF(T$12=0,0,T45/T$12)</f>
        <v>2.3651776883160691E-3</v>
      </c>
      <c r="W45" s="1"/>
      <c r="X45" s="1">
        <f t="shared" ref="X45:X53" si="28">+P45-T45</f>
        <v>-551.5</v>
      </c>
      <c r="Y45" s="1"/>
      <c r="Z45" s="5">
        <f t="shared" ref="Z45:Z53" si="29">IF(T45=0,0,X45/T45)</f>
        <v>-1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2"/>
        <v>0</v>
      </c>
      <c r="G46" s="2"/>
      <c r="H46" s="6"/>
      <c r="I46" s="2"/>
      <c r="J46" s="7">
        <f t="shared" si="23"/>
        <v>0</v>
      </c>
      <c r="K46" s="2"/>
      <c r="L46" s="6">
        <f t="shared" si="24"/>
        <v>0</v>
      </c>
      <c r="M46" s="2"/>
      <c r="N46" s="7">
        <f t="shared" si="25"/>
        <v>0</v>
      </c>
      <c r="O46" s="11"/>
      <c r="P46" s="6"/>
      <c r="Q46" s="2"/>
      <c r="R46" s="7">
        <f t="shared" si="26"/>
        <v>0</v>
      </c>
      <c r="S46" s="2"/>
      <c r="T46" s="6">
        <v>551.5</v>
      </c>
      <c r="U46" s="2"/>
      <c r="V46" s="7">
        <f t="shared" si="27"/>
        <v>2.3651776883160691E-3</v>
      </c>
      <c r="W46" s="2"/>
      <c r="X46" s="6">
        <f t="shared" si="28"/>
        <v>-551.5</v>
      </c>
      <c r="Y46" s="2"/>
      <c r="Z46" s="7">
        <f t="shared" si="29"/>
        <v>-1</v>
      </c>
    </row>
    <row r="47" spans="1:26" s="27" customFormat="1" outlineLevel="1" collapsed="1" x14ac:dyDescent="0.25">
      <c r="A47" s="25"/>
      <c r="B47" s="13" t="str">
        <f>CONCATENATE("     ","Discounts and Markdowns                           ")</f>
        <v xml:space="preserve">     Discounts and Markdowns                           </v>
      </c>
      <c r="C47" s="13"/>
      <c r="D47" s="1">
        <f>SUM(OSRRefD22_3x_0)</f>
        <v>88.21</v>
      </c>
      <c r="E47" s="1"/>
      <c r="F47" s="5">
        <f t="shared" si="22"/>
        <v>1.5654454145635226E-3</v>
      </c>
      <c r="G47" s="1"/>
      <c r="H47" s="1">
        <f>SUM(OSRRefH22_3x_0)</f>
        <v>186.51</v>
      </c>
      <c r="I47" s="1"/>
      <c r="J47" s="5">
        <f t="shared" si="23"/>
        <v>3.349885490349344E-3</v>
      </c>
      <c r="K47" s="1"/>
      <c r="L47" s="1">
        <f t="shared" si="24"/>
        <v>-98.3</v>
      </c>
      <c r="M47" s="1"/>
      <c r="N47" s="5">
        <f t="shared" si="25"/>
        <v>-0.52704948796311191</v>
      </c>
      <c r="O47" s="13"/>
      <c r="P47" s="1">
        <f>SUM(OSRRefP22_3x_0)</f>
        <v>388.77</v>
      </c>
      <c r="Q47" s="1"/>
      <c r="R47" s="5">
        <f t="shared" si="26"/>
        <v>1.7310063274766367E-3</v>
      </c>
      <c r="S47" s="1"/>
      <c r="T47" s="1">
        <f>SUM(OSRRefT22_3x_0)</f>
        <v>631.6</v>
      </c>
      <c r="U47" s="1"/>
      <c r="V47" s="5">
        <f t="shared" si="27"/>
        <v>2.7086966961748491E-3</v>
      </c>
      <c r="W47" s="1"/>
      <c r="X47" s="1">
        <f t="shared" si="28"/>
        <v>-242.83000000000004</v>
      </c>
      <c r="Y47" s="1"/>
      <c r="Z47" s="5">
        <f t="shared" si="29"/>
        <v>-0.38446801773274231</v>
      </c>
    </row>
    <row r="48" spans="1:26" s="24" customFormat="1" hidden="1" outlineLevel="2" x14ac:dyDescent="0.25">
      <c r="A48" s="26"/>
      <c r="B48" s="11" t="str">
        <f>CONCATENATE("          ", "6382", " - ", "DISCOUNTS/MARK DOWNS")</f>
        <v xml:space="preserve">          6382 - DISCOUNTS/MARK DOWNS</v>
      </c>
      <c r="C48" s="11"/>
      <c r="D48" s="6">
        <v>88.21</v>
      </c>
      <c r="E48" s="2"/>
      <c r="F48" s="7">
        <f t="shared" si="22"/>
        <v>1.5654454145635226E-3</v>
      </c>
      <c r="G48" s="2"/>
      <c r="H48" s="6">
        <v>186.51</v>
      </c>
      <c r="I48" s="2"/>
      <c r="J48" s="7">
        <f t="shared" si="23"/>
        <v>3.349885490349344E-3</v>
      </c>
      <c r="K48" s="2"/>
      <c r="L48" s="6">
        <f t="shared" si="24"/>
        <v>-98.3</v>
      </c>
      <c r="M48" s="2"/>
      <c r="N48" s="7">
        <f t="shared" si="25"/>
        <v>-0.52704948796311191</v>
      </c>
      <c r="O48" s="11"/>
      <c r="P48" s="6">
        <v>388.77</v>
      </c>
      <c r="Q48" s="2"/>
      <c r="R48" s="7">
        <f t="shared" si="26"/>
        <v>1.7310063274766367E-3</v>
      </c>
      <c r="S48" s="2"/>
      <c r="T48" s="6">
        <v>631.6</v>
      </c>
      <c r="U48" s="2"/>
      <c r="V48" s="7">
        <f t="shared" si="27"/>
        <v>2.7086966961748491E-3</v>
      </c>
      <c r="W48" s="2"/>
      <c r="X48" s="6">
        <f t="shared" si="28"/>
        <v>-242.83000000000004</v>
      </c>
      <c r="Y48" s="2"/>
      <c r="Z48" s="7">
        <f t="shared" si="29"/>
        <v>-0.38446801773274231</v>
      </c>
    </row>
    <row r="49" spans="1:26" s="27" customFormat="1" outlineLevel="1" collapsed="1" x14ac:dyDescent="0.25">
      <c r="A49" s="25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SUM(OSRRefD22_4x_0)</f>
        <v>2411.2800000000002</v>
      </c>
      <c r="E49" s="1"/>
      <c r="F49" s="5">
        <f t="shared" si="22"/>
        <v>4.279250900384006E-2</v>
      </c>
      <c r="G49" s="1"/>
      <c r="H49" s="1">
        <f>SUM(OSRRefH22_4x_0)</f>
        <v>3142.91</v>
      </c>
      <c r="I49" s="1"/>
      <c r="J49" s="5">
        <f t="shared" si="23"/>
        <v>5.6449459044951251E-2</v>
      </c>
      <c r="K49" s="1"/>
      <c r="L49" s="1">
        <f t="shared" si="24"/>
        <v>-731.62999999999965</v>
      </c>
      <c r="M49" s="1"/>
      <c r="N49" s="5">
        <f t="shared" si="25"/>
        <v>-0.23278744857472841</v>
      </c>
      <c r="O49" s="13"/>
      <c r="P49" s="1">
        <f>SUM(OSRRefP22_4x_0)</f>
        <v>6028.2</v>
      </c>
      <c r="Q49" s="1"/>
      <c r="R49" s="5">
        <f t="shared" si="26"/>
        <v>2.6840683034428225E-2</v>
      </c>
      <c r="S49" s="1"/>
      <c r="T49" s="1">
        <f>SUM(OSRRefT22_4x_0)</f>
        <v>12572.92</v>
      </c>
      <c r="U49" s="1"/>
      <c r="V49" s="5">
        <f t="shared" si="27"/>
        <v>5.3920561851283542E-2</v>
      </c>
      <c r="W49" s="1"/>
      <c r="X49" s="1">
        <f t="shared" si="28"/>
        <v>-6544.72</v>
      </c>
      <c r="Y49" s="1"/>
      <c r="Z49" s="5">
        <f t="shared" si="29"/>
        <v>-0.52054097218466355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>
        <v>2411.2800000000002</v>
      </c>
      <c r="E50" s="2"/>
      <c r="F50" s="7">
        <f t="shared" si="22"/>
        <v>4.279250900384006E-2</v>
      </c>
      <c r="G50" s="2"/>
      <c r="H50" s="6">
        <v>3142.91</v>
      </c>
      <c r="I50" s="2"/>
      <c r="J50" s="7">
        <f t="shared" si="23"/>
        <v>5.6449459044951251E-2</v>
      </c>
      <c r="K50" s="2"/>
      <c r="L50" s="6">
        <f t="shared" si="24"/>
        <v>-731.62999999999965</v>
      </c>
      <c r="M50" s="2"/>
      <c r="N50" s="7">
        <f t="shared" si="25"/>
        <v>-0.23278744857472841</v>
      </c>
      <c r="O50" s="11"/>
      <c r="P50" s="6">
        <v>6028.2</v>
      </c>
      <c r="Q50" s="2"/>
      <c r="R50" s="7">
        <f t="shared" si="26"/>
        <v>2.6840683034428225E-2</v>
      </c>
      <c r="S50" s="2"/>
      <c r="T50" s="6">
        <v>12572.92</v>
      </c>
      <c r="U50" s="2"/>
      <c r="V50" s="7">
        <f t="shared" si="27"/>
        <v>5.3920561851283542E-2</v>
      </c>
      <c r="W50" s="2"/>
      <c r="X50" s="6">
        <f t="shared" si="28"/>
        <v>-6544.72</v>
      </c>
      <c r="Y50" s="2"/>
      <c r="Z50" s="7">
        <f t="shared" si="29"/>
        <v>-0.52054097218466355</v>
      </c>
    </row>
    <row r="51" spans="1:26" s="27" customFormat="1" outlineLevel="1" collapsed="1" x14ac:dyDescent="0.25">
      <c r="A51" s="25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SUM(OSRRefD22_5x_0)</f>
        <v>9597.5400000000009</v>
      </c>
      <c r="E51" s="1"/>
      <c r="F51" s="5">
        <f t="shared" si="22"/>
        <v>0.17032564317072887</v>
      </c>
      <c r="G51" s="1"/>
      <c r="H51" s="1">
        <f>SUM(OSRRefH22_5x_0)</f>
        <v>5859.36</v>
      </c>
      <c r="I51" s="1"/>
      <c r="J51" s="5">
        <f t="shared" si="23"/>
        <v>0.10523931717727378</v>
      </c>
      <c r="K51" s="1"/>
      <c r="L51" s="1">
        <f t="shared" si="24"/>
        <v>3738.1800000000012</v>
      </c>
      <c r="M51" s="1"/>
      <c r="N51" s="5">
        <f t="shared" si="25"/>
        <v>0.63798435323994451</v>
      </c>
      <c r="O51" s="13"/>
      <c r="P51" s="1">
        <f>SUM(OSRRefP22_5x_0)</f>
        <v>28044.969999999998</v>
      </c>
      <c r="Q51" s="1"/>
      <c r="R51" s="5">
        <f t="shared" si="26"/>
        <v>0.12487079899141511</v>
      </c>
      <c r="S51" s="1"/>
      <c r="T51" s="1">
        <f>SUM(OSRRefT22_5x_0)</f>
        <v>26114.1</v>
      </c>
      <c r="U51" s="1"/>
      <c r="V51" s="5">
        <f t="shared" si="27"/>
        <v>0.11199362950218433</v>
      </c>
      <c r="W51" s="1"/>
      <c r="X51" s="1">
        <f t="shared" si="28"/>
        <v>1930.869999999999</v>
      </c>
      <c r="Y51" s="1"/>
      <c r="Z51" s="5">
        <f t="shared" si="29"/>
        <v>7.3939749024473339E-2</v>
      </c>
    </row>
    <row r="52" spans="1:26" s="24" customFormat="1" hidden="1" outlineLevel="2" x14ac:dyDescent="0.25">
      <c r="A52" s="26"/>
      <c r="B52" s="11" t="str">
        <f>CONCATENATE("          ", "6373", " - ", "MAINTENANCE CONTRACTS")</f>
        <v xml:space="preserve">          6373 - MAINTENANCE CONTRACTS</v>
      </c>
      <c r="C52" s="11"/>
      <c r="D52" s="6">
        <v>9597.5400000000009</v>
      </c>
      <c r="E52" s="2"/>
      <c r="F52" s="7">
        <f t="shared" si="22"/>
        <v>0.17032564317072887</v>
      </c>
      <c r="G52" s="2"/>
      <c r="H52" s="6">
        <v>5743.74</v>
      </c>
      <c r="I52" s="2"/>
      <c r="J52" s="7">
        <f t="shared" si="23"/>
        <v>0.1031626791396662</v>
      </c>
      <c r="K52" s="2"/>
      <c r="L52" s="6">
        <f t="shared" si="24"/>
        <v>3853.8000000000011</v>
      </c>
      <c r="M52" s="2"/>
      <c r="N52" s="7">
        <f t="shared" si="25"/>
        <v>0.67095655444013858</v>
      </c>
      <c r="O52" s="11"/>
      <c r="P52" s="6">
        <v>28044.969999999998</v>
      </c>
      <c r="Q52" s="2"/>
      <c r="R52" s="7">
        <f t="shared" si="26"/>
        <v>0.12487079899141511</v>
      </c>
      <c r="S52" s="2"/>
      <c r="T52" s="6">
        <v>25998.48</v>
      </c>
      <c r="U52" s="2"/>
      <c r="V52" s="7">
        <f t="shared" si="27"/>
        <v>0.11149777846986683</v>
      </c>
      <c r="W52" s="2"/>
      <c r="X52" s="6">
        <f t="shared" si="28"/>
        <v>2046.489999999998</v>
      </c>
      <c r="Y52" s="2"/>
      <c r="Z52" s="7">
        <f t="shared" si="29"/>
        <v>7.8715755690332595E-2</v>
      </c>
    </row>
    <row r="53" spans="1:26" s="24" customFormat="1" hidden="1" outlineLevel="2" x14ac:dyDescent="0.25">
      <c r="A53" s="26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22"/>
        <v>0</v>
      </c>
      <c r="G53" s="2"/>
      <c r="H53" s="6">
        <v>115.62</v>
      </c>
      <c r="I53" s="2"/>
      <c r="J53" s="7">
        <f t="shared" si="23"/>
        <v>2.0766380376075876E-3</v>
      </c>
      <c r="K53" s="2"/>
      <c r="L53" s="6">
        <f t="shared" si="24"/>
        <v>-115.62</v>
      </c>
      <c r="M53" s="2"/>
      <c r="N53" s="7">
        <f t="shared" si="25"/>
        <v>-1</v>
      </c>
      <c r="O53" s="11"/>
      <c r="P53" s="6"/>
      <c r="Q53" s="2"/>
      <c r="R53" s="7">
        <f t="shared" si="26"/>
        <v>0</v>
      </c>
      <c r="S53" s="2"/>
      <c r="T53" s="6">
        <v>115.62</v>
      </c>
      <c r="U53" s="2"/>
      <c r="V53" s="7">
        <f t="shared" si="27"/>
        <v>4.9585103231750485E-4</v>
      </c>
      <c r="W53" s="2"/>
      <c r="X53" s="6">
        <f t="shared" si="28"/>
        <v>-115.62</v>
      </c>
      <c r="Y53" s="2"/>
      <c r="Z53" s="7">
        <f t="shared" si="29"/>
        <v>-1</v>
      </c>
    </row>
    <row r="54" spans="1:26" s="27" customFormat="1" outlineLevel="1" collapsed="1" x14ac:dyDescent="0.25">
      <c r="A54" s="25"/>
      <c r="B54" s="13" t="str">
        <f>CONCATENATE("     ","Royalty &amp; Commissions                             ")</f>
        <v xml:space="preserve">     Royalty &amp; Commissions                             </v>
      </c>
      <c r="C54" s="13"/>
      <c r="D54" s="1">
        <f>SUM(OSRRefD22_6x_0)</f>
        <v>11744.64</v>
      </c>
      <c r="E54" s="1"/>
      <c r="F54" s="5">
        <f t="shared" ref="F54:F60" si="30">IF(D$12=0,0,D54/D$12)</f>
        <v>0.20842980199183006</v>
      </c>
      <c r="G54" s="1"/>
      <c r="H54" s="1">
        <f>SUM(OSRRefH22_6x_0)</f>
        <v>11991.03</v>
      </c>
      <c r="I54" s="1"/>
      <c r="J54" s="5">
        <f t="shared" ref="J54:J60" si="31">IF(H$12=0,0,H54/H$12)</f>
        <v>0.21536956415926062</v>
      </c>
      <c r="K54" s="1"/>
      <c r="L54" s="1">
        <f t="shared" ref="L54:L60" si="32">+D54-H54</f>
        <v>-246.39000000000124</v>
      </c>
      <c r="M54" s="1"/>
      <c r="N54" s="5">
        <f t="shared" ref="N54:N60" si="33">IF(H54=0,0,L54/H54)</f>
        <v>-2.0547859524995035E-2</v>
      </c>
      <c r="O54" s="13"/>
      <c r="P54" s="1">
        <f>SUM(OSRRefP22_6x_0)</f>
        <v>26214.26</v>
      </c>
      <c r="Q54" s="1"/>
      <c r="R54" s="5">
        <f t="shared" ref="R54:R60" si="34">IF(P$12=0,0,P54/P$12)</f>
        <v>0.11671952550381381</v>
      </c>
      <c r="S54" s="1"/>
      <c r="T54" s="1">
        <f>SUM(OSRRefT22_6x_0)</f>
        <v>26362.38</v>
      </c>
      <c r="U54" s="1"/>
      <c r="V54" s="5">
        <f t="shared" ref="V54:V60" si="35">IF(T$12=0,0,T54/T$12)</f>
        <v>0.11305840976774212</v>
      </c>
      <c r="W54" s="1"/>
      <c r="X54" s="1">
        <f t="shared" ref="X54:X60" si="36">+P54-T54</f>
        <v>-148.12000000000262</v>
      </c>
      <c r="Y54" s="1"/>
      <c r="Z54" s="5">
        <f t="shared" ref="Z54:Z60" si="37">IF(T54=0,0,X54/T54)</f>
        <v>-5.6186125835377011E-3</v>
      </c>
    </row>
    <row r="55" spans="1:26" s="24" customFormat="1" hidden="1" outlineLevel="2" x14ac:dyDescent="0.25">
      <c r="A55" s="26"/>
      <c r="B55" s="11" t="str">
        <f>CONCATENATE("          ", "6259", " - ", "ROYALTY &amp; COMMISSIONS")</f>
        <v xml:space="preserve">          6259 - ROYALTY &amp; COMMISSIONS</v>
      </c>
      <c r="C55" s="11"/>
      <c r="D55" s="6">
        <v>11744.64</v>
      </c>
      <c r="E55" s="2"/>
      <c r="F55" s="7">
        <f t="shared" si="30"/>
        <v>0.20842980199183006</v>
      </c>
      <c r="G55" s="2"/>
      <c r="H55" s="6">
        <v>11991.03</v>
      </c>
      <c r="I55" s="2"/>
      <c r="J55" s="7">
        <f t="shared" si="31"/>
        <v>0.21536956415926062</v>
      </c>
      <c r="K55" s="2"/>
      <c r="L55" s="6">
        <f t="shared" si="32"/>
        <v>-246.39000000000124</v>
      </c>
      <c r="M55" s="2"/>
      <c r="N55" s="7">
        <f t="shared" si="33"/>
        <v>-2.0547859524995035E-2</v>
      </c>
      <c r="O55" s="11"/>
      <c r="P55" s="6">
        <v>26214.26</v>
      </c>
      <c r="Q55" s="2"/>
      <c r="R55" s="7">
        <f t="shared" si="34"/>
        <v>0.11671952550381381</v>
      </c>
      <c r="S55" s="2"/>
      <c r="T55" s="6">
        <v>26362.38</v>
      </c>
      <c r="U55" s="2"/>
      <c r="V55" s="7">
        <f t="shared" si="35"/>
        <v>0.11305840976774212</v>
      </c>
      <c r="W55" s="2"/>
      <c r="X55" s="6">
        <f t="shared" si="36"/>
        <v>-148.12000000000262</v>
      </c>
      <c r="Y55" s="2"/>
      <c r="Z55" s="7">
        <f t="shared" si="37"/>
        <v>-5.6186125835377011E-3</v>
      </c>
    </row>
    <row r="56" spans="1:26" s="27" customFormat="1" outlineLevel="1" collapsed="1" x14ac:dyDescent="0.25">
      <c r="A56" s="25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SUM(OSRRefD22_7x_0)</f>
        <v>2467.37</v>
      </c>
      <c r="E56" s="1"/>
      <c r="F56" s="5">
        <f t="shared" si="30"/>
        <v>4.3787927134470002E-2</v>
      </c>
      <c r="G56" s="1"/>
      <c r="H56" s="1">
        <f>SUM(OSRRefH22_7x_0)</f>
        <v>9613.4399999999987</v>
      </c>
      <c r="I56" s="1"/>
      <c r="J56" s="5">
        <f t="shared" si="31"/>
        <v>0.17266593302420244</v>
      </c>
      <c r="K56" s="1"/>
      <c r="L56" s="1">
        <f t="shared" si="32"/>
        <v>-7146.0699999999988</v>
      </c>
      <c r="M56" s="1"/>
      <c r="N56" s="5">
        <f t="shared" si="33"/>
        <v>-0.74334161340789562</v>
      </c>
      <c r="O56" s="13"/>
      <c r="P56" s="1">
        <f>SUM(OSRRefP22_7x_0)</f>
        <v>12155.369999999999</v>
      </c>
      <c r="Q56" s="1"/>
      <c r="R56" s="5">
        <f t="shared" si="34"/>
        <v>5.412203200560662E-2</v>
      </c>
      <c r="S56" s="1"/>
      <c r="T56" s="1">
        <f>SUM(OSRRefT22_7x_0)</f>
        <v>23897.620000000003</v>
      </c>
      <c r="U56" s="1"/>
      <c r="V56" s="5">
        <f t="shared" si="35"/>
        <v>0.10248797393990185</v>
      </c>
      <c r="W56" s="1"/>
      <c r="X56" s="1">
        <f t="shared" si="36"/>
        <v>-11742.250000000004</v>
      </c>
      <c r="Y56" s="1"/>
      <c r="Z56" s="5">
        <f t="shared" si="37"/>
        <v>-0.49135646143841949</v>
      </c>
    </row>
    <row r="57" spans="1:26" s="24" customFormat="1" hidden="1" outlineLevel="2" x14ac:dyDescent="0.25">
      <c r="A57" s="26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30"/>
        <v>0</v>
      </c>
      <c r="G57" s="2"/>
      <c r="H57" s="6"/>
      <c r="I57" s="2"/>
      <c r="J57" s="7">
        <f t="shared" si="31"/>
        <v>0</v>
      </c>
      <c r="K57" s="2"/>
      <c r="L57" s="6">
        <f t="shared" si="32"/>
        <v>0</v>
      </c>
      <c r="M57" s="2"/>
      <c r="N57" s="7">
        <f t="shared" si="33"/>
        <v>0</v>
      </c>
      <c r="O57" s="11"/>
      <c r="P57" s="6">
        <v>1017.27</v>
      </c>
      <c r="Q57" s="2"/>
      <c r="R57" s="7">
        <f t="shared" si="34"/>
        <v>4.5294153529134408E-3</v>
      </c>
      <c r="S57" s="2"/>
      <c r="T57" s="6">
        <v>856.68</v>
      </c>
      <c r="U57" s="2"/>
      <c r="V57" s="7">
        <f t="shared" si="35"/>
        <v>3.6739808196312057E-3</v>
      </c>
      <c r="W57" s="2"/>
      <c r="X57" s="6">
        <f t="shared" si="36"/>
        <v>160.59000000000003</v>
      </c>
      <c r="Y57" s="2"/>
      <c r="Z57" s="7">
        <f t="shared" si="37"/>
        <v>0.18745622636223566</v>
      </c>
    </row>
    <row r="58" spans="1:26" s="24" customFormat="1" hidden="1" outlineLevel="2" x14ac:dyDescent="0.25">
      <c r="A58" s="26"/>
      <c r="B58" s="11" t="str">
        <f>CONCATENATE("          ", "6243", " - ", "PAPER SUPPLIES")</f>
        <v xml:space="preserve">          6243 - PAPER SUPPLIES</v>
      </c>
      <c r="C58" s="11"/>
      <c r="D58" s="6">
        <v>1929.38</v>
      </c>
      <c r="E58" s="2"/>
      <c r="F58" s="7">
        <f t="shared" si="30"/>
        <v>3.4240325064624981E-2</v>
      </c>
      <c r="G58" s="2"/>
      <c r="H58" s="6">
        <v>8301.76</v>
      </c>
      <c r="I58" s="2"/>
      <c r="J58" s="7">
        <f t="shared" si="31"/>
        <v>0.14910699355724932</v>
      </c>
      <c r="K58" s="2"/>
      <c r="L58" s="6">
        <f t="shared" si="32"/>
        <v>-6372.38</v>
      </c>
      <c r="M58" s="2"/>
      <c r="N58" s="7">
        <f t="shared" si="33"/>
        <v>-0.76759385961531046</v>
      </c>
      <c r="O58" s="11"/>
      <c r="P58" s="6">
        <v>4906.33</v>
      </c>
      <c r="Q58" s="2"/>
      <c r="R58" s="7">
        <f t="shared" si="34"/>
        <v>2.1845534055324349E-2</v>
      </c>
      <c r="S58" s="2"/>
      <c r="T58" s="6">
        <v>16655.900000000001</v>
      </c>
      <c r="U58" s="2"/>
      <c r="V58" s="7">
        <f t="shared" si="35"/>
        <v>7.1430939363234122E-2</v>
      </c>
      <c r="W58" s="2"/>
      <c r="X58" s="6">
        <f t="shared" si="36"/>
        <v>-11749.570000000002</v>
      </c>
      <c r="Y58" s="2"/>
      <c r="Z58" s="7">
        <f t="shared" si="37"/>
        <v>-0.70542990772038738</v>
      </c>
    </row>
    <row r="59" spans="1:26" s="24" customFormat="1" hidden="1" outlineLevel="2" x14ac:dyDescent="0.25">
      <c r="A59" s="26"/>
      <c r="B59" s="11" t="str">
        <f>CONCATENATE("          ", "6245", " - ", "PRINTING")</f>
        <v xml:space="preserve">          6245 - PRINTING</v>
      </c>
      <c r="C59" s="11"/>
      <c r="D59" s="6">
        <v>7.24</v>
      </c>
      <c r="E59" s="2"/>
      <c r="F59" s="7">
        <f t="shared" si="30"/>
        <v>1.2848684731254852E-4</v>
      </c>
      <c r="G59" s="2"/>
      <c r="H59" s="6">
        <v>565.89</v>
      </c>
      <c r="I59" s="2"/>
      <c r="J59" s="7">
        <f t="shared" si="31"/>
        <v>1.0163887727916951E-2</v>
      </c>
      <c r="K59" s="2"/>
      <c r="L59" s="6">
        <f t="shared" si="32"/>
        <v>-558.65</v>
      </c>
      <c r="M59" s="2"/>
      <c r="N59" s="7">
        <f t="shared" si="33"/>
        <v>-0.98720599409779286</v>
      </c>
      <c r="O59" s="11"/>
      <c r="P59" s="6">
        <v>249.44</v>
      </c>
      <c r="Q59" s="2"/>
      <c r="R59" s="7">
        <f t="shared" si="34"/>
        <v>1.1106366703340594E-3</v>
      </c>
      <c r="S59" s="2"/>
      <c r="T59" s="6">
        <v>4387.13</v>
      </c>
      <c r="U59" s="2"/>
      <c r="V59" s="7">
        <f t="shared" si="35"/>
        <v>1.8814763357646556E-2</v>
      </c>
      <c r="W59" s="2"/>
      <c r="X59" s="6">
        <f t="shared" si="36"/>
        <v>-4137.6900000000005</v>
      </c>
      <c r="Y59" s="2"/>
      <c r="Z59" s="7">
        <f t="shared" si="37"/>
        <v>-0.94314278355097758</v>
      </c>
    </row>
    <row r="60" spans="1:26" s="24" customFormat="1" hidden="1" outlineLevel="2" x14ac:dyDescent="0.25">
      <c r="A60" s="26"/>
      <c r="B60" s="11" t="str">
        <f>CONCATENATE("          ", "6247", " - ", "STORE SUPPLIES")</f>
        <v xml:space="preserve">          6247 - STORE SUPPLIES</v>
      </c>
      <c r="C60" s="11"/>
      <c r="D60" s="6">
        <v>530.75</v>
      </c>
      <c r="E60" s="2"/>
      <c r="F60" s="7">
        <f t="shared" si="30"/>
        <v>9.4191152225324756E-3</v>
      </c>
      <c r="G60" s="2"/>
      <c r="H60" s="6">
        <v>745.79</v>
      </c>
      <c r="I60" s="2"/>
      <c r="J60" s="7">
        <f t="shared" si="31"/>
        <v>1.3395051739036178E-2</v>
      </c>
      <c r="K60" s="2"/>
      <c r="L60" s="6">
        <f t="shared" si="32"/>
        <v>-215.03999999999996</v>
      </c>
      <c r="M60" s="2"/>
      <c r="N60" s="7">
        <f t="shared" si="33"/>
        <v>-0.28833854033977391</v>
      </c>
      <c r="O60" s="11"/>
      <c r="P60" s="6">
        <v>5982.33</v>
      </c>
      <c r="Q60" s="2"/>
      <c r="R60" s="7">
        <f t="shared" si="34"/>
        <v>2.6636445927034774E-2</v>
      </c>
      <c r="S60" s="2"/>
      <c r="T60" s="6">
        <v>1997.91</v>
      </c>
      <c r="U60" s="2"/>
      <c r="V60" s="7">
        <f t="shared" si="35"/>
        <v>8.5682903993899509E-3</v>
      </c>
      <c r="W60" s="2"/>
      <c r="X60" s="6">
        <f t="shared" si="36"/>
        <v>3984.42</v>
      </c>
      <c r="Y60" s="2"/>
      <c r="Z60" s="7">
        <f t="shared" si="37"/>
        <v>1.9942940372689459</v>
      </c>
    </row>
    <row r="61" spans="1:26" s="27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SUM(OSRRefD22_8x_0)</f>
        <v>106.6</v>
      </c>
      <c r="E61" s="1"/>
      <c r="F61" s="5">
        <f t="shared" ref="F61:F64" si="38">IF(D$12=0,0,D61/D$12)</f>
        <v>1.8918091054582419E-3</v>
      </c>
      <c r="G61" s="1"/>
      <c r="H61" s="1">
        <f>SUM(OSRRefH22_8x_0)</f>
        <v>126.6</v>
      </c>
      <c r="I61" s="1"/>
      <c r="J61" s="5">
        <f t="shared" ref="J61:J64" si="39">IF(H$12=0,0,H61/H$12)</f>
        <v>2.2738486037114738E-3</v>
      </c>
      <c r="K61" s="1"/>
      <c r="L61" s="1">
        <f t="shared" ref="L61:L64" si="40">+D61-H61</f>
        <v>-20</v>
      </c>
      <c r="M61" s="1"/>
      <c r="N61" s="5">
        <f t="shared" ref="N61:N64" si="41">IF(H61=0,0,L61/H61)</f>
        <v>-0.15797788309636651</v>
      </c>
      <c r="O61" s="13"/>
      <c r="P61" s="1">
        <f>SUM(OSRRefP22_8x_0)</f>
        <v>602.35</v>
      </c>
      <c r="Q61" s="1"/>
      <c r="R61" s="5">
        <f t="shared" ref="R61:R64" si="42">IF(P$12=0,0,P61/P$12)</f>
        <v>2.6819756188891947E-3</v>
      </c>
      <c r="S61" s="1"/>
      <c r="T61" s="1">
        <f>SUM(OSRRefT22_8x_0)</f>
        <v>515.04999999999995</v>
      </c>
      <c r="U61" s="1"/>
      <c r="V61" s="5">
        <f t="shared" ref="V61:V64" si="43">IF(T$12=0,0,T61/T$12)</f>
        <v>2.2088572409196578E-3</v>
      </c>
      <c r="W61" s="1"/>
      <c r="X61" s="1">
        <f t="shared" ref="X61:X64" si="44">+P61-T61</f>
        <v>87.300000000000068</v>
      </c>
      <c r="Y61" s="1"/>
      <c r="Z61" s="5">
        <f t="shared" ref="Z61:Z64" si="45">IF(T61=0,0,X61/T61)</f>
        <v>0.169498106979905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106.6</v>
      </c>
      <c r="E62" s="2"/>
      <c r="F62" s="7">
        <f t="shared" si="38"/>
        <v>1.8918091054582419E-3</v>
      </c>
      <c r="G62" s="2"/>
      <c r="H62" s="6">
        <v>126.6</v>
      </c>
      <c r="I62" s="2"/>
      <c r="J62" s="7">
        <f t="shared" si="39"/>
        <v>2.2738486037114738E-3</v>
      </c>
      <c r="K62" s="2"/>
      <c r="L62" s="6">
        <f t="shared" si="40"/>
        <v>-20</v>
      </c>
      <c r="M62" s="2"/>
      <c r="N62" s="7">
        <f t="shared" si="41"/>
        <v>-0.15797788309636651</v>
      </c>
      <c r="O62" s="11"/>
      <c r="P62" s="6">
        <v>602.35</v>
      </c>
      <c r="Q62" s="2"/>
      <c r="R62" s="7">
        <f t="shared" si="42"/>
        <v>2.6819756188891947E-3</v>
      </c>
      <c r="S62" s="2"/>
      <c r="T62" s="6">
        <v>515.04999999999995</v>
      </c>
      <c r="U62" s="2"/>
      <c r="V62" s="7">
        <f t="shared" si="43"/>
        <v>2.2088572409196578E-3</v>
      </c>
      <c r="W62" s="2"/>
      <c r="X62" s="6">
        <f t="shared" si="44"/>
        <v>87.300000000000068</v>
      </c>
      <c r="Y62" s="2"/>
      <c r="Z62" s="7">
        <f t="shared" si="45"/>
        <v>0.169498106979905</v>
      </c>
    </row>
    <row r="63" spans="1:26" s="27" customFormat="1" outlineLevel="1" collapsed="1" x14ac:dyDescent="0.25">
      <c r="A63" s="25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SUM(OSRRefD22_9x_0)</f>
        <v>0</v>
      </c>
      <c r="E63" s="1"/>
      <c r="F63" s="5">
        <f t="shared" si="38"/>
        <v>0</v>
      </c>
      <c r="G63" s="1"/>
      <c r="H63" s="1">
        <f>SUM(OSRRefH22_9x_0)</f>
        <v>0</v>
      </c>
      <c r="I63" s="1"/>
      <c r="J63" s="5">
        <f t="shared" si="39"/>
        <v>0</v>
      </c>
      <c r="K63" s="1"/>
      <c r="L63" s="1">
        <f t="shared" si="40"/>
        <v>0</v>
      </c>
      <c r="M63" s="1"/>
      <c r="N63" s="5">
        <f t="shared" si="41"/>
        <v>0</v>
      </c>
      <c r="O63" s="13"/>
      <c r="P63" s="1">
        <f>SUM(OSRRefP22_9x_0)</f>
        <v>97.71</v>
      </c>
      <c r="Q63" s="1"/>
      <c r="R63" s="5">
        <f t="shared" si="42"/>
        <v>4.3505576113831356E-4</v>
      </c>
      <c r="S63" s="1"/>
      <c r="T63" s="1">
        <f>SUM(OSRRefT22_9x_0)</f>
        <v>0</v>
      </c>
      <c r="U63" s="1"/>
      <c r="V63" s="5">
        <f t="shared" si="43"/>
        <v>0</v>
      </c>
      <c r="W63" s="1"/>
      <c r="X63" s="1">
        <f t="shared" si="44"/>
        <v>97.71</v>
      </c>
      <c r="Y63" s="1"/>
      <c r="Z63" s="5">
        <f t="shared" si="45"/>
        <v>0</v>
      </c>
    </row>
    <row r="64" spans="1:26" s="24" customFormat="1" hidden="1" outlineLevel="2" x14ac:dyDescent="0.25">
      <c r="A64" s="26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38"/>
        <v>0</v>
      </c>
      <c r="G64" s="2"/>
      <c r="H64" s="6"/>
      <c r="I64" s="2"/>
      <c r="J64" s="7">
        <f t="shared" si="39"/>
        <v>0</v>
      </c>
      <c r="K64" s="2"/>
      <c r="L64" s="6">
        <f t="shared" si="40"/>
        <v>0</v>
      </c>
      <c r="M64" s="2"/>
      <c r="N64" s="7">
        <f t="shared" si="41"/>
        <v>0</v>
      </c>
      <c r="O64" s="11"/>
      <c r="P64" s="6">
        <v>97.71</v>
      </c>
      <c r="Q64" s="2"/>
      <c r="R64" s="7">
        <f t="shared" si="42"/>
        <v>4.3505576113831356E-4</v>
      </c>
      <c r="S64" s="2"/>
      <c r="T64" s="6"/>
      <c r="U64" s="2"/>
      <c r="V64" s="7">
        <f t="shared" si="43"/>
        <v>0</v>
      </c>
      <c r="W64" s="2"/>
      <c r="X64" s="6">
        <f t="shared" si="44"/>
        <v>97.71</v>
      </c>
      <c r="Y64" s="2"/>
      <c r="Z64" s="7">
        <f t="shared" si="45"/>
        <v>0</v>
      </c>
    </row>
    <row r="65" spans="1:26" s="55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25">
      <c r="A66" s="10"/>
      <c r="B66" s="29" t="s">
        <v>0</v>
      </c>
      <c r="C66" s="10"/>
      <c r="D66" s="4">
        <f>SUM(OSRRefD25x_0)</f>
        <v>13269</v>
      </c>
      <c r="E66" s="4"/>
      <c r="F66" s="12">
        <f t="shared" ref="F66:F67" si="46">IF(D$12=0,0,D66/D$12)</f>
        <v>0.23548231726384064</v>
      </c>
      <c r="G66" s="4"/>
      <c r="H66" s="4">
        <f>SUM(OSRRefH25x_0)</f>
        <v>12083</v>
      </c>
      <c r="I66" s="4"/>
      <c r="J66" s="12">
        <f t="shared" ref="J66:J67" si="47">IF(H$12=0,0,H66/H$12)</f>
        <v>0.21702142716149872</v>
      </c>
      <c r="K66" s="4"/>
      <c r="L66" s="4">
        <f t="shared" ref="L66:L67" si="48">+D66-H66</f>
        <v>1186</v>
      </c>
      <c r="M66" s="4"/>
      <c r="N66" s="12">
        <f t="shared" ref="N66:N67" si="49">IF(H66=0,0,L66/H66)</f>
        <v>9.8154431846395759E-2</v>
      </c>
      <c r="O66" s="10"/>
      <c r="P66" s="4">
        <f>SUM(OSRRefP25x_0)</f>
        <v>53076</v>
      </c>
      <c r="Q66" s="4"/>
      <c r="R66" s="12">
        <f t="shared" ref="R66:R67" si="50">IF(P$12=0,0,P66/P$12)</f>
        <v>0.23632196886886842</v>
      </c>
      <c r="S66" s="4"/>
      <c r="T66" s="4">
        <f>SUM(OSRRefT25x_0)</f>
        <v>48332</v>
      </c>
      <c r="U66" s="4"/>
      <c r="V66" s="12">
        <f t="shared" ref="V66:V67" si="51">IF(T$12=0,0,T66/T$12)</f>
        <v>0.20727791120887082</v>
      </c>
      <c r="W66" s="4"/>
      <c r="X66" s="4">
        <f t="shared" ref="X66:X67" si="52">+P66-T66</f>
        <v>4744</v>
      </c>
      <c r="Y66" s="4"/>
      <c r="Z66" s="12">
        <f t="shared" ref="Z66:Z67" si="53">IF(T66=0,0,X66/T66)</f>
        <v>9.8154431846395759E-2</v>
      </c>
    </row>
    <row r="67" spans="1:26" s="24" customFormat="1" hidden="1" outlineLevel="1" x14ac:dyDescent="0.25">
      <c r="A67" s="44"/>
      <c r="B67" s="11" t="str">
        <f>CONCATENATE("          ", "9150", " - ", "MISC. INCOME")</f>
        <v xml:space="preserve">          9150 - MISC. INCOME</v>
      </c>
      <c r="C67" s="11"/>
      <c r="D67" s="2">
        <f>--13269</f>
        <v>13269</v>
      </c>
      <c r="E67" s="2"/>
      <c r="F67" s="19">
        <f t="shared" si="46"/>
        <v>0.23548231726384064</v>
      </c>
      <c r="G67" s="2"/>
      <c r="H67" s="2">
        <f>--12083</f>
        <v>12083</v>
      </c>
      <c r="I67" s="2"/>
      <c r="J67" s="19">
        <f t="shared" si="47"/>
        <v>0.21702142716149872</v>
      </c>
      <c r="K67" s="2"/>
      <c r="L67" s="2">
        <f t="shared" si="48"/>
        <v>1186</v>
      </c>
      <c r="M67" s="2"/>
      <c r="N67" s="19">
        <f t="shared" si="49"/>
        <v>9.8154431846395759E-2</v>
      </c>
      <c r="O67" s="11"/>
      <c r="P67" s="2">
        <f>--53076</f>
        <v>53076</v>
      </c>
      <c r="Q67" s="2"/>
      <c r="R67" s="19">
        <f t="shared" si="50"/>
        <v>0.23632196886886842</v>
      </c>
      <c r="S67" s="2"/>
      <c r="T67" s="2">
        <f>--48332</f>
        <v>48332</v>
      </c>
      <c r="U67" s="2"/>
      <c r="V67" s="19">
        <f t="shared" si="51"/>
        <v>0.20727791120887082</v>
      </c>
      <c r="W67" s="2"/>
      <c r="X67" s="2">
        <f t="shared" si="52"/>
        <v>4744</v>
      </c>
      <c r="Y67" s="2"/>
      <c r="Z67" s="19">
        <f t="shared" si="53"/>
        <v>9.8154431846395759E-2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8" t="s">
        <v>3</v>
      </c>
      <c r="C69" s="28"/>
      <c r="D69" s="21">
        <f>+D28-D30+D66</f>
        <v>14261.320000000007</v>
      </c>
      <c r="E69" s="14"/>
      <c r="F69" s="22">
        <f>IF(D$12=0,0,D69/D$12)</f>
        <v>0.25309282393859051</v>
      </c>
      <c r="G69" s="14"/>
      <c r="H69" s="21">
        <f>+H28-H30+H66</f>
        <v>10656.020000000004</v>
      </c>
      <c r="I69" s="14"/>
      <c r="J69" s="22">
        <f>IF(H$12=0,0,H69/H$12)</f>
        <v>0.19139159714156043</v>
      </c>
      <c r="K69" s="16"/>
      <c r="L69" s="21">
        <f>+D69-H69</f>
        <v>3605.3000000000029</v>
      </c>
      <c r="M69" s="16"/>
      <c r="N69" s="22">
        <f>IF(H69=0,0,L69/H69)</f>
        <v>0.33833457519786952</v>
      </c>
      <c r="O69" s="29"/>
      <c r="P69" s="21">
        <f>+P28-P30+P66</f>
        <v>100654.31</v>
      </c>
      <c r="Q69" s="14"/>
      <c r="R69" s="22">
        <f>IF(P$12=0,0,P69/P$12)</f>
        <v>0.44816536126191558</v>
      </c>
      <c r="S69" s="14"/>
      <c r="T69" s="21">
        <f>+T28-T30+T66</f>
        <v>97622.49000000002</v>
      </c>
      <c r="U69" s="14"/>
      <c r="V69" s="22">
        <f>IF(T$12=0,0,T69/T$12)</f>
        <v>0.41866642833337919</v>
      </c>
      <c r="W69" s="16"/>
      <c r="X69" s="21">
        <f>+P69-T69</f>
        <v>3031.8199999999779</v>
      </c>
      <c r="Y69" s="16"/>
      <c r="Z69" s="22">
        <f>IF(T69=0,0,X69/T69)</f>
        <v>3.1056573131867229E-2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>
        <v>4536.3900000000003</v>
      </c>
      <c r="E71" s="4"/>
      <c r="F71" s="12">
        <f>IF(D$12=0,0,D71/D$12)</f>
        <v>8.05064156464326E-2</v>
      </c>
      <c r="G71" s="4"/>
      <c r="H71" s="4">
        <v>5644.52</v>
      </c>
      <c r="I71" s="4"/>
      <c r="J71" s="12">
        <f>IF(H$12=0,0,H71/H$12)</f>
        <v>0.10138059968895331</v>
      </c>
      <c r="K71" s="4"/>
      <c r="L71" s="4">
        <f>+D71-H71</f>
        <v>-1108.1300000000001</v>
      </c>
      <c r="M71" s="4"/>
      <c r="N71" s="12">
        <f>IF(H71=0,0,L71/H71)</f>
        <v>-0.19631961619411395</v>
      </c>
      <c r="O71" s="10"/>
      <c r="P71" s="4">
        <v>22607.99</v>
      </c>
      <c r="Q71" s="4"/>
      <c r="R71" s="12">
        <f>IF(P$12=0,0,P71/P$12)</f>
        <v>0.10066253502463804</v>
      </c>
      <c r="S71" s="4"/>
      <c r="T71" s="4">
        <v>21414.73</v>
      </c>
      <c r="U71" s="4"/>
      <c r="V71" s="12">
        <f>IF(T$12=0,0,T71/T$12)</f>
        <v>9.1839785307910746E-2</v>
      </c>
      <c r="W71" s="4"/>
      <c r="X71" s="4">
        <f>+P71-T71</f>
        <v>1193.260000000002</v>
      </c>
      <c r="Y71" s="4"/>
      <c r="Z71" s="12">
        <f>IF(T71=0,0,X71/T71)</f>
        <v>5.5721459014426149E-2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8" t="s">
        <v>4</v>
      </c>
      <c r="C73" s="28"/>
      <c r="D73" s="31">
        <f>+D69-D71</f>
        <v>9724.9300000000076</v>
      </c>
      <c r="E73" s="14"/>
      <c r="F73" s="34">
        <f>IF(D$12=0,0,D73/D$12)</f>
        <v>0.17258640829215793</v>
      </c>
      <c r="G73" s="14"/>
      <c r="H73" s="31">
        <f>+H69-H71</f>
        <v>5011.5000000000036</v>
      </c>
      <c r="I73" s="14"/>
      <c r="J73" s="34">
        <f>IF(H$12=0,0,H73/H$12)</f>
        <v>9.00109974526071E-2</v>
      </c>
      <c r="K73" s="16"/>
      <c r="L73" s="31">
        <f>D73-H73</f>
        <v>4713.4300000000039</v>
      </c>
      <c r="M73" s="16"/>
      <c r="N73" s="34">
        <f>IF(H73=0,0,L73/H73)</f>
        <v>0.9405227975655992</v>
      </c>
      <c r="O73" s="29"/>
      <c r="P73" s="31">
        <f>+P69-P71</f>
        <v>78046.319999999992</v>
      </c>
      <c r="Q73" s="14"/>
      <c r="R73" s="34">
        <f>IF(P$12=0,0,P73/P$12)</f>
        <v>0.34750282623727752</v>
      </c>
      <c r="S73" s="14"/>
      <c r="T73" s="31">
        <f>+T69-T71</f>
        <v>76207.760000000024</v>
      </c>
      <c r="U73" s="14"/>
      <c r="V73" s="34">
        <f>IF(T$12=0,0,T73/T$12)</f>
        <v>0.32682664302546849</v>
      </c>
      <c r="W73" s="16"/>
      <c r="X73" s="31">
        <f>P73-T73</f>
        <v>1838.5599999999686</v>
      </c>
      <c r="Y73" s="16"/>
      <c r="Z73" s="34">
        <f>IF(T73=0,0,X73/T73)</f>
        <v>2.4125627101491607E-2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5</v>
      </c>
      <c r="C76" s="28"/>
      <c r="D76" s="36">
        <f>SUM(D73:D75)</f>
        <v>9724.9300000000076</v>
      </c>
      <c r="E76" s="14"/>
      <c r="F76" s="33">
        <f>IF(D$12=0,0,D76/D$12)</f>
        <v>0.17258640829215793</v>
      </c>
      <c r="G76" s="14"/>
      <c r="H76" s="36">
        <f>SUM(H73:H75)</f>
        <v>5011.5000000000036</v>
      </c>
      <c r="I76" s="14"/>
      <c r="J76" s="33">
        <f>IF(H$12=0,0,H76/H$12)</f>
        <v>9.00109974526071E-2</v>
      </c>
      <c r="K76" s="16"/>
      <c r="L76" s="36">
        <f>+D76-H76</f>
        <v>4713.4300000000039</v>
      </c>
      <c r="M76" s="16"/>
      <c r="N76" s="33">
        <f>IF(H76=0,0,L76/H76)</f>
        <v>0.9405227975655992</v>
      </c>
      <c r="O76" s="29"/>
      <c r="P76" s="36">
        <f>SUM(P73:P75)</f>
        <v>78046.319999999992</v>
      </c>
      <c r="Q76" s="14"/>
      <c r="R76" s="33">
        <f>IF(P$12=0,0,P76/P$12)</f>
        <v>0.34750282623727752</v>
      </c>
      <c r="S76" s="14"/>
      <c r="T76" s="36">
        <f>SUM(T73:T75)</f>
        <v>76207.760000000024</v>
      </c>
      <c r="U76" s="14"/>
      <c r="V76" s="33">
        <f>IF(T$12=0,0,T76/T$12)</f>
        <v>0.32682664302546849</v>
      </c>
      <c r="W76" s="16"/>
      <c r="X76" s="36">
        <f>+P76-T76</f>
        <v>1838.5599999999686</v>
      </c>
      <c r="Y76" s="16"/>
      <c r="Z76" s="33">
        <f>IF(T76=0,0,X76/T76)</f>
        <v>2.4125627101491607E-2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61">
        <v>43791.355349421297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6" t="s">
        <v>313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7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4:24" x14ac:dyDescent="0.25"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","320", " - ", "Customer Service (old)")</f>
        <v>Department 320 - Customer Service (old)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1179.29</v>
      </c>
      <c r="E12" s="4"/>
      <c r="F12" s="12"/>
      <c r="G12" s="4"/>
      <c r="H12" s="4">
        <f>SUM(OSRRefH13x_0)</f>
        <v>778.13</v>
      </c>
      <c r="I12" s="4"/>
      <c r="J12" s="12"/>
      <c r="K12" s="4"/>
      <c r="L12" s="4">
        <f t="shared" ref="L12:L16" si="0">+D12-H12</f>
        <v>401.15999999999997</v>
      </c>
      <c r="M12" s="4"/>
      <c r="N12" s="12">
        <f t="shared" ref="N12:N16" si="1">IF(H12=0,0,L12/H12)</f>
        <v>0.51554367522136402</v>
      </c>
      <c r="O12" s="10"/>
      <c r="P12" s="4">
        <f>SUM(OSRRefP13x_0)</f>
        <v>4899.8099999999995</v>
      </c>
      <c r="Q12" s="4"/>
      <c r="R12" s="12"/>
      <c r="S12" s="4"/>
      <c r="T12" s="4">
        <f>SUM(OSRRefT13x_0)</f>
        <v>4877.0599999999995</v>
      </c>
      <c r="U12" s="4"/>
      <c r="V12" s="12"/>
      <c r="W12" s="4"/>
      <c r="X12" s="4">
        <f t="shared" ref="X12:X16" si="2">+P12-T12</f>
        <v>22.75</v>
      </c>
      <c r="Y12" s="4"/>
      <c r="Z12" s="12">
        <f t="shared" ref="Z12:Z16" si="3">IF(T12=0,0,X12/T12)</f>
        <v>4.6646955337846987E-3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>--1178.45</f>
        <v>1178.45</v>
      </c>
      <c r="E13" s="2"/>
      <c r="F13" s="19"/>
      <c r="G13" s="2"/>
      <c r="H13" s="2">
        <f>--300.95</f>
        <v>300.95</v>
      </c>
      <c r="I13" s="2"/>
      <c r="J13" s="19"/>
      <c r="K13" s="2"/>
      <c r="L13" s="2">
        <f t="shared" si="0"/>
        <v>877.5</v>
      </c>
      <c r="M13" s="2"/>
      <c r="N13" s="19">
        <f t="shared" si="1"/>
        <v>2.9157667386609072</v>
      </c>
      <c r="O13" s="11"/>
      <c r="P13" s="2">
        <f>--5091.03</f>
        <v>5091.03</v>
      </c>
      <c r="Q13" s="2"/>
      <c r="R13" s="19"/>
      <c r="S13" s="2"/>
      <c r="T13" s="2">
        <f>--4367.25</f>
        <v>4367.25</v>
      </c>
      <c r="U13" s="2"/>
      <c r="V13" s="19"/>
      <c r="W13" s="2"/>
      <c r="X13" s="2">
        <f t="shared" si="2"/>
        <v>723.77999999999975</v>
      </c>
      <c r="Y13" s="2"/>
      <c r="Z13" s="19">
        <f t="shared" si="3"/>
        <v>0.16572900566718179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--40.79</f>
        <v>40.79</v>
      </c>
      <c r="E14" s="2"/>
      <c r="F14" s="19"/>
      <c r="G14" s="2"/>
      <c r="H14" s="2">
        <f>--477.18</f>
        <v>477.18</v>
      </c>
      <c r="I14" s="2"/>
      <c r="J14" s="19"/>
      <c r="K14" s="2"/>
      <c r="L14" s="2">
        <f t="shared" si="0"/>
        <v>-436.39</v>
      </c>
      <c r="M14" s="2"/>
      <c r="N14" s="19">
        <f t="shared" si="1"/>
        <v>-0.91451863028626512</v>
      </c>
      <c r="O14" s="11"/>
      <c r="P14" s="2">
        <f>--217.88</f>
        <v>217.88</v>
      </c>
      <c r="Q14" s="2"/>
      <c r="R14" s="19"/>
      <c r="S14" s="2"/>
      <c r="T14" s="2">
        <f>--1087.06</f>
        <v>1087.06</v>
      </c>
      <c r="U14" s="2"/>
      <c r="V14" s="19"/>
      <c r="W14" s="2"/>
      <c r="X14" s="2">
        <f t="shared" si="2"/>
        <v>-869.18</v>
      </c>
      <c r="Y14" s="2"/>
      <c r="Z14" s="19">
        <f t="shared" si="3"/>
        <v>-0.79956948098541014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>-39.95</f>
        <v>-39.950000000000003</v>
      </c>
      <c r="E15" s="2"/>
      <c r="F15" s="19"/>
      <c r="G15" s="2"/>
      <c r="H15" s="2">
        <f t="shared" ref="H15:H16" si="4">0</f>
        <v>0</v>
      </c>
      <c r="I15" s="2"/>
      <c r="J15" s="19"/>
      <c r="K15" s="2"/>
      <c r="L15" s="2">
        <f t="shared" si="0"/>
        <v>-39.950000000000003</v>
      </c>
      <c r="M15" s="2"/>
      <c r="N15" s="19">
        <f t="shared" si="1"/>
        <v>0</v>
      </c>
      <c r="O15" s="11"/>
      <c r="P15" s="2">
        <f>-409.1</f>
        <v>-409.1</v>
      </c>
      <c r="Q15" s="2"/>
      <c r="R15" s="19"/>
      <c r="S15" s="2"/>
      <c r="T15" s="2">
        <f>-478.25</f>
        <v>-478.25</v>
      </c>
      <c r="U15" s="2"/>
      <c r="V15" s="19"/>
      <c r="W15" s="2"/>
      <c r="X15" s="2">
        <f t="shared" si="2"/>
        <v>69.149999999999977</v>
      </c>
      <c r="Y15" s="2"/>
      <c r="Z15" s="19">
        <f t="shared" si="3"/>
        <v>-0.14458964976476735</v>
      </c>
    </row>
    <row r="16" spans="1:26" s="24" customFormat="1" hidden="1" outlineLevel="1" x14ac:dyDescent="0.25">
      <c r="A16" s="44"/>
      <c r="B16" s="11" t="str">
        <f>CONCATENATE("          ", "4295", " - ", "SALES RETURN TAXABLE-CUSTOMER")</f>
        <v xml:space="preserve">          4295 - SALES RETURN TAXABLE-CUSTOMER</v>
      </c>
      <c r="C16" s="11"/>
      <c r="D16" s="2">
        <f>0</f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-99</f>
        <v>-99</v>
      </c>
      <c r="U16" s="2"/>
      <c r="V16" s="19"/>
      <c r="W16" s="2"/>
      <c r="X16" s="2">
        <f t="shared" si="2"/>
        <v>99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570.54</v>
      </c>
      <c r="E18" s="4"/>
      <c r="F18" s="12">
        <f t="shared" ref="F18:F23" si="5">IF(D$12=0,0,D18/D$12)</f>
        <v>0.48379957432014176</v>
      </c>
      <c r="G18" s="4"/>
      <c r="H18" s="4">
        <f>SUM(OSRRefH16x_0)</f>
        <v>131.67999999999995</v>
      </c>
      <c r="I18" s="4"/>
      <c r="J18" s="12">
        <f t="shared" ref="J18:J23" si="6">IF(H$12=0,0,H18/H$12)</f>
        <v>0.16922622183953831</v>
      </c>
      <c r="K18" s="4"/>
      <c r="L18" s="4">
        <f t="shared" ref="L18:L23" si="7">+D18-H18</f>
        <v>438.86</v>
      </c>
      <c r="M18" s="4"/>
      <c r="N18" s="12">
        <f t="shared" ref="N18:N23" si="8">IF(H18=0,0,L18/H18)</f>
        <v>3.332776427703525</v>
      </c>
      <c r="O18" s="10"/>
      <c r="P18" s="4">
        <f>SUM(OSRRefP16x_0)</f>
        <v>2462.1200000000003</v>
      </c>
      <c r="Q18" s="4"/>
      <c r="R18" s="12">
        <f t="shared" ref="R18:R23" si="9">IF(P$12=0,0,P18/P$12)</f>
        <v>0.50249295380841308</v>
      </c>
      <c r="S18" s="4"/>
      <c r="T18" s="4">
        <f>SUM(OSRRefT16x_0)</f>
        <v>1605.5400000000002</v>
      </c>
      <c r="U18" s="4"/>
      <c r="V18" s="12">
        <f t="shared" ref="V18:V23" si="10">IF(T$12=0,0,T18/T$12)</f>
        <v>0.32920242933242577</v>
      </c>
      <c r="W18" s="4"/>
      <c r="X18" s="4">
        <f t="shared" ref="X18:X23" si="11">+P18-T18</f>
        <v>856.58000000000015</v>
      </c>
      <c r="Y18" s="4"/>
      <c r="Z18" s="12">
        <f t="shared" ref="Z18:Z23" si="12">IF(T18=0,0,X18/T18)</f>
        <v>0.53351520360750904</v>
      </c>
    </row>
    <row r="19" spans="1:26" s="24" customFormat="1" hidden="1" outlineLevel="1" x14ac:dyDescent="0.25">
      <c r="A19" s="44"/>
      <c r="B19" s="11" t="str">
        <f>CONCATENATE("          ", "5092", " - ", "PURCHASES @ COST-GRAD MERCH")</f>
        <v xml:space="preserve">          5092 - PURCHASES @ COST-GRAD MERCH</v>
      </c>
      <c r="C19" s="11"/>
      <c r="D19" s="2">
        <v>1343.54</v>
      </c>
      <c r="E19" s="2"/>
      <c r="F19" s="19">
        <f t="shared" si="5"/>
        <v>1.1392787185509925</v>
      </c>
      <c r="G19" s="2"/>
      <c r="H19" s="2">
        <v>572.4</v>
      </c>
      <c r="I19" s="2"/>
      <c r="J19" s="19">
        <f t="shared" si="6"/>
        <v>0.73560973102180871</v>
      </c>
      <c r="K19" s="2"/>
      <c r="L19" s="2">
        <f t="shared" si="7"/>
        <v>771.14</v>
      </c>
      <c r="M19" s="2"/>
      <c r="N19" s="19">
        <f t="shared" si="8"/>
        <v>1.3472047519217332</v>
      </c>
      <c r="O19" s="11"/>
      <c r="P19" s="2">
        <v>1356.49</v>
      </c>
      <c r="Q19" s="2"/>
      <c r="R19" s="19">
        <f t="shared" si="9"/>
        <v>0.27684542870029655</v>
      </c>
      <c r="S19" s="2"/>
      <c r="T19" s="2">
        <v>-2698.04</v>
      </c>
      <c r="U19" s="2"/>
      <c r="V19" s="19">
        <f t="shared" si="10"/>
        <v>-0.55321033573505352</v>
      </c>
      <c r="W19" s="2"/>
      <c r="X19" s="2">
        <f t="shared" si="11"/>
        <v>4054.5299999999997</v>
      </c>
      <c r="Y19" s="2"/>
      <c r="Z19" s="19">
        <f t="shared" si="12"/>
        <v>-1.5027686765207335</v>
      </c>
    </row>
    <row r="20" spans="1:26" s="24" customFormat="1" hidden="1" outlineLevel="1" x14ac:dyDescent="0.25">
      <c r="A20" s="44"/>
      <c r="B20" s="11" t="str">
        <f>CONCATENATE("          ", "5095", " - ", "PURCHASES @ COST-CUSTOMER SERV")</f>
        <v xml:space="preserve">          5095 - PURCHASES @ COST-CUSTOMER SERV</v>
      </c>
      <c r="C20" s="11"/>
      <c r="D20" s="2"/>
      <c r="E20" s="2"/>
      <c r="F20" s="19">
        <f t="shared" si="5"/>
        <v>0</v>
      </c>
      <c r="G20" s="2"/>
      <c r="H20" s="2">
        <v>-54.72</v>
      </c>
      <c r="I20" s="2"/>
      <c r="J20" s="19">
        <f t="shared" si="6"/>
        <v>-7.0322439695166619E-2</v>
      </c>
      <c r="K20" s="2"/>
      <c r="L20" s="2">
        <f t="shared" si="7"/>
        <v>54.72</v>
      </c>
      <c r="M20" s="2"/>
      <c r="N20" s="19">
        <f t="shared" si="8"/>
        <v>-1</v>
      </c>
      <c r="O20" s="11"/>
      <c r="P20" s="2">
        <v>11.85</v>
      </c>
      <c r="Q20" s="2"/>
      <c r="R20" s="19">
        <f t="shared" si="9"/>
        <v>2.4184611240027675E-3</v>
      </c>
      <c r="S20" s="2"/>
      <c r="T20" s="2">
        <v>-54.72</v>
      </c>
      <c r="U20" s="2"/>
      <c r="V20" s="19">
        <f t="shared" si="10"/>
        <v>-1.1219874268514229E-2</v>
      </c>
      <c r="W20" s="2"/>
      <c r="X20" s="2">
        <f t="shared" si="11"/>
        <v>66.569999999999993</v>
      </c>
      <c r="Y20" s="2"/>
      <c r="Z20" s="19">
        <f t="shared" si="12"/>
        <v>-1.2165570175438596</v>
      </c>
    </row>
    <row r="21" spans="1:26" s="24" customFormat="1" hidden="1" outlineLevel="1" x14ac:dyDescent="0.25">
      <c r="A21" s="44"/>
      <c r="B21" s="11" t="str">
        <f>CONCATENATE("          ", "5200", " - ", "PURCHASES OFFSET")</f>
        <v xml:space="preserve">          5200 - PURCHASES OFFSET</v>
      </c>
      <c r="C21" s="11"/>
      <c r="D21" s="2">
        <v>-1344</v>
      </c>
      <c r="E21" s="2"/>
      <c r="F21" s="19">
        <f t="shared" si="5"/>
        <v>-1.1396687837597199</v>
      </c>
      <c r="G21" s="2"/>
      <c r="H21" s="2">
        <v>-517</v>
      </c>
      <c r="I21" s="2"/>
      <c r="J21" s="19">
        <f t="shared" si="6"/>
        <v>-0.66441340135966998</v>
      </c>
      <c r="K21" s="2"/>
      <c r="L21" s="2">
        <f t="shared" si="7"/>
        <v>-827</v>
      </c>
      <c r="M21" s="2"/>
      <c r="N21" s="19">
        <f t="shared" si="8"/>
        <v>1.5996131528046422</v>
      </c>
      <c r="O21" s="11"/>
      <c r="P21" s="2">
        <v>-1440</v>
      </c>
      <c r="Q21" s="2"/>
      <c r="R21" s="19">
        <f t="shared" si="9"/>
        <v>-0.29388894671426036</v>
      </c>
      <c r="S21" s="2"/>
      <c r="T21" s="2">
        <v>2640</v>
      </c>
      <c r="U21" s="2"/>
      <c r="V21" s="19">
        <f t="shared" si="10"/>
        <v>0.54130972348094963</v>
      </c>
      <c r="W21" s="2"/>
      <c r="X21" s="2">
        <f t="shared" si="11"/>
        <v>-4080</v>
      </c>
      <c r="Y21" s="2"/>
      <c r="Z21" s="19">
        <f t="shared" si="12"/>
        <v>-1.5454545454545454</v>
      </c>
    </row>
    <row r="22" spans="1:26" s="24" customFormat="1" hidden="1" outlineLevel="1" x14ac:dyDescent="0.25">
      <c r="A22" s="44"/>
      <c r="B22" s="11" t="str">
        <f>CONCATENATE("          ", "5300", " - ", "COG$ OFFSET")</f>
        <v xml:space="preserve">          5300 - COG$ OFFSET</v>
      </c>
      <c r="C22" s="11"/>
      <c r="D22" s="2">
        <v>571</v>
      </c>
      <c r="E22" s="2"/>
      <c r="F22" s="19">
        <f t="shared" si="5"/>
        <v>0.48418963952886906</v>
      </c>
      <c r="G22" s="2"/>
      <c r="H22" s="2">
        <v>131</v>
      </c>
      <c r="I22" s="2"/>
      <c r="J22" s="19">
        <f t="shared" si="6"/>
        <v>0.16835233187256629</v>
      </c>
      <c r="K22" s="2"/>
      <c r="L22" s="2">
        <f t="shared" si="7"/>
        <v>440</v>
      </c>
      <c r="M22" s="2"/>
      <c r="N22" s="19">
        <f t="shared" si="8"/>
        <v>3.3587786259541983</v>
      </c>
      <c r="O22" s="11"/>
      <c r="P22" s="2">
        <v>2463</v>
      </c>
      <c r="Q22" s="2"/>
      <c r="R22" s="19">
        <f t="shared" si="9"/>
        <v>0.50267255260918287</v>
      </c>
      <c r="S22" s="2"/>
      <c r="T22" s="2">
        <v>1604</v>
      </c>
      <c r="U22" s="2"/>
      <c r="V22" s="19">
        <f t="shared" si="10"/>
        <v>0.32888666532706184</v>
      </c>
      <c r="W22" s="2"/>
      <c r="X22" s="2">
        <f t="shared" si="11"/>
        <v>859</v>
      </c>
      <c r="Y22" s="2"/>
      <c r="Z22" s="19">
        <f t="shared" si="12"/>
        <v>0.53553615960099754</v>
      </c>
    </row>
    <row r="23" spans="1:26" s="24" customFormat="1" hidden="1" outlineLevel="1" x14ac:dyDescent="0.25">
      <c r="A23" s="44"/>
      <c r="B23" s="11" t="str">
        <f>CONCATENATE("          ", "5592", " - ", "FREIGHT-IN-GRAD MERCH")</f>
        <v xml:space="preserve">          5592 - FREIGHT-IN-GRAD MERCH</v>
      </c>
      <c r="C23" s="11"/>
      <c r="D23" s="2"/>
      <c r="E23" s="2"/>
      <c r="F23" s="19">
        <f t="shared" si="5"/>
        <v>0</v>
      </c>
      <c r="G23" s="2"/>
      <c r="H23" s="2"/>
      <c r="I23" s="2"/>
      <c r="J23" s="19">
        <f t="shared" si="6"/>
        <v>0</v>
      </c>
      <c r="K23" s="2"/>
      <c r="L23" s="2">
        <f t="shared" si="7"/>
        <v>0</v>
      </c>
      <c r="M23" s="2"/>
      <c r="N23" s="19">
        <f t="shared" si="8"/>
        <v>0</v>
      </c>
      <c r="O23" s="11"/>
      <c r="P23" s="2">
        <v>70.78</v>
      </c>
      <c r="Q23" s="2"/>
      <c r="R23" s="19">
        <f t="shared" si="9"/>
        <v>1.4445458089191215E-2</v>
      </c>
      <c r="S23" s="2"/>
      <c r="T23" s="2">
        <v>114.3</v>
      </c>
      <c r="U23" s="2"/>
      <c r="V23" s="19">
        <f t="shared" si="10"/>
        <v>2.3436250527982025E-2</v>
      </c>
      <c r="W23" s="2"/>
      <c r="X23" s="2">
        <f t="shared" si="11"/>
        <v>-43.519999999999996</v>
      </c>
      <c r="Y23" s="2"/>
      <c r="Z23" s="19">
        <f t="shared" si="12"/>
        <v>-0.3807524059492563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1">
        <f>D12-D18</f>
        <v>608.75</v>
      </c>
      <c r="E25" s="14"/>
      <c r="F25" s="22">
        <f>IF(D$12=0,0,D25/D$12)</f>
        <v>0.51620042567985824</v>
      </c>
      <c r="G25" s="14"/>
      <c r="H25" s="21">
        <f>H12-H18</f>
        <v>646.45000000000005</v>
      </c>
      <c r="I25" s="14"/>
      <c r="J25" s="22">
        <f>IF(H$12=0,0,H25/H$12)</f>
        <v>0.83077377816046172</v>
      </c>
      <c r="K25" s="16"/>
      <c r="L25" s="21">
        <f>+D25-H25</f>
        <v>-37.700000000000045</v>
      </c>
      <c r="M25" s="16"/>
      <c r="N25" s="22">
        <f>IF(H25=0,0,L25/H25)</f>
        <v>-5.8318508778714584E-2</v>
      </c>
      <c r="O25" s="29"/>
      <c r="P25" s="21">
        <f>P12-P18</f>
        <v>2437.6899999999991</v>
      </c>
      <c r="Q25" s="14"/>
      <c r="R25" s="22">
        <f>IF(P$12=0,0,P25/P$12)</f>
        <v>0.49750704619158692</v>
      </c>
      <c r="S25" s="14"/>
      <c r="T25" s="21">
        <f>T12-T18</f>
        <v>3271.5199999999995</v>
      </c>
      <c r="U25" s="14"/>
      <c r="V25" s="22">
        <f>IF(T$12=0,0,T25/T$12)</f>
        <v>0.67079757066757428</v>
      </c>
      <c r="W25" s="16"/>
      <c r="X25" s="21">
        <f>+P25-T25</f>
        <v>-833.83000000000038</v>
      </c>
      <c r="Y25" s="16"/>
      <c r="Z25" s="22">
        <f>IF(T25=0,0,X25/T25)</f>
        <v>-0.25487540959553984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0">
        <f>SUM(OSRRefD22x_0)</f>
        <v>1041.18</v>
      </c>
      <c r="E27" s="20"/>
      <c r="F27" s="35">
        <f t="shared" ref="F27:F35" si="13">IF(D$12=0,0,D27/D$12)</f>
        <v>0.88288716091885799</v>
      </c>
      <c r="G27" s="20"/>
      <c r="H27" s="20">
        <f>SUM(OSRRefH22x_0)</f>
        <v>5912.43</v>
      </c>
      <c r="I27" s="20"/>
      <c r="J27" s="35">
        <f t="shared" ref="J27:J35" si="14">IF(H$12=0,0,H27/H$12)</f>
        <v>7.5982547903306648</v>
      </c>
      <c r="K27" s="4"/>
      <c r="L27" s="20">
        <f t="shared" ref="L27:L35" si="15">+D27-H27</f>
        <v>-4871.25</v>
      </c>
      <c r="M27" s="4"/>
      <c r="N27" s="35">
        <f t="shared" ref="N27:N35" si="16">IF(H27=0,0,L27/H27)</f>
        <v>-0.8238998178413951</v>
      </c>
      <c r="O27" s="10"/>
      <c r="P27" s="20">
        <f>SUM(OSRRefP22x_0)</f>
        <v>-301.54999999999688</v>
      </c>
      <c r="Q27" s="20"/>
      <c r="R27" s="35">
        <f t="shared" ref="R27:R35" si="17">IF(P$12=0,0,P27/P$12)</f>
        <v>-6.1543202695614099E-2</v>
      </c>
      <c r="S27" s="20"/>
      <c r="T27" s="20">
        <f>SUM(OSRRefT22x_0)</f>
        <v>7212.329999999999</v>
      </c>
      <c r="U27" s="20"/>
      <c r="V27" s="35">
        <f t="shared" ref="V27:V35" si="18">IF(T$12=0,0,T27/T$12)</f>
        <v>1.4788274083156656</v>
      </c>
      <c r="W27" s="4"/>
      <c r="X27" s="20">
        <f t="shared" ref="X27:X35" si="19">+P27-T27</f>
        <v>-7513.8799999999956</v>
      </c>
      <c r="Y27" s="4"/>
      <c r="Z27" s="35">
        <f t="shared" ref="Z27:Z35" si="20">IF(T27=0,0,X27/T27)</f>
        <v>-1.0418103442299502</v>
      </c>
    </row>
    <row r="28" spans="1:26" s="27" customFormat="1" outlineLevel="1" collapsed="1" x14ac:dyDescent="0.25">
      <c r="A28" s="25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-14.43</v>
      </c>
      <c r="E28" s="1"/>
      <c r="F28" s="5">
        <f t="shared" si="13"/>
        <v>-1.223617600420592E-2</v>
      </c>
      <c r="G28" s="1"/>
      <c r="H28" s="1">
        <f>SUM(OSRRefH22_0x_0)</f>
        <v>35</v>
      </c>
      <c r="I28" s="1"/>
      <c r="J28" s="5">
        <f t="shared" si="14"/>
        <v>4.4979630652975722E-2</v>
      </c>
      <c r="K28" s="1"/>
      <c r="L28" s="1">
        <f t="shared" si="15"/>
        <v>-49.43</v>
      </c>
      <c r="M28" s="1"/>
      <c r="N28" s="5">
        <f t="shared" si="16"/>
        <v>-1.4122857142857144</v>
      </c>
      <c r="O28" s="13"/>
      <c r="P28" s="1">
        <f>SUM(OSRRefP22_0x_0)</f>
        <v>821.29</v>
      </c>
      <c r="Q28" s="1"/>
      <c r="R28" s="5">
        <f t="shared" si="17"/>
        <v>0.16761670350482979</v>
      </c>
      <c r="S28" s="1"/>
      <c r="T28" s="1">
        <f>SUM(OSRRefT22_0x_0)</f>
        <v>42.64</v>
      </c>
      <c r="U28" s="1"/>
      <c r="V28" s="5">
        <f t="shared" si="18"/>
        <v>8.7429722004650351E-3</v>
      </c>
      <c r="W28" s="1"/>
      <c r="X28" s="1">
        <f t="shared" si="19"/>
        <v>778.65</v>
      </c>
      <c r="Y28" s="1"/>
      <c r="Z28" s="5">
        <f t="shared" si="20"/>
        <v>18.261022514071293</v>
      </c>
    </row>
    <row r="29" spans="1:26" s="24" customFormat="1" hidden="1" outlineLevel="2" x14ac:dyDescent="0.25">
      <c r="A29" s="26"/>
      <c r="B29" s="11" t="str">
        <f>CONCATENATE("          ", "6111", " - ", "F.I.C.A.")</f>
        <v xml:space="preserve">          6111 - F.I.C.A.</v>
      </c>
      <c r="C29" s="11"/>
      <c r="D29" s="6"/>
      <c r="E29" s="2"/>
      <c r="F29" s="7">
        <f t="shared" si="13"/>
        <v>0</v>
      </c>
      <c r="G29" s="2"/>
      <c r="H29" s="6">
        <v>35</v>
      </c>
      <c r="I29" s="2"/>
      <c r="J29" s="7">
        <f t="shared" si="14"/>
        <v>4.4979630652975722E-2</v>
      </c>
      <c r="K29" s="2"/>
      <c r="L29" s="6">
        <f t="shared" si="15"/>
        <v>-35</v>
      </c>
      <c r="M29" s="2"/>
      <c r="N29" s="7">
        <f t="shared" si="16"/>
        <v>-1</v>
      </c>
      <c r="O29" s="11"/>
      <c r="P29" s="6">
        <v>155.66</v>
      </c>
      <c r="Q29" s="2"/>
      <c r="R29" s="7">
        <f t="shared" si="17"/>
        <v>3.1768578781626228E-2</v>
      </c>
      <c r="S29" s="2"/>
      <c r="T29" s="6">
        <v>42.64</v>
      </c>
      <c r="U29" s="2"/>
      <c r="V29" s="7">
        <f t="shared" si="18"/>
        <v>8.7429722004650351E-3</v>
      </c>
      <c r="W29" s="2"/>
      <c r="X29" s="6">
        <f t="shared" si="19"/>
        <v>113.02</v>
      </c>
      <c r="Y29" s="2"/>
      <c r="Z29" s="7">
        <f t="shared" si="20"/>
        <v>2.6505628517823641</v>
      </c>
    </row>
    <row r="30" spans="1:26" s="24" customFormat="1" hidden="1" outlineLevel="2" x14ac:dyDescent="0.25">
      <c r="A30" s="26"/>
      <c r="B30" s="11" t="str">
        <f>CONCATENATE("          ", "6112", " - ", "COMPENSATION INSURANCE")</f>
        <v xml:space="preserve">          6112 - COMPENSATION INSURANCE</v>
      </c>
      <c r="C30" s="11"/>
      <c r="D30" s="6">
        <v>-14.43</v>
      </c>
      <c r="E30" s="2"/>
      <c r="F30" s="7">
        <f t="shared" si="13"/>
        <v>-1.223617600420592E-2</v>
      </c>
      <c r="G30" s="2"/>
      <c r="H30" s="6"/>
      <c r="I30" s="2"/>
      <c r="J30" s="7">
        <f t="shared" si="14"/>
        <v>0</v>
      </c>
      <c r="K30" s="2"/>
      <c r="L30" s="6">
        <f t="shared" si="15"/>
        <v>-14.43</v>
      </c>
      <c r="M30" s="2"/>
      <c r="N30" s="7">
        <f t="shared" si="16"/>
        <v>0</v>
      </c>
      <c r="O30" s="11"/>
      <c r="P30" s="6">
        <v>22.05</v>
      </c>
      <c r="Q30" s="2"/>
      <c r="R30" s="7">
        <f t="shared" si="17"/>
        <v>4.5001744965621126E-3</v>
      </c>
      <c r="S30" s="2"/>
      <c r="T30" s="6"/>
      <c r="U30" s="2"/>
      <c r="V30" s="7">
        <f t="shared" si="18"/>
        <v>0</v>
      </c>
      <c r="W30" s="2"/>
      <c r="X30" s="6">
        <f t="shared" si="19"/>
        <v>22.05</v>
      </c>
      <c r="Y30" s="2"/>
      <c r="Z30" s="7">
        <f t="shared" si="20"/>
        <v>0</v>
      </c>
    </row>
    <row r="31" spans="1:26" s="24" customFormat="1" hidden="1" outlineLevel="2" x14ac:dyDescent="0.25">
      <c r="A31" s="26"/>
      <c r="B31" s="11" t="str">
        <f>CONCATENATE("          ", "6113", " - ", "GROUP INSURANCE")</f>
        <v xml:space="preserve">          6113 - GROUP INSURANCE</v>
      </c>
      <c r="C31" s="11"/>
      <c r="D31" s="6"/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>
        <v>305.26</v>
      </c>
      <c r="Q31" s="2"/>
      <c r="R31" s="7">
        <f t="shared" si="17"/>
        <v>6.2300374912496612E-2</v>
      </c>
      <c r="S31" s="2"/>
      <c r="T31" s="6"/>
      <c r="U31" s="2"/>
      <c r="V31" s="7">
        <f t="shared" si="18"/>
        <v>0</v>
      </c>
      <c r="W31" s="2"/>
      <c r="X31" s="6">
        <f t="shared" si="19"/>
        <v>305.26</v>
      </c>
      <c r="Y31" s="2"/>
      <c r="Z31" s="7">
        <f t="shared" si="20"/>
        <v>0</v>
      </c>
    </row>
    <row r="32" spans="1:26" s="24" customFormat="1" hidden="1" outlineLevel="2" x14ac:dyDescent="0.25">
      <c r="A32" s="26"/>
      <c r="B32" s="11" t="str">
        <f>CONCATENATE("          ", "6114", " - ", "STATE UNEMPLOYMENT INSURANCE")</f>
        <v xml:space="preserve">          6114 - STATE UNEMPLOYMENT INSURANCE</v>
      </c>
      <c r="C32" s="11"/>
      <c r="D32" s="6"/>
      <c r="E32" s="2"/>
      <c r="F32" s="7">
        <f t="shared" si="13"/>
        <v>0</v>
      </c>
      <c r="G32" s="2"/>
      <c r="H32" s="6"/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>
        <v>5</v>
      </c>
      <c r="Q32" s="2"/>
      <c r="R32" s="7">
        <f t="shared" si="17"/>
        <v>1.0204477316467374E-3</v>
      </c>
      <c r="S32" s="2"/>
      <c r="T32" s="6"/>
      <c r="U32" s="2"/>
      <c r="V32" s="7">
        <f t="shared" si="18"/>
        <v>0</v>
      </c>
      <c r="W32" s="2"/>
      <c r="X32" s="6">
        <f t="shared" si="19"/>
        <v>5</v>
      </c>
      <c r="Y32" s="2"/>
      <c r="Z32" s="7">
        <f t="shared" si="20"/>
        <v>0</v>
      </c>
    </row>
    <row r="33" spans="1:26" s="24" customFormat="1" hidden="1" outlineLevel="2" x14ac:dyDescent="0.25">
      <c r="A33" s="26"/>
      <c r="B33" s="11" t="str">
        <f>CONCATENATE("          ", "6115", " - ", "P.E.R.S.")</f>
        <v xml:space="preserve">          6115 - P.E.R.S.</v>
      </c>
      <c r="C33" s="11"/>
      <c r="D33" s="6"/>
      <c r="E33" s="2"/>
      <c r="F33" s="7">
        <f t="shared" si="13"/>
        <v>0</v>
      </c>
      <c r="G33" s="2"/>
      <c r="H33" s="6"/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>
        <v>134.12</v>
      </c>
      <c r="Q33" s="2"/>
      <c r="R33" s="7">
        <f t="shared" si="17"/>
        <v>2.7372489953692087E-2</v>
      </c>
      <c r="S33" s="2"/>
      <c r="T33" s="6"/>
      <c r="U33" s="2"/>
      <c r="V33" s="7">
        <f t="shared" si="18"/>
        <v>0</v>
      </c>
      <c r="W33" s="2"/>
      <c r="X33" s="6">
        <f t="shared" si="19"/>
        <v>134.12</v>
      </c>
      <c r="Y33" s="2"/>
      <c r="Z33" s="7">
        <f t="shared" si="20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/>
      <c r="E34" s="2"/>
      <c r="F34" s="7">
        <f t="shared" si="13"/>
        <v>0</v>
      </c>
      <c r="G34" s="2"/>
      <c r="H34" s="6"/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>
        <v>110.64</v>
      </c>
      <c r="Q34" s="2"/>
      <c r="R34" s="7">
        <f t="shared" si="17"/>
        <v>2.2580467405879007E-2</v>
      </c>
      <c r="S34" s="2"/>
      <c r="T34" s="6"/>
      <c r="U34" s="2"/>
      <c r="V34" s="7">
        <f t="shared" si="18"/>
        <v>0</v>
      </c>
      <c r="W34" s="2"/>
      <c r="X34" s="6">
        <f t="shared" si="19"/>
        <v>110.64</v>
      </c>
      <c r="Y34" s="2"/>
      <c r="Z34" s="7">
        <f t="shared" si="20"/>
        <v>0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/>
      <c r="E35" s="2"/>
      <c r="F35" s="7">
        <f t="shared" si="13"/>
        <v>0</v>
      </c>
      <c r="G35" s="2"/>
      <c r="H35" s="6"/>
      <c r="I35" s="2"/>
      <c r="J35" s="7">
        <f t="shared" si="14"/>
        <v>0</v>
      </c>
      <c r="K35" s="2"/>
      <c r="L35" s="6">
        <f t="shared" si="15"/>
        <v>0</v>
      </c>
      <c r="M35" s="2"/>
      <c r="N35" s="7">
        <f t="shared" si="16"/>
        <v>0</v>
      </c>
      <c r="O35" s="11"/>
      <c r="P35" s="6">
        <v>88.56</v>
      </c>
      <c r="Q35" s="2"/>
      <c r="R35" s="7">
        <f t="shared" si="17"/>
        <v>1.8074170222927014E-2</v>
      </c>
      <c r="S35" s="2"/>
      <c r="T35" s="6"/>
      <c r="U35" s="2"/>
      <c r="V35" s="7">
        <f t="shared" si="18"/>
        <v>0</v>
      </c>
      <c r="W35" s="2"/>
      <c r="X35" s="6">
        <f t="shared" si="19"/>
        <v>88.56</v>
      </c>
      <c r="Y35" s="2"/>
      <c r="Z35" s="7">
        <f t="shared" si="20"/>
        <v>0</v>
      </c>
    </row>
    <row r="36" spans="1:26" s="27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0</v>
      </c>
      <c r="E36" s="1"/>
      <c r="F36" s="5">
        <f t="shared" ref="F36:F39" si="21">IF(D$12=0,0,D36/D$12)</f>
        <v>0</v>
      </c>
      <c r="G36" s="1"/>
      <c r="H36" s="1">
        <f>SUM(OSRRefH22_1x_0)</f>
        <v>457.56</v>
      </c>
      <c r="I36" s="1"/>
      <c r="J36" s="5">
        <f t="shared" ref="J36:J39" si="22">IF(H$12=0,0,H36/H$12)</f>
        <v>0.58802513718787353</v>
      </c>
      <c r="K36" s="1"/>
      <c r="L36" s="1">
        <f t="shared" ref="L36:L39" si="23">+D36-H36</f>
        <v>-457.56</v>
      </c>
      <c r="M36" s="1"/>
      <c r="N36" s="5">
        <f t="shared" ref="N36:N39" si="24">IF(H36=0,0,L36/H36)</f>
        <v>-1</v>
      </c>
      <c r="O36" s="13"/>
      <c r="P36" s="1">
        <f>SUM(OSRRefP22_1x_0)</f>
        <v>1986.7399999999998</v>
      </c>
      <c r="Q36" s="1"/>
      <c r="R36" s="5">
        <f t="shared" ref="R36:R39" si="25">IF(P$12=0,0,P36/P$12)</f>
        <v>0.40547286527436777</v>
      </c>
      <c r="S36" s="1"/>
      <c r="T36" s="1">
        <f>SUM(OSRRefT22_1x_0)</f>
        <v>557.44000000000005</v>
      </c>
      <c r="U36" s="1"/>
      <c r="V36" s="5">
        <f t="shared" ref="V36:V39" si="26">IF(T$12=0,0,T36/T$12)</f>
        <v>0.11429836827925023</v>
      </c>
      <c r="W36" s="1"/>
      <c r="X36" s="1">
        <f t="shared" ref="X36:X39" si="27">+P36-T36</f>
        <v>1429.2999999999997</v>
      </c>
      <c r="Y36" s="1"/>
      <c r="Z36" s="5">
        <f t="shared" ref="Z36:Z39" si="28">IF(T36=0,0,X36/T36)</f>
        <v>2.5640427669345573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457.56</v>
      </c>
      <c r="I37" s="2"/>
      <c r="J37" s="7">
        <f t="shared" si="22"/>
        <v>0.58802513718787353</v>
      </c>
      <c r="K37" s="2"/>
      <c r="L37" s="6">
        <f t="shared" si="23"/>
        <v>-457.56</v>
      </c>
      <c r="M37" s="2"/>
      <c r="N37" s="7">
        <f t="shared" si="24"/>
        <v>-1</v>
      </c>
      <c r="O37" s="11"/>
      <c r="P37" s="6">
        <v>1872</v>
      </c>
      <c r="Q37" s="2"/>
      <c r="R37" s="7">
        <f t="shared" si="25"/>
        <v>0.38205563072853849</v>
      </c>
      <c r="S37" s="2"/>
      <c r="T37" s="6">
        <v>457.56</v>
      </c>
      <c r="U37" s="2"/>
      <c r="V37" s="7">
        <f t="shared" si="26"/>
        <v>9.3818817074220962E-2</v>
      </c>
      <c r="W37" s="2"/>
      <c r="X37" s="6">
        <f t="shared" si="27"/>
        <v>1414.44</v>
      </c>
      <c r="Y37" s="2"/>
      <c r="Z37" s="7">
        <f t="shared" si="28"/>
        <v>3.0912667191188041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>
        <v>57.37</v>
      </c>
      <c r="Q38" s="2"/>
      <c r="R38" s="7">
        <f t="shared" si="25"/>
        <v>1.1708617272914664E-2</v>
      </c>
      <c r="S38" s="2"/>
      <c r="T38" s="6"/>
      <c r="U38" s="2"/>
      <c r="V38" s="7">
        <f t="shared" si="26"/>
        <v>0</v>
      </c>
      <c r="W38" s="2"/>
      <c r="X38" s="6">
        <f t="shared" si="27"/>
        <v>57.37</v>
      </c>
      <c r="Y38" s="2"/>
      <c r="Z38" s="7">
        <f t="shared" si="28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1"/>
        <v>0</v>
      </c>
      <c r="G39" s="2"/>
      <c r="H39" s="6"/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>
        <v>57.37</v>
      </c>
      <c r="Q39" s="2"/>
      <c r="R39" s="7">
        <f t="shared" si="25"/>
        <v>1.1708617272914664E-2</v>
      </c>
      <c r="S39" s="2"/>
      <c r="T39" s="6">
        <v>99.88</v>
      </c>
      <c r="U39" s="2"/>
      <c r="V39" s="7">
        <f t="shared" si="26"/>
        <v>2.047955120502926E-2</v>
      </c>
      <c r="W39" s="2"/>
      <c r="X39" s="6">
        <f t="shared" si="27"/>
        <v>-42.51</v>
      </c>
      <c r="Y39" s="2"/>
      <c r="Z39" s="7">
        <f t="shared" si="28"/>
        <v>-0.42561073287945533</v>
      </c>
    </row>
    <row r="40" spans="1:26" s="27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46" si="29">IF(D$12=0,0,D40/D$12)</f>
        <v>0</v>
      </c>
      <c r="G40" s="1"/>
      <c r="H40" s="1">
        <f>SUM(OSRRefH22_2x_0)</f>
        <v>0</v>
      </c>
      <c r="I40" s="1"/>
      <c r="J40" s="5">
        <f t="shared" ref="J40:J46" si="30">IF(H$12=0,0,H40/H$12)</f>
        <v>0</v>
      </c>
      <c r="K40" s="1"/>
      <c r="L40" s="1">
        <f t="shared" ref="L40:L46" si="31">+D40-H40</f>
        <v>0</v>
      </c>
      <c r="M40" s="1"/>
      <c r="N40" s="5">
        <f t="shared" ref="N40:N46" si="32">IF(H40=0,0,L40/H40)</f>
        <v>0</v>
      </c>
      <c r="O40" s="13"/>
      <c r="P40" s="1">
        <f>SUM(OSRRefP22_2x_0)</f>
        <v>-857.46</v>
      </c>
      <c r="Q40" s="1"/>
      <c r="R40" s="5">
        <f t="shared" ref="R40:R46" si="33">IF(P$12=0,0,P40/P$12)</f>
        <v>-0.1749986223955623</v>
      </c>
      <c r="S40" s="1"/>
      <c r="T40" s="1">
        <f>SUM(OSRRefT22_2x_0)</f>
        <v>0</v>
      </c>
      <c r="U40" s="1"/>
      <c r="V40" s="5">
        <f t="shared" ref="V40:V46" si="34">IF(T$12=0,0,T40/T$12)</f>
        <v>0</v>
      </c>
      <c r="W40" s="1"/>
      <c r="X40" s="1">
        <f t="shared" ref="X40:X46" si="35">+P40-T40</f>
        <v>-857.46</v>
      </c>
      <c r="Y40" s="1"/>
      <c r="Z40" s="5">
        <f t="shared" ref="Z40:Z46" si="36">IF(T40=0,0,X40/T40)</f>
        <v>0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29"/>
        <v>0</v>
      </c>
      <c r="G41" s="2"/>
      <c r="H41" s="6"/>
      <c r="I41" s="2"/>
      <c r="J41" s="7">
        <f t="shared" si="30"/>
        <v>0</v>
      </c>
      <c r="K41" s="2"/>
      <c r="L41" s="6">
        <f t="shared" si="31"/>
        <v>0</v>
      </c>
      <c r="M41" s="2"/>
      <c r="N41" s="7">
        <f t="shared" si="32"/>
        <v>0</v>
      </c>
      <c r="O41" s="11"/>
      <c r="P41" s="6">
        <v>-857.46</v>
      </c>
      <c r="Q41" s="2"/>
      <c r="R41" s="7">
        <f t="shared" si="33"/>
        <v>-0.1749986223955623</v>
      </c>
      <c r="S41" s="2"/>
      <c r="T41" s="6"/>
      <c r="U41" s="2"/>
      <c r="V41" s="7">
        <f t="shared" si="34"/>
        <v>0</v>
      </c>
      <c r="W41" s="2"/>
      <c r="X41" s="6">
        <f t="shared" si="35"/>
        <v>-857.46</v>
      </c>
      <c r="Y41" s="2"/>
      <c r="Z41" s="7">
        <f t="shared" si="36"/>
        <v>0</v>
      </c>
    </row>
    <row r="42" spans="1:26" s="27" customFormat="1" outlineLevel="1" collapsed="1" x14ac:dyDescent="0.25">
      <c r="A42" s="25"/>
      <c r="B42" s="13" t="str">
        <f>CONCATENATE("     ","Discounts and Markdowns                           ")</f>
        <v xml:space="preserve">     Discounts and Markdowns                           </v>
      </c>
      <c r="C42" s="13"/>
      <c r="D42" s="1">
        <f>SUM(OSRRefD22_3x_0)</f>
        <v>233.7</v>
      </c>
      <c r="E42" s="1"/>
      <c r="F42" s="5">
        <f t="shared" si="29"/>
        <v>0.19817008539036199</v>
      </c>
      <c r="G42" s="1"/>
      <c r="H42" s="1">
        <f>SUM(OSRRefH22_3x_0)</f>
        <v>84.57</v>
      </c>
      <c r="I42" s="1"/>
      <c r="J42" s="5">
        <f t="shared" si="30"/>
        <v>0.10868363898063305</v>
      </c>
      <c r="K42" s="1"/>
      <c r="L42" s="1">
        <f t="shared" si="31"/>
        <v>149.13</v>
      </c>
      <c r="M42" s="1"/>
      <c r="N42" s="5">
        <f t="shared" si="32"/>
        <v>1.7633912735012416</v>
      </c>
      <c r="O42" s="13"/>
      <c r="P42" s="1">
        <f>SUM(OSRRefP22_3x_0)</f>
        <v>238.95</v>
      </c>
      <c r="Q42" s="1"/>
      <c r="R42" s="5">
        <f t="shared" si="33"/>
        <v>4.8767197095397577E-2</v>
      </c>
      <c r="S42" s="1"/>
      <c r="T42" s="1">
        <f>SUM(OSRRefT22_3x_0)</f>
        <v>134.06</v>
      </c>
      <c r="U42" s="1"/>
      <c r="V42" s="5">
        <f t="shared" si="34"/>
        <v>2.7487871791612162E-2</v>
      </c>
      <c r="W42" s="1"/>
      <c r="X42" s="1">
        <f t="shared" si="35"/>
        <v>104.88999999999999</v>
      </c>
      <c r="Y42" s="1"/>
      <c r="Z42" s="5">
        <f t="shared" si="36"/>
        <v>0.78241086080859301</v>
      </c>
    </row>
    <row r="43" spans="1:26" s="24" customFormat="1" hidden="1" outlineLevel="2" x14ac:dyDescent="0.25">
      <c r="A43" s="26"/>
      <c r="B43" s="11" t="str">
        <f>CONCATENATE("          ", "6382", " - ", "DISCOUNTS/MARK DOWNS")</f>
        <v xml:space="preserve">          6382 - DISCOUNTS/MARK DOWNS</v>
      </c>
      <c r="C43" s="11"/>
      <c r="D43" s="6">
        <v>233.7</v>
      </c>
      <c r="E43" s="2"/>
      <c r="F43" s="7">
        <f t="shared" si="29"/>
        <v>0.19817008539036199</v>
      </c>
      <c r="G43" s="2"/>
      <c r="H43" s="6">
        <v>84.57</v>
      </c>
      <c r="I43" s="2"/>
      <c r="J43" s="7">
        <f t="shared" si="30"/>
        <v>0.10868363898063305</v>
      </c>
      <c r="K43" s="2"/>
      <c r="L43" s="6">
        <f t="shared" si="31"/>
        <v>149.13</v>
      </c>
      <c r="M43" s="2"/>
      <c r="N43" s="7">
        <f t="shared" si="32"/>
        <v>1.7633912735012416</v>
      </c>
      <c r="O43" s="11"/>
      <c r="P43" s="6">
        <v>238.95</v>
      </c>
      <c r="Q43" s="2"/>
      <c r="R43" s="7">
        <f t="shared" si="33"/>
        <v>4.8767197095397577E-2</v>
      </c>
      <c r="S43" s="2"/>
      <c r="T43" s="6">
        <v>134.06</v>
      </c>
      <c r="U43" s="2"/>
      <c r="V43" s="7">
        <f t="shared" si="34"/>
        <v>2.7487871791612162E-2</v>
      </c>
      <c r="W43" s="2"/>
      <c r="X43" s="6">
        <f t="shared" si="35"/>
        <v>104.88999999999999</v>
      </c>
      <c r="Y43" s="2"/>
      <c r="Z43" s="7">
        <f t="shared" si="36"/>
        <v>0.78241086080859301</v>
      </c>
    </row>
    <row r="44" spans="1:26" s="27" customFormat="1" outlineLevel="1" collapsed="1" x14ac:dyDescent="0.25">
      <c r="A44" s="25"/>
      <c r="B44" s="13" t="str">
        <f>CONCATENATE("     ","Freight out/Postage                               ")</f>
        <v xml:space="preserve">     Freight out/Postage                               </v>
      </c>
      <c r="C44" s="13"/>
      <c r="D44" s="1">
        <f>SUM(OSRRefD22_4x_0)</f>
        <v>234.75</v>
      </c>
      <c r="E44" s="1"/>
      <c r="F44" s="5">
        <f t="shared" si="29"/>
        <v>0.19906045162767427</v>
      </c>
      <c r="G44" s="1"/>
      <c r="H44" s="1">
        <f>SUM(OSRRefH22_4x_0)</f>
        <v>2830.2300000000005</v>
      </c>
      <c r="I44" s="1"/>
      <c r="J44" s="5">
        <f t="shared" si="30"/>
        <v>3.6372200017991858</v>
      </c>
      <c r="K44" s="1"/>
      <c r="L44" s="1">
        <f t="shared" si="31"/>
        <v>-2595.4800000000005</v>
      </c>
      <c r="M44" s="1"/>
      <c r="N44" s="5">
        <f t="shared" si="32"/>
        <v>-0.91705621097931966</v>
      </c>
      <c r="O44" s="13"/>
      <c r="P44" s="1">
        <f>SUM(OSRRefP22_4x_0)</f>
        <v>-8278.4699999999975</v>
      </c>
      <c r="Q44" s="1"/>
      <c r="R44" s="5">
        <f t="shared" si="33"/>
        <v>-1.6895491866011128</v>
      </c>
      <c r="S44" s="1"/>
      <c r="T44" s="1">
        <f>SUM(OSRRefT22_4x_0)</f>
        <v>-1176.2000000000007</v>
      </c>
      <c r="U44" s="1"/>
      <c r="V44" s="5">
        <f t="shared" si="34"/>
        <v>-0.24116988513571719</v>
      </c>
      <c r="W44" s="1"/>
      <c r="X44" s="1">
        <f t="shared" si="35"/>
        <v>-7102.2699999999968</v>
      </c>
      <c r="Y44" s="1"/>
      <c r="Z44" s="5">
        <f t="shared" si="36"/>
        <v>6.0383183132120326</v>
      </c>
    </row>
    <row r="45" spans="1:26" s="24" customFormat="1" hidden="1" outlineLevel="2" x14ac:dyDescent="0.25">
      <c r="A45" s="26"/>
      <c r="B45" s="11" t="str">
        <f>CONCATENATE("          ", "6305", " - ", "FREIGHT OUT")</f>
        <v xml:space="preserve">          6305 - FREIGHT OUT</v>
      </c>
      <c r="C45" s="11"/>
      <c r="D45" s="6">
        <v>3195.83</v>
      </c>
      <c r="E45" s="2"/>
      <c r="F45" s="7">
        <f t="shared" si="29"/>
        <v>2.7099610782759118</v>
      </c>
      <c r="G45" s="2"/>
      <c r="H45" s="6">
        <v>4542.3</v>
      </c>
      <c r="I45" s="2"/>
      <c r="J45" s="7">
        <f t="shared" si="30"/>
        <v>5.8374564661431894</v>
      </c>
      <c r="K45" s="2"/>
      <c r="L45" s="6">
        <f t="shared" si="31"/>
        <v>-1346.4700000000003</v>
      </c>
      <c r="M45" s="2"/>
      <c r="N45" s="7">
        <f t="shared" si="32"/>
        <v>-0.29642912181053654</v>
      </c>
      <c r="O45" s="11"/>
      <c r="P45" s="6">
        <v>15325.150000000001</v>
      </c>
      <c r="Q45" s="2"/>
      <c r="R45" s="7">
        <f t="shared" si="33"/>
        <v>3.1277029109291998</v>
      </c>
      <c r="S45" s="2"/>
      <c r="T45" s="6">
        <v>18978.68</v>
      </c>
      <c r="U45" s="2"/>
      <c r="V45" s="7">
        <f t="shared" si="34"/>
        <v>3.891418190467208</v>
      </c>
      <c r="W45" s="2"/>
      <c r="X45" s="6">
        <f t="shared" si="35"/>
        <v>-3653.5299999999988</v>
      </c>
      <c r="Y45" s="2"/>
      <c r="Z45" s="7">
        <f t="shared" si="36"/>
        <v>-0.19250706582333432</v>
      </c>
    </row>
    <row r="46" spans="1:26" s="24" customFormat="1" hidden="1" outlineLevel="2" x14ac:dyDescent="0.25">
      <c r="A46" s="26"/>
      <c r="B46" s="11" t="str">
        <f>CONCATENATE("          ", "6307", " - ", "POSTAGE")</f>
        <v xml:space="preserve">          6307 - POSTAGE</v>
      </c>
      <c r="C46" s="11"/>
      <c r="D46" s="6">
        <v>-2961.08</v>
      </c>
      <c r="E46" s="2"/>
      <c r="F46" s="7">
        <f t="shared" si="29"/>
        <v>-2.5109006266482377</v>
      </c>
      <c r="G46" s="2"/>
      <c r="H46" s="6">
        <v>-1712.07</v>
      </c>
      <c r="I46" s="2"/>
      <c r="J46" s="7">
        <f t="shared" si="30"/>
        <v>-2.200236464344004</v>
      </c>
      <c r="K46" s="2"/>
      <c r="L46" s="6">
        <f t="shared" si="31"/>
        <v>-1249.01</v>
      </c>
      <c r="M46" s="2"/>
      <c r="N46" s="7">
        <f t="shared" si="32"/>
        <v>0.72953208688897064</v>
      </c>
      <c r="O46" s="11"/>
      <c r="P46" s="6">
        <v>-23603.62</v>
      </c>
      <c r="Q46" s="2"/>
      <c r="R46" s="7">
        <f t="shared" si="33"/>
        <v>-4.8172520975303126</v>
      </c>
      <c r="S46" s="2"/>
      <c r="T46" s="6">
        <v>-20154.88</v>
      </c>
      <c r="U46" s="2"/>
      <c r="V46" s="7">
        <f t="shared" si="34"/>
        <v>-4.132588075602925</v>
      </c>
      <c r="W46" s="2"/>
      <c r="X46" s="6">
        <f t="shared" si="35"/>
        <v>-3448.739999999998</v>
      </c>
      <c r="Y46" s="2"/>
      <c r="Z46" s="7">
        <f t="shared" si="36"/>
        <v>0.1711119093738091</v>
      </c>
    </row>
    <row r="47" spans="1:26" s="27" customFormat="1" outlineLevel="1" collapsed="1" x14ac:dyDescent="0.25">
      <c r="A47" s="25"/>
      <c r="B47" s="13" t="str">
        <f>CONCATENATE("     ","General                                           ")</f>
        <v xml:space="preserve">     General                                           </v>
      </c>
      <c r="C47" s="13"/>
      <c r="D47" s="1">
        <f>SUM(OSRRefD22_5x_0)</f>
        <v>0</v>
      </c>
      <c r="E47" s="1"/>
      <c r="F47" s="5">
        <f t="shared" ref="F47:F53" si="37">IF(D$12=0,0,D47/D$12)</f>
        <v>0</v>
      </c>
      <c r="G47" s="1"/>
      <c r="H47" s="1">
        <f>SUM(OSRRefH22_5x_0)</f>
        <v>0</v>
      </c>
      <c r="I47" s="1"/>
      <c r="J47" s="5">
        <f t="shared" ref="J47:J53" si="38">IF(H$12=0,0,H47/H$12)</f>
        <v>0</v>
      </c>
      <c r="K47" s="1"/>
      <c r="L47" s="1">
        <f t="shared" ref="L47:L53" si="39">+D47-H47</f>
        <v>0</v>
      </c>
      <c r="M47" s="1"/>
      <c r="N47" s="5">
        <f t="shared" ref="N47:N53" si="40">IF(H47=0,0,L47/H47)</f>
        <v>0</v>
      </c>
      <c r="O47" s="13"/>
      <c r="P47" s="1">
        <f>SUM(OSRRefP22_5x_0)</f>
        <v>80.17</v>
      </c>
      <c r="Q47" s="1"/>
      <c r="R47" s="5">
        <f t="shared" ref="R47:R53" si="41">IF(P$12=0,0,P47/P$12)</f>
        <v>1.6361858929223788E-2</v>
      </c>
      <c r="S47" s="1"/>
      <c r="T47" s="1">
        <f>SUM(OSRRefT22_5x_0)</f>
        <v>83.47</v>
      </c>
      <c r="U47" s="1"/>
      <c r="V47" s="5">
        <f t="shared" ref="V47:V53" si="42">IF(T$12=0,0,T47/T$12)</f>
        <v>1.7114819173846541E-2</v>
      </c>
      <c r="W47" s="1"/>
      <c r="X47" s="1">
        <f t="shared" ref="X47:X53" si="43">+P47-T47</f>
        <v>-3.2999999999999972</v>
      </c>
      <c r="Y47" s="1"/>
      <c r="Z47" s="5">
        <f t="shared" ref="Z47:Z53" si="44">IF(T47=0,0,X47/T47)</f>
        <v>-3.9535162333772578E-2</v>
      </c>
    </row>
    <row r="48" spans="1:26" s="24" customFormat="1" hidden="1" outlineLevel="2" x14ac:dyDescent="0.25">
      <c r="A48" s="26"/>
      <c r="B48" s="11" t="str">
        <f>CONCATENATE("          ", "6279", " - ", "GENERAL EXPENSE")</f>
        <v xml:space="preserve">          6279 - GENERAL EXPENSE</v>
      </c>
      <c r="C48" s="11"/>
      <c r="D48" s="6"/>
      <c r="E48" s="2"/>
      <c r="F48" s="7">
        <f t="shared" si="37"/>
        <v>0</v>
      </c>
      <c r="G48" s="2"/>
      <c r="H48" s="6"/>
      <c r="I48" s="2"/>
      <c r="J48" s="7">
        <f t="shared" si="38"/>
        <v>0</v>
      </c>
      <c r="K48" s="2"/>
      <c r="L48" s="6">
        <f t="shared" si="39"/>
        <v>0</v>
      </c>
      <c r="M48" s="2"/>
      <c r="N48" s="7">
        <f t="shared" si="40"/>
        <v>0</v>
      </c>
      <c r="O48" s="11"/>
      <c r="P48" s="6">
        <v>80.17</v>
      </c>
      <c r="Q48" s="2"/>
      <c r="R48" s="7">
        <f t="shared" si="41"/>
        <v>1.6361858929223788E-2</v>
      </c>
      <c r="S48" s="2"/>
      <c r="T48" s="6">
        <v>83.47</v>
      </c>
      <c r="U48" s="2"/>
      <c r="V48" s="7">
        <f t="shared" si="42"/>
        <v>1.7114819173846541E-2</v>
      </c>
      <c r="W48" s="2"/>
      <c r="X48" s="6">
        <f t="shared" si="43"/>
        <v>-3.2999999999999972</v>
      </c>
      <c r="Y48" s="2"/>
      <c r="Z48" s="7">
        <f t="shared" si="44"/>
        <v>-3.9535162333772578E-2</v>
      </c>
    </row>
    <row r="49" spans="1:26" s="27" customFormat="1" outlineLevel="1" collapsed="1" x14ac:dyDescent="0.25">
      <c r="A49" s="25"/>
      <c r="B49" s="13" t="str">
        <f>CONCATENATE("     ","Inventory Adjustment                              ")</f>
        <v xml:space="preserve">     Inventory Adjustment                              </v>
      </c>
      <c r="C49" s="13"/>
      <c r="D49" s="1">
        <f>SUM(OSRRefD22_6x_0)</f>
        <v>100</v>
      </c>
      <c r="E49" s="1"/>
      <c r="F49" s="5">
        <f t="shared" si="37"/>
        <v>8.4796784505931533E-2</v>
      </c>
      <c r="G49" s="1"/>
      <c r="H49" s="1">
        <f>SUM(OSRRefH22_6x_0)</f>
        <v>100</v>
      </c>
      <c r="I49" s="1"/>
      <c r="J49" s="5">
        <f t="shared" si="38"/>
        <v>0.12851323043707349</v>
      </c>
      <c r="K49" s="1"/>
      <c r="L49" s="1">
        <f t="shared" si="39"/>
        <v>0</v>
      </c>
      <c r="M49" s="1"/>
      <c r="N49" s="5">
        <f t="shared" si="40"/>
        <v>0</v>
      </c>
      <c r="O49" s="13"/>
      <c r="P49" s="1">
        <f>SUM(OSRRefP22_6x_0)</f>
        <v>300</v>
      </c>
      <c r="Q49" s="1"/>
      <c r="R49" s="5">
        <f t="shared" si="41"/>
        <v>6.1226863898804246E-2</v>
      </c>
      <c r="S49" s="1"/>
      <c r="T49" s="1">
        <f>SUM(OSRRefT22_6x_0)</f>
        <v>400</v>
      </c>
      <c r="U49" s="1"/>
      <c r="V49" s="5">
        <f t="shared" si="42"/>
        <v>8.2016624769840854E-2</v>
      </c>
      <c r="W49" s="1"/>
      <c r="X49" s="1">
        <f t="shared" si="43"/>
        <v>-100</v>
      </c>
      <c r="Y49" s="1"/>
      <c r="Z49" s="5">
        <f t="shared" si="44"/>
        <v>-0.25</v>
      </c>
    </row>
    <row r="50" spans="1:26" s="24" customFormat="1" hidden="1" outlineLevel="2" x14ac:dyDescent="0.25">
      <c r="A50" s="26"/>
      <c r="B50" s="11" t="str">
        <f>CONCATENATE("          ", "6408", " - ", "INVENTORY ADJUSTMENT")</f>
        <v xml:space="preserve">          6408 - INVENTORY ADJUSTMENT</v>
      </c>
      <c r="C50" s="11"/>
      <c r="D50" s="6">
        <v>100</v>
      </c>
      <c r="E50" s="2"/>
      <c r="F50" s="7">
        <f t="shared" si="37"/>
        <v>8.4796784505931533E-2</v>
      </c>
      <c r="G50" s="2"/>
      <c r="H50" s="6">
        <v>100</v>
      </c>
      <c r="I50" s="2"/>
      <c r="J50" s="7">
        <f t="shared" si="38"/>
        <v>0.12851323043707349</v>
      </c>
      <c r="K50" s="2"/>
      <c r="L50" s="6">
        <f t="shared" si="39"/>
        <v>0</v>
      </c>
      <c r="M50" s="2"/>
      <c r="N50" s="7">
        <f t="shared" si="40"/>
        <v>0</v>
      </c>
      <c r="O50" s="11"/>
      <c r="P50" s="6">
        <v>300</v>
      </c>
      <c r="Q50" s="2"/>
      <c r="R50" s="7">
        <f t="shared" si="41"/>
        <v>6.1226863898804246E-2</v>
      </c>
      <c r="S50" s="2"/>
      <c r="T50" s="6">
        <v>400</v>
      </c>
      <c r="U50" s="2"/>
      <c r="V50" s="7">
        <f t="shared" si="42"/>
        <v>8.2016624769840854E-2</v>
      </c>
      <c r="W50" s="2"/>
      <c r="X50" s="6">
        <f t="shared" si="43"/>
        <v>-100</v>
      </c>
      <c r="Y50" s="2"/>
      <c r="Z50" s="7">
        <f t="shared" si="44"/>
        <v>-0.25</v>
      </c>
    </row>
    <row r="51" spans="1:26" s="27" customFormat="1" outlineLevel="1" collapsed="1" x14ac:dyDescent="0.25">
      <c r="A51" s="25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400.86</v>
      </c>
      <c r="E51" s="1"/>
      <c r="F51" s="5">
        <f t="shared" si="37"/>
        <v>0.33991639037047716</v>
      </c>
      <c r="G51" s="1"/>
      <c r="H51" s="1">
        <f>SUM(OSRRefH22_7x_0)</f>
        <v>2247.67</v>
      </c>
      <c r="I51" s="1"/>
      <c r="J51" s="5">
        <f t="shared" si="38"/>
        <v>2.8885533265649701</v>
      </c>
      <c r="K51" s="1"/>
      <c r="L51" s="1">
        <f t="shared" si="39"/>
        <v>-1846.81</v>
      </c>
      <c r="M51" s="1"/>
      <c r="N51" s="5">
        <f t="shared" si="40"/>
        <v>-0.82165531416978466</v>
      </c>
      <c r="O51" s="13"/>
      <c r="P51" s="1">
        <f>SUM(OSRRefP22_7x_0)</f>
        <v>5174.63</v>
      </c>
      <c r="Q51" s="1"/>
      <c r="R51" s="5">
        <f t="shared" si="41"/>
        <v>1.0560878891222314</v>
      </c>
      <c r="S51" s="1"/>
      <c r="T51" s="1">
        <f>SUM(OSRRefT22_7x_0)</f>
        <v>6471.52</v>
      </c>
      <c r="U51" s="1"/>
      <c r="V51" s="5">
        <f t="shared" si="42"/>
        <v>1.3269305688263013</v>
      </c>
      <c r="W51" s="1"/>
      <c r="X51" s="1">
        <f t="shared" si="43"/>
        <v>-1296.8900000000003</v>
      </c>
      <c r="Y51" s="1"/>
      <c r="Z51" s="5">
        <f t="shared" si="44"/>
        <v>-0.20039959700348609</v>
      </c>
    </row>
    <row r="52" spans="1:26" s="24" customFormat="1" hidden="1" outlineLevel="2" x14ac:dyDescent="0.25">
      <c r="A52" s="26"/>
      <c r="B52" s="11" t="str">
        <f>CONCATENATE("          ", "6241", " - ", "OFFICE EXPENSE")</f>
        <v xml:space="preserve">          6241 - OFFICE EXPENSE</v>
      </c>
      <c r="C52" s="11"/>
      <c r="D52" s="6"/>
      <c r="E52" s="2"/>
      <c r="F52" s="7">
        <f t="shared" si="37"/>
        <v>0</v>
      </c>
      <c r="G52" s="2"/>
      <c r="H52" s="6"/>
      <c r="I52" s="2"/>
      <c r="J52" s="7">
        <f t="shared" si="38"/>
        <v>0</v>
      </c>
      <c r="K52" s="2"/>
      <c r="L52" s="6">
        <f t="shared" si="39"/>
        <v>0</v>
      </c>
      <c r="M52" s="2"/>
      <c r="N52" s="7">
        <f t="shared" si="40"/>
        <v>0</v>
      </c>
      <c r="O52" s="11"/>
      <c r="P52" s="6">
        <v>115.02</v>
      </c>
      <c r="Q52" s="2"/>
      <c r="R52" s="7">
        <f t="shared" si="41"/>
        <v>2.3474379618801548E-2</v>
      </c>
      <c r="S52" s="2"/>
      <c r="T52" s="6">
        <v>1.59</v>
      </c>
      <c r="U52" s="2"/>
      <c r="V52" s="7">
        <f t="shared" si="42"/>
        <v>3.2601608346011744E-4</v>
      </c>
      <c r="W52" s="2"/>
      <c r="X52" s="6">
        <f t="shared" si="43"/>
        <v>113.42999999999999</v>
      </c>
      <c r="Y52" s="2"/>
      <c r="Z52" s="7">
        <f t="shared" si="44"/>
        <v>71.339622641509422</v>
      </c>
    </row>
    <row r="53" spans="1:26" s="24" customFormat="1" hidden="1" outlineLevel="2" x14ac:dyDescent="0.25">
      <c r="A53" s="26"/>
      <c r="B53" s="11" t="str">
        <f>CONCATENATE("          ", "6247", " - ", "STORE SUPPLIES")</f>
        <v xml:space="preserve">          6247 - STORE SUPPLIES</v>
      </c>
      <c r="C53" s="11"/>
      <c r="D53" s="6">
        <v>400.86</v>
      </c>
      <c r="E53" s="2"/>
      <c r="F53" s="7">
        <f t="shared" si="37"/>
        <v>0.33991639037047716</v>
      </c>
      <c r="G53" s="2"/>
      <c r="H53" s="6">
        <v>2247.67</v>
      </c>
      <c r="I53" s="2"/>
      <c r="J53" s="7">
        <f t="shared" si="38"/>
        <v>2.8885533265649701</v>
      </c>
      <c r="K53" s="2"/>
      <c r="L53" s="6">
        <f t="shared" si="39"/>
        <v>-1846.81</v>
      </c>
      <c r="M53" s="2"/>
      <c r="N53" s="7">
        <f t="shared" si="40"/>
        <v>-0.82165531416978466</v>
      </c>
      <c r="O53" s="11"/>
      <c r="P53" s="6">
        <v>5059.6099999999997</v>
      </c>
      <c r="Q53" s="2"/>
      <c r="R53" s="7">
        <f t="shared" si="41"/>
        <v>1.0326135095034297</v>
      </c>
      <c r="S53" s="2"/>
      <c r="T53" s="6">
        <v>6469.93</v>
      </c>
      <c r="U53" s="2"/>
      <c r="V53" s="7">
        <f t="shared" si="42"/>
        <v>1.3266045527428412</v>
      </c>
      <c r="W53" s="2"/>
      <c r="X53" s="6">
        <f t="shared" si="43"/>
        <v>-1410.3200000000006</v>
      </c>
      <c r="Y53" s="2"/>
      <c r="Z53" s="7">
        <f t="shared" si="44"/>
        <v>-0.2179807200387022</v>
      </c>
    </row>
    <row r="54" spans="1:26" s="27" customFormat="1" outlineLevel="1" collapsed="1" x14ac:dyDescent="0.25">
      <c r="A54" s="25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86.3</v>
      </c>
      <c r="E54" s="1"/>
      <c r="F54" s="5">
        <f t="shared" ref="F54:F55" si="45">IF(D$12=0,0,D54/D$12)</f>
        <v>7.3179625028618911E-2</v>
      </c>
      <c r="G54" s="1"/>
      <c r="H54" s="1">
        <f>SUM(OSRRefH22_8x_0)</f>
        <v>157.4</v>
      </c>
      <c r="I54" s="1"/>
      <c r="J54" s="5">
        <f t="shared" ref="J54:J55" si="46">IF(H$12=0,0,H54/H$12)</f>
        <v>0.20227982470795369</v>
      </c>
      <c r="K54" s="1"/>
      <c r="L54" s="1">
        <f t="shared" ref="L54:L55" si="47">+D54-H54</f>
        <v>-71.100000000000009</v>
      </c>
      <c r="M54" s="1"/>
      <c r="N54" s="5">
        <f t="shared" ref="N54:N55" si="48">IF(H54=0,0,L54/H54)</f>
        <v>-0.45171537484116903</v>
      </c>
      <c r="O54" s="13"/>
      <c r="P54" s="1">
        <f>SUM(OSRRefP22_8x_0)</f>
        <v>232.6</v>
      </c>
      <c r="Q54" s="1"/>
      <c r="R54" s="5">
        <f t="shared" ref="R54:R55" si="49">IF(P$12=0,0,P54/P$12)</f>
        <v>4.7471228476206224E-2</v>
      </c>
      <c r="S54" s="1"/>
      <c r="T54" s="1">
        <f>SUM(OSRRefT22_8x_0)</f>
        <v>699.4</v>
      </c>
      <c r="U54" s="1"/>
      <c r="V54" s="5">
        <f t="shared" ref="V54:V55" si="50">IF(T$12=0,0,T54/T$12)</f>
        <v>0.14340606841006673</v>
      </c>
      <c r="W54" s="1"/>
      <c r="X54" s="1">
        <f t="shared" ref="X54:X55" si="51">+P54-T54</f>
        <v>-466.79999999999995</v>
      </c>
      <c r="Y54" s="1"/>
      <c r="Z54" s="5">
        <f t="shared" ref="Z54:Z55" si="52">IF(T54=0,0,X54/T54)</f>
        <v>-0.66742922505004287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6">
        <v>86.3</v>
      </c>
      <c r="E55" s="2"/>
      <c r="F55" s="7">
        <f t="shared" si="45"/>
        <v>7.3179625028618911E-2</v>
      </c>
      <c r="G55" s="2"/>
      <c r="H55" s="6">
        <v>157.4</v>
      </c>
      <c r="I55" s="2"/>
      <c r="J55" s="7">
        <f t="shared" si="46"/>
        <v>0.20227982470795369</v>
      </c>
      <c r="K55" s="2"/>
      <c r="L55" s="6">
        <f t="shared" si="47"/>
        <v>-71.100000000000009</v>
      </c>
      <c r="M55" s="2"/>
      <c r="N55" s="7">
        <f t="shared" si="48"/>
        <v>-0.45171537484116903</v>
      </c>
      <c r="O55" s="11"/>
      <c r="P55" s="6">
        <v>232.6</v>
      </c>
      <c r="Q55" s="2"/>
      <c r="R55" s="7">
        <f t="shared" si="49"/>
        <v>4.7471228476206224E-2</v>
      </c>
      <c r="S55" s="2"/>
      <c r="T55" s="6">
        <v>699.4</v>
      </c>
      <c r="U55" s="2"/>
      <c r="V55" s="7">
        <f t="shared" si="50"/>
        <v>0.14340606841006673</v>
      </c>
      <c r="W55" s="2"/>
      <c r="X55" s="6">
        <f t="shared" si="51"/>
        <v>-466.79999999999995</v>
      </c>
      <c r="Y55" s="2"/>
      <c r="Z55" s="7">
        <f t="shared" si="52"/>
        <v>-0.66742922505004287</v>
      </c>
    </row>
    <row r="56" spans="1:26" s="55" customFormat="1" x14ac:dyDescent="0.25">
      <c r="A56" s="37"/>
      <c r="B56" s="37"/>
      <c r="C56" s="37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collapsed="1" x14ac:dyDescent="0.25">
      <c r="A57" s="10"/>
      <c r="B57" s="29" t="s">
        <v>0</v>
      </c>
      <c r="C57" s="10"/>
      <c r="D57" s="4">
        <f>SUM(OSRRefD25x_0)</f>
        <v>61106.55</v>
      </c>
      <c r="E57" s="4"/>
      <c r="F57" s="12">
        <f t="shared" ref="F57:F62" si="53">IF(D$12=0,0,D57/D$12)</f>
        <v>51.816389522509311</v>
      </c>
      <c r="G57" s="4"/>
      <c r="H57" s="4">
        <f>SUM(OSRRefH25x_0)</f>
        <v>300</v>
      </c>
      <c r="I57" s="4"/>
      <c r="J57" s="12">
        <f t="shared" ref="J57:J62" si="54">IF(H$12=0,0,H57/H$12)</f>
        <v>0.38553969131122051</v>
      </c>
      <c r="K57" s="4"/>
      <c r="L57" s="4">
        <f t="shared" ref="L57:L62" si="55">+D57-H57</f>
        <v>60806.55</v>
      </c>
      <c r="M57" s="4"/>
      <c r="N57" s="12">
        <f t="shared" ref="N57:N62" si="56">IF(H57=0,0,L57/H57)</f>
        <v>202.6885</v>
      </c>
      <c r="O57" s="10"/>
      <c r="P57" s="4">
        <f>SUM(OSRRefP25x_0)</f>
        <v>84428.4</v>
      </c>
      <c r="Q57" s="4"/>
      <c r="R57" s="12">
        <f t="shared" ref="R57:R62" si="57">IF(P$12=0,0,P57/P$12)</f>
        <v>17.23095385331268</v>
      </c>
      <c r="S57" s="4"/>
      <c r="T57" s="4">
        <f>SUM(OSRRefT25x_0)</f>
        <v>985</v>
      </c>
      <c r="U57" s="4"/>
      <c r="V57" s="12">
        <f t="shared" ref="V57:V62" si="58">IF(T$12=0,0,T57/T$12)</f>
        <v>0.2019659384957331</v>
      </c>
      <c r="W57" s="4"/>
      <c r="X57" s="4">
        <f t="shared" ref="X57:X62" si="59">+P57-T57</f>
        <v>83443.399999999994</v>
      </c>
      <c r="Y57" s="4"/>
      <c r="Z57" s="12">
        <f t="shared" ref="Z57:Z62" si="60">IF(T57=0,0,X57/T57)</f>
        <v>84.714111675126901</v>
      </c>
    </row>
    <row r="58" spans="1:26" s="24" customFormat="1" hidden="1" outlineLevel="1" x14ac:dyDescent="0.25">
      <c r="A58" s="44"/>
      <c r="B58" s="11" t="str">
        <f>CONCATENATE("          ", "4098", " - ", "TAXABLE SALES-GRAD RENTALS")</f>
        <v xml:space="preserve">          4098 - TAXABLE SALES-GRAD RENTALS</v>
      </c>
      <c r="C58" s="11"/>
      <c r="D58" s="2">
        <f t="shared" ref="D58:D61" si="61">0</f>
        <v>0</v>
      </c>
      <c r="E58" s="2"/>
      <c r="F58" s="19">
        <f t="shared" si="53"/>
        <v>0</v>
      </c>
      <c r="G58" s="2"/>
      <c r="H58" s="2">
        <f>0</f>
        <v>0</v>
      </c>
      <c r="I58" s="2"/>
      <c r="J58" s="19">
        <f t="shared" si="54"/>
        <v>0</v>
      </c>
      <c r="K58" s="2"/>
      <c r="L58" s="2">
        <f t="shared" si="55"/>
        <v>0</v>
      </c>
      <c r="M58" s="2"/>
      <c r="N58" s="19">
        <f t="shared" si="56"/>
        <v>0</v>
      </c>
      <c r="O58" s="11"/>
      <c r="P58" s="2">
        <f>--1626.85</f>
        <v>1626.85</v>
      </c>
      <c r="Q58" s="2"/>
      <c r="R58" s="19">
        <f t="shared" si="57"/>
        <v>0.33202307844589896</v>
      </c>
      <c r="S58" s="2"/>
      <c r="T58" s="2">
        <f>0</f>
        <v>0</v>
      </c>
      <c r="U58" s="2"/>
      <c r="V58" s="19">
        <f t="shared" si="58"/>
        <v>0</v>
      </c>
      <c r="W58" s="2"/>
      <c r="X58" s="2">
        <f t="shared" si="59"/>
        <v>1626.85</v>
      </c>
      <c r="Y58" s="2"/>
      <c r="Z58" s="19">
        <f t="shared" si="60"/>
        <v>0</v>
      </c>
    </row>
    <row r="59" spans="1:26" s="24" customFormat="1" hidden="1" outlineLevel="1" x14ac:dyDescent="0.25">
      <c r="A59" s="44"/>
      <c r="B59" s="11" t="str">
        <f>CONCATENATE("          ", "4197", " - ", "NON-TAXABLE SALES-RETURNED CHE")</f>
        <v xml:space="preserve">          4197 - NON-TAXABLE SALES-RETURNED CHE</v>
      </c>
      <c r="C59" s="11"/>
      <c r="D59" s="2">
        <f t="shared" si="61"/>
        <v>0</v>
      </c>
      <c r="E59" s="2"/>
      <c r="F59" s="19">
        <f t="shared" si="53"/>
        <v>0</v>
      </c>
      <c r="G59" s="2"/>
      <c r="H59" s="2">
        <f>--10</f>
        <v>10</v>
      </c>
      <c r="I59" s="2"/>
      <c r="J59" s="19">
        <f t="shared" si="54"/>
        <v>1.285132304370735E-2</v>
      </c>
      <c r="K59" s="2"/>
      <c r="L59" s="2">
        <f t="shared" si="55"/>
        <v>-10</v>
      </c>
      <c r="M59" s="2"/>
      <c r="N59" s="19">
        <f t="shared" si="56"/>
        <v>-1</v>
      </c>
      <c r="O59" s="11"/>
      <c r="P59" s="2">
        <f>--30</f>
        <v>30</v>
      </c>
      <c r="Q59" s="2"/>
      <c r="R59" s="19">
        <f t="shared" si="57"/>
        <v>6.1226863898804244E-3</v>
      </c>
      <c r="S59" s="2"/>
      <c r="T59" s="2">
        <f>--260</f>
        <v>260</v>
      </c>
      <c r="U59" s="2"/>
      <c r="V59" s="19">
        <f t="shared" si="58"/>
        <v>5.3310806100396554E-2</v>
      </c>
      <c r="W59" s="2"/>
      <c r="X59" s="2">
        <f t="shared" si="59"/>
        <v>-230</v>
      </c>
      <c r="Y59" s="2"/>
      <c r="Z59" s="19">
        <f t="shared" si="60"/>
        <v>-0.88461538461538458</v>
      </c>
    </row>
    <row r="60" spans="1:26" s="24" customFormat="1" hidden="1" outlineLevel="1" x14ac:dyDescent="0.25">
      <c r="A60" s="44"/>
      <c r="B60" s="11" t="str">
        <f>CONCATENATE("          ", "4198", " - ", "NON-TAXABLE SALES-GRAD RENTALS")</f>
        <v xml:space="preserve">          4198 - NON-TAXABLE SALES-GRAD RENTALS</v>
      </c>
      <c r="C60" s="11"/>
      <c r="D60" s="2">
        <f t="shared" si="61"/>
        <v>0</v>
      </c>
      <c r="E60" s="2"/>
      <c r="F60" s="19">
        <f t="shared" si="53"/>
        <v>0</v>
      </c>
      <c r="G60" s="2"/>
      <c r="H60" s="2">
        <f>0</f>
        <v>0</v>
      </c>
      <c r="I60" s="2"/>
      <c r="J60" s="19">
        <f t="shared" si="54"/>
        <v>0</v>
      </c>
      <c r="K60" s="2"/>
      <c r="L60" s="2">
        <f t="shared" si="55"/>
        <v>0</v>
      </c>
      <c r="M60" s="2"/>
      <c r="N60" s="19">
        <f t="shared" si="56"/>
        <v>0</v>
      </c>
      <c r="O60" s="11"/>
      <c r="P60" s="2">
        <f>--495</f>
        <v>495</v>
      </c>
      <c r="Q60" s="2"/>
      <c r="R60" s="19">
        <f t="shared" si="57"/>
        <v>0.101024325433027</v>
      </c>
      <c r="S60" s="2"/>
      <c r="T60" s="2">
        <f>--435</f>
        <v>435</v>
      </c>
      <c r="U60" s="2"/>
      <c r="V60" s="19">
        <f t="shared" si="58"/>
        <v>8.9193079437201936E-2</v>
      </c>
      <c r="W60" s="2"/>
      <c r="X60" s="2">
        <f t="shared" si="59"/>
        <v>60</v>
      </c>
      <c r="Y60" s="2"/>
      <c r="Z60" s="19">
        <f t="shared" si="60"/>
        <v>0.13793103448275862</v>
      </c>
    </row>
    <row r="61" spans="1:26" s="24" customFormat="1" hidden="1" outlineLevel="1" x14ac:dyDescent="0.25">
      <c r="A61" s="44"/>
      <c r="B61" s="11" t="str">
        <f>CONCATENATE("          ", "9160", " - ", "MISC. INCOME")</f>
        <v xml:space="preserve">          9160 - MISC. INCOME</v>
      </c>
      <c r="C61" s="11"/>
      <c r="D61" s="2">
        <f t="shared" si="61"/>
        <v>0</v>
      </c>
      <c r="E61" s="2"/>
      <c r="F61" s="19">
        <f t="shared" si="53"/>
        <v>0</v>
      </c>
      <c r="G61" s="2"/>
      <c r="H61" s="2">
        <f>--290</f>
        <v>290</v>
      </c>
      <c r="I61" s="2"/>
      <c r="J61" s="19">
        <f t="shared" si="54"/>
        <v>0.37268836826751317</v>
      </c>
      <c r="K61" s="2"/>
      <c r="L61" s="2">
        <f t="shared" si="55"/>
        <v>-290</v>
      </c>
      <c r="M61" s="2"/>
      <c r="N61" s="19">
        <f t="shared" si="56"/>
        <v>-1</v>
      </c>
      <c r="O61" s="11"/>
      <c r="P61" s="2">
        <f>--21170</f>
        <v>21170</v>
      </c>
      <c r="Q61" s="2"/>
      <c r="R61" s="19">
        <f t="shared" si="57"/>
        <v>4.3205756957922858</v>
      </c>
      <c r="S61" s="2"/>
      <c r="T61" s="2">
        <f>--290</f>
        <v>290</v>
      </c>
      <c r="U61" s="2"/>
      <c r="V61" s="19">
        <f t="shared" si="58"/>
        <v>5.9462052958134622E-2</v>
      </c>
      <c r="W61" s="2"/>
      <c r="X61" s="2">
        <f t="shared" si="59"/>
        <v>20880</v>
      </c>
      <c r="Y61" s="2"/>
      <c r="Z61" s="19">
        <f t="shared" si="60"/>
        <v>72</v>
      </c>
    </row>
    <row r="62" spans="1:26" s="24" customFormat="1" hidden="1" outlineLevel="1" x14ac:dyDescent="0.25">
      <c r="A62" s="44"/>
      <c r="B62" s="11" t="str">
        <f>CONCATENATE("          ", "9163", " - ", "MISC. INCOME")</f>
        <v xml:space="preserve">          9163 - MISC. INCOME</v>
      </c>
      <c r="C62" s="11"/>
      <c r="D62" s="2">
        <f>--61106.55</f>
        <v>61106.55</v>
      </c>
      <c r="E62" s="2"/>
      <c r="F62" s="19">
        <f t="shared" si="53"/>
        <v>51.816389522509311</v>
      </c>
      <c r="G62" s="2"/>
      <c r="H62" s="2">
        <f>0</f>
        <v>0</v>
      </c>
      <c r="I62" s="2"/>
      <c r="J62" s="19">
        <f t="shared" si="54"/>
        <v>0</v>
      </c>
      <c r="K62" s="2"/>
      <c r="L62" s="2">
        <f t="shared" si="55"/>
        <v>61106.55</v>
      </c>
      <c r="M62" s="2"/>
      <c r="N62" s="19">
        <f t="shared" si="56"/>
        <v>0</v>
      </c>
      <c r="O62" s="11"/>
      <c r="P62" s="2">
        <f>--61106.55</f>
        <v>61106.55</v>
      </c>
      <c r="Q62" s="2"/>
      <c r="R62" s="19">
        <f t="shared" si="57"/>
        <v>12.47120806725159</v>
      </c>
      <c r="S62" s="2"/>
      <c r="T62" s="2">
        <f>0</f>
        <v>0</v>
      </c>
      <c r="U62" s="2"/>
      <c r="V62" s="19">
        <f t="shared" si="58"/>
        <v>0</v>
      </c>
      <c r="W62" s="2"/>
      <c r="X62" s="2">
        <f t="shared" si="59"/>
        <v>61106.55</v>
      </c>
      <c r="Y62" s="2"/>
      <c r="Z62" s="19">
        <f t="shared" si="60"/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8" t="s">
        <v>3</v>
      </c>
      <c r="C64" s="28"/>
      <c r="D64" s="21">
        <f>+D25-D27+D57</f>
        <v>60674.12</v>
      </c>
      <c r="E64" s="14"/>
      <c r="F64" s="22">
        <f>IF(D$12=0,0,D64/D$12)</f>
        <v>51.449702787270311</v>
      </c>
      <c r="G64" s="14"/>
      <c r="H64" s="21">
        <f>+H25-H27+H57</f>
        <v>-4965.9800000000005</v>
      </c>
      <c r="I64" s="14"/>
      <c r="J64" s="22">
        <f>IF(H$12=0,0,H64/H$12)</f>
        <v>-6.3819413208589832</v>
      </c>
      <c r="K64" s="16"/>
      <c r="L64" s="21">
        <f>+D64-H64</f>
        <v>65640.100000000006</v>
      </c>
      <c r="M64" s="16"/>
      <c r="N64" s="22">
        <f>IF(H64=0,0,L64/H64)</f>
        <v>-13.217954965585847</v>
      </c>
      <c r="O64" s="29"/>
      <c r="P64" s="21">
        <f>+P25-P27+P57</f>
        <v>87167.639999999985</v>
      </c>
      <c r="Q64" s="14"/>
      <c r="R64" s="22">
        <f>IF(P$12=0,0,P64/P$12)</f>
        <v>17.79000410219988</v>
      </c>
      <c r="S64" s="14"/>
      <c r="T64" s="21">
        <f>+T25-T27+T57</f>
        <v>-2955.8099999999995</v>
      </c>
      <c r="U64" s="14"/>
      <c r="V64" s="22">
        <f>IF(T$12=0,0,T64/T$12)</f>
        <v>-0.60606389915235814</v>
      </c>
      <c r="W64" s="16"/>
      <c r="X64" s="21">
        <f>+P64-T64</f>
        <v>90123.449999999983</v>
      </c>
      <c r="Y64" s="16"/>
      <c r="Z64" s="22">
        <f>IF(T64=0,0,X64/T64)</f>
        <v>-30.490271702173008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13</v>
      </c>
      <c r="C66" s="10"/>
      <c r="D66" s="4">
        <v>93.6</v>
      </c>
      <c r="E66" s="4"/>
      <c r="F66" s="12">
        <f>IF(D$12=0,0,D66/D$12)</f>
        <v>7.9369790297551909E-2</v>
      </c>
      <c r="G66" s="4"/>
      <c r="H66" s="4">
        <v>83.73</v>
      </c>
      <c r="I66" s="4"/>
      <c r="J66" s="12">
        <f>IF(H$12=0,0,H66/H$12)</f>
        <v>0.10760412784496165</v>
      </c>
      <c r="K66" s="4"/>
      <c r="L66" s="4">
        <f>+D66-H66</f>
        <v>9.8699999999999903</v>
      </c>
      <c r="M66" s="4"/>
      <c r="N66" s="12">
        <f>IF(H66=0,0,L66/H66)</f>
        <v>0.11787889645288414</v>
      </c>
      <c r="O66" s="10"/>
      <c r="P66" s="4">
        <v>493.23</v>
      </c>
      <c r="Q66" s="4"/>
      <c r="R66" s="12">
        <f>IF(P$12=0,0,P66/P$12)</f>
        <v>0.10066308693602406</v>
      </c>
      <c r="S66" s="4"/>
      <c r="T66" s="4">
        <v>447.91</v>
      </c>
      <c r="U66" s="4"/>
      <c r="V66" s="12">
        <f>IF(T$12=0,0,T66/T$12)</f>
        <v>9.1840166001648543E-2</v>
      </c>
      <c r="W66" s="4"/>
      <c r="X66" s="4">
        <f>+P66-T66</f>
        <v>45.319999999999993</v>
      </c>
      <c r="Y66" s="4"/>
      <c r="Z66" s="12">
        <f>IF(T66=0,0,X66/T66)</f>
        <v>0.10118104083409611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4</v>
      </c>
      <c r="C68" s="28"/>
      <c r="D68" s="31">
        <f>+D64-D66</f>
        <v>60580.520000000004</v>
      </c>
      <c r="E68" s="14"/>
      <c r="F68" s="34">
        <f>IF(D$12=0,0,D68/D$12)</f>
        <v>51.370332996972763</v>
      </c>
      <c r="G68" s="14"/>
      <c r="H68" s="31">
        <f>+H64-H66</f>
        <v>-5049.71</v>
      </c>
      <c r="I68" s="14"/>
      <c r="J68" s="34">
        <f>IF(H$12=0,0,H68/H$12)</f>
        <v>-6.4895454487039439</v>
      </c>
      <c r="K68" s="16"/>
      <c r="L68" s="31">
        <f>D68-H68</f>
        <v>65630.23000000001</v>
      </c>
      <c r="M68" s="16"/>
      <c r="N68" s="34">
        <f>IF(H68=0,0,L68/H68)</f>
        <v>-12.996831501214924</v>
      </c>
      <c r="O68" s="29"/>
      <c r="P68" s="31">
        <f>+P64-P66</f>
        <v>86674.409999999989</v>
      </c>
      <c r="Q68" s="14"/>
      <c r="R68" s="34">
        <f>IF(P$12=0,0,P68/P$12)</f>
        <v>17.689341015263857</v>
      </c>
      <c r="S68" s="14"/>
      <c r="T68" s="31">
        <f>+T64-T66</f>
        <v>-3403.7199999999993</v>
      </c>
      <c r="U68" s="14"/>
      <c r="V68" s="34">
        <f>IF(T$12=0,0,T68/T$12)</f>
        <v>-0.6979040651540066</v>
      </c>
      <c r="W68" s="16"/>
      <c r="X68" s="31">
        <f>P68-T68</f>
        <v>90078.12999999999</v>
      </c>
      <c r="Y68" s="16"/>
      <c r="Z68" s="34">
        <f>IF(T68=0,0,X68/T68)</f>
        <v>-26.464612247775964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5</v>
      </c>
      <c r="C71" s="28"/>
      <c r="D71" s="36">
        <f>SUM(D68:D70)</f>
        <v>60580.520000000004</v>
      </c>
      <c r="E71" s="14"/>
      <c r="F71" s="33">
        <f>IF(D$12=0,0,D71/D$12)</f>
        <v>51.370332996972763</v>
      </c>
      <c r="G71" s="14"/>
      <c r="H71" s="36">
        <f>SUM(H68:H70)</f>
        <v>-5049.71</v>
      </c>
      <c r="I71" s="14"/>
      <c r="J71" s="33">
        <f>IF(H$12=0,0,H71/H$12)</f>
        <v>-6.4895454487039439</v>
      </c>
      <c r="K71" s="16"/>
      <c r="L71" s="36">
        <f>+D71-H71</f>
        <v>65630.23000000001</v>
      </c>
      <c r="M71" s="16"/>
      <c r="N71" s="33">
        <f>IF(H71=0,0,L71/H71)</f>
        <v>-12.996831501214924</v>
      </c>
      <c r="O71" s="29"/>
      <c r="P71" s="36">
        <f>SUM(P68:P70)</f>
        <v>86674.409999999989</v>
      </c>
      <c r="Q71" s="14"/>
      <c r="R71" s="33">
        <f>IF(P$12=0,0,P71/P$12)</f>
        <v>17.689341015263857</v>
      </c>
      <c r="S71" s="14"/>
      <c r="T71" s="36">
        <f>SUM(T68:T70)</f>
        <v>-3403.7199999999993</v>
      </c>
      <c r="U71" s="14"/>
      <c r="V71" s="33">
        <f>IF(T$12=0,0,T71/T$12)</f>
        <v>-0.6979040651540066</v>
      </c>
      <c r="W71" s="16"/>
      <c r="X71" s="36">
        <f>+P71-T71</f>
        <v>90078.12999999999</v>
      </c>
      <c r="Y71" s="16"/>
      <c r="Z71" s="33">
        <f>IF(T71=0,0,X71/T71)</f>
        <v>-26.464612247775964</v>
      </c>
    </row>
    <row r="72" spans="1:26" ht="15.75" thickTop="1" x14ac:dyDescent="0.25">
      <c r="A72" s="9"/>
      <c r="C72" s="9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61">
        <v>43791.355394293983</v>
      </c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6" t="s">
        <v>313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7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146226.72000000003</v>
      </c>
      <c r="E12" s="4"/>
      <c r="F12" s="12"/>
      <c r="G12" s="4"/>
      <c r="H12" s="4">
        <f>SUM(OSRRefH13x_0)</f>
        <v>184581.58000000002</v>
      </c>
      <c r="I12" s="4"/>
      <c r="J12" s="12"/>
      <c r="K12" s="4"/>
      <c r="L12" s="4">
        <f t="shared" ref="L12:L36" si="0">+D12-H12</f>
        <v>-38354.859999999986</v>
      </c>
      <c r="M12" s="4"/>
      <c r="N12" s="12">
        <f t="shared" ref="N12:N36" si="1">IF(H12=0,0,L12/H12)</f>
        <v>-0.20779354039552583</v>
      </c>
      <c r="O12" s="10"/>
      <c r="P12" s="4">
        <f>SUM(OSRRefP13x_0)</f>
        <v>1338404.7999999996</v>
      </c>
      <c r="Q12" s="4"/>
      <c r="R12" s="12"/>
      <c r="S12" s="4"/>
      <c r="T12" s="4">
        <f>SUM(OSRRefT13x_0)</f>
        <v>1182882.3999999997</v>
      </c>
      <c r="U12" s="4"/>
      <c r="V12" s="12"/>
      <c r="W12" s="4"/>
      <c r="X12" s="4">
        <f t="shared" ref="X12:X36" si="2">+P12-T12</f>
        <v>155522.39999999991</v>
      </c>
      <c r="Y12" s="4"/>
      <c r="Z12" s="12">
        <f t="shared" ref="Z12:Z36" si="3">IF(T12=0,0,X12/T12)</f>
        <v>0.13147748246148555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--24779.49</f>
        <v>24779.49</v>
      </c>
      <c r="E13" s="2"/>
      <c r="F13" s="19"/>
      <c r="G13" s="2"/>
      <c r="H13" s="2">
        <f>--26887.69</f>
        <v>26887.69</v>
      </c>
      <c r="I13" s="2"/>
      <c r="J13" s="19"/>
      <c r="K13" s="2"/>
      <c r="L13" s="2">
        <f t="shared" si="0"/>
        <v>-2108.1999999999971</v>
      </c>
      <c r="M13" s="2"/>
      <c r="N13" s="19">
        <f t="shared" si="1"/>
        <v>-7.8407628174826369E-2</v>
      </c>
      <c r="O13" s="11"/>
      <c r="P13" s="2">
        <f>--213456.81</f>
        <v>213456.81</v>
      </c>
      <c r="Q13" s="2"/>
      <c r="R13" s="19"/>
      <c r="S13" s="2"/>
      <c r="T13" s="2">
        <f>--164259.92</f>
        <v>164259.92000000001</v>
      </c>
      <c r="U13" s="2"/>
      <c r="V13" s="19"/>
      <c r="W13" s="2"/>
      <c r="X13" s="2">
        <f t="shared" si="2"/>
        <v>49196.889999999985</v>
      </c>
      <c r="Y13" s="2"/>
      <c r="Z13" s="19">
        <f t="shared" si="3"/>
        <v>0.29950635553700489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--109645.14</f>
        <v>109645.14</v>
      </c>
      <c r="E14" s="2"/>
      <c r="F14" s="19"/>
      <c r="G14" s="2"/>
      <c r="H14" s="2">
        <f>--78391.49</f>
        <v>78391.490000000005</v>
      </c>
      <c r="I14" s="2"/>
      <c r="J14" s="19"/>
      <c r="K14" s="2"/>
      <c r="L14" s="2">
        <f t="shared" si="0"/>
        <v>31253.649999999994</v>
      </c>
      <c r="M14" s="2"/>
      <c r="N14" s="19">
        <f t="shared" si="1"/>
        <v>0.39868677071962777</v>
      </c>
      <c r="O14" s="11"/>
      <c r="P14" s="2">
        <f>--1148399.63</f>
        <v>1148399.6299999999</v>
      </c>
      <c r="Q14" s="2"/>
      <c r="R14" s="19"/>
      <c r="S14" s="2"/>
      <c r="T14" s="2">
        <f>--836582.46</f>
        <v>836582.46</v>
      </c>
      <c r="U14" s="2"/>
      <c r="V14" s="19"/>
      <c r="W14" s="2"/>
      <c r="X14" s="2">
        <f t="shared" si="2"/>
        <v>311817.16999999993</v>
      </c>
      <c r="Y14" s="2"/>
      <c r="Z14" s="19">
        <f t="shared" si="3"/>
        <v>0.37272735792237377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--12650.01</f>
        <v>12650.01</v>
      </c>
      <c r="E15" s="2"/>
      <c r="F15" s="19"/>
      <c r="G15" s="2"/>
      <c r="H15" s="2">
        <f>--16114.4</f>
        <v>16114.4</v>
      </c>
      <c r="I15" s="2"/>
      <c r="J15" s="19"/>
      <c r="K15" s="2"/>
      <c r="L15" s="2">
        <f t="shared" si="0"/>
        <v>-3464.3899999999994</v>
      </c>
      <c r="M15" s="2"/>
      <c r="N15" s="19">
        <f t="shared" si="1"/>
        <v>-0.2149872164027205</v>
      </c>
      <c r="O15" s="11"/>
      <c r="P15" s="2">
        <f>--53606.22</f>
        <v>53606.22</v>
      </c>
      <c r="Q15" s="2"/>
      <c r="R15" s="19"/>
      <c r="S15" s="2"/>
      <c r="T15" s="2">
        <f>--53047.47</f>
        <v>53047.47</v>
      </c>
      <c r="U15" s="2"/>
      <c r="V15" s="19"/>
      <c r="W15" s="2"/>
      <c r="X15" s="2">
        <f t="shared" si="2"/>
        <v>558.75</v>
      </c>
      <c r="Y15" s="2"/>
      <c r="Z15" s="19">
        <f t="shared" si="3"/>
        <v>1.0533018822575327E-2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--278.99</f>
        <v>278.99</v>
      </c>
      <c r="U16" s="2"/>
      <c r="V16" s="19"/>
      <c r="W16" s="2"/>
      <c r="X16" s="2">
        <f t="shared" si="2"/>
        <v>-149.99</v>
      </c>
      <c r="Y16" s="2"/>
      <c r="Z16" s="19">
        <f t="shared" si="3"/>
        <v>-0.53761783576472277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--3913.99</f>
        <v>3913.99</v>
      </c>
      <c r="E17" s="2"/>
      <c r="F17" s="19"/>
      <c r="G17" s="2"/>
      <c r="H17" s="2">
        <f>--1095</f>
        <v>1095</v>
      </c>
      <c r="I17" s="2"/>
      <c r="J17" s="19"/>
      <c r="K17" s="2"/>
      <c r="L17" s="2">
        <f t="shared" si="0"/>
        <v>2818.99</v>
      </c>
      <c r="M17" s="2"/>
      <c r="N17" s="19">
        <f t="shared" si="1"/>
        <v>2.5744200913242006</v>
      </c>
      <c r="O17" s="11"/>
      <c r="P17" s="2">
        <f>--4407.94</f>
        <v>4407.9399999999996</v>
      </c>
      <c r="Q17" s="2"/>
      <c r="R17" s="19"/>
      <c r="S17" s="2"/>
      <c r="T17" s="2">
        <f>--8602.84</f>
        <v>8602.84</v>
      </c>
      <c r="U17" s="2"/>
      <c r="V17" s="19"/>
      <c r="W17" s="2"/>
      <c r="X17" s="2">
        <f t="shared" si="2"/>
        <v>-4194.9000000000005</v>
      </c>
      <c r="Y17" s="2"/>
      <c r="Z17" s="19">
        <f t="shared" si="3"/>
        <v>-0.48761804241390055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--6615.09</f>
        <v>6615.09</v>
      </c>
      <c r="E18" s="2"/>
      <c r="F18" s="19"/>
      <c r="G18" s="2"/>
      <c r="H18" s="2">
        <f>--7160.91</f>
        <v>7160.91</v>
      </c>
      <c r="I18" s="2"/>
      <c r="J18" s="19"/>
      <c r="K18" s="2"/>
      <c r="L18" s="2">
        <f t="shared" si="0"/>
        <v>-545.81999999999971</v>
      </c>
      <c r="M18" s="2"/>
      <c r="N18" s="19">
        <f t="shared" si="1"/>
        <v>-7.6222156122615667E-2</v>
      </c>
      <c r="O18" s="11"/>
      <c r="P18" s="2">
        <f>--26598.3</f>
        <v>26598.3</v>
      </c>
      <c r="Q18" s="2"/>
      <c r="R18" s="19"/>
      <c r="S18" s="2"/>
      <c r="T18" s="2">
        <f>--31479</f>
        <v>31479</v>
      </c>
      <c r="U18" s="2"/>
      <c r="V18" s="19"/>
      <c r="W18" s="2"/>
      <c r="X18" s="2">
        <f t="shared" si="2"/>
        <v>-4880.7000000000007</v>
      </c>
      <c r="Y18" s="2"/>
      <c r="Z18" s="19">
        <f t="shared" si="3"/>
        <v>-0.15504622129038409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--281.98</f>
        <v>281.98</v>
      </c>
      <c r="E19" s="2"/>
      <c r="F19" s="19"/>
      <c r="G19" s="2"/>
      <c r="H19" s="2">
        <f>--115.98</f>
        <v>115.98</v>
      </c>
      <c r="I19" s="2"/>
      <c r="J19" s="19"/>
      <c r="K19" s="2"/>
      <c r="L19" s="2">
        <f t="shared" si="0"/>
        <v>166</v>
      </c>
      <c r="M19" s="2"/>
      <c r="N19" s="19">
        <f t="shared" si="1"/>
        <v>1.4312812553888601</v>
      </c>
      <c r="O19" s="11"/>
      <c r="P19" s="2">
        <f>--817.94</f>
        <v>817.94</v>
      </c>
      <c r="Q19" s="2"/>
      <c r="R19" s="19"/>
      <c r="S19" s="2"/>
      <c r="T19" s="2">
        <f>--913.89</f>
        <v>913.89</v>
      </c>
      <c r="U19" s="2"/>
      <c r="V19" s="19"/>
      <c r="W19" s="2"/>
      <c r="X19" s="2">
        <f t="shared" si="2"/>
        <v>-95.949999999999932</v>
      </c>
      <c r="Y19" s="2"/>
      <c r="Z19" s="19">
        <f t="shared" si="3"/>
        <v>-0.10499075381063359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--7.99</f>
        <v>7.99</v>
      </c>
      <c r="E20" s="2"/>
      <c r="F20" s="19"/>
      <c r="G20" s="2"/>
      <c r="H20" s="2">
        <f>--99.97</f>
        <v>99.97</v>
      </c>
      <c r="I20" s="2"/>
      <c r="J20" s="19"/>
      <c r="K20" s="2"/>
      <c r="L20" s="2">
        <f t="shared" si="0"/>
        <v>-91.98</v>
      </c>
      <c r="M20" s="2"/>
      <c r="N20" s="19">
        <f t="shared" si="1"/>
        <v>-0.92007602280684209</v>
      </c>
      <c r="O20" s="11"/>
      <c r="P20" s="2">
        <f>--1462.51</f>
        <v>1462.51</v>
      </c>
      <c r="Q20" s="2"/>
      <c r="R20" s="19"/>
      <c r="S20" s="2"/>
      <c r="T20" s="2">
        <f>--936.89</f>
        <v>936.89</v>
      </c>
      <c r="U20" s="2"/>
      <c r="V20" s="19"/>
      <c r="W20" s="2"/>
      <c r="X20" s="2">
        <f t="shared" si="2"/>
        <v>525.62</v>
      </c>
      <c r="Y20" s="2"/>
      <c r="Z20" s="19">
        <f t="shared" si="3"/>
        <v>0.56102637449433768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--10758</f>
        <v>10758</v>
      </c>
      <c r="E21" s="2"/>
      <c r="F21" s="19"/>
      <c r="G21" s="2"/>
      <c r="H21" s="2">
        <f>--56350</f>
        <v>56350</v>
      </c>
      <c r="I21" s="2"/>
      <c r="J21" s="19"/>
      <c r="K21" s="2"/>
      <c r="L21" s="2">
        <f t="shared" si="0"/>
        <v>-45592</v>
      </c>
      <c r="M21" s="2"/>
      <c r="N21" s="19">
        <f t="shared" si="1"/>
        <v>-0.8090860692102928</v>
      </c>
      <c r="O21" s="11"/>
      <c r="P21" s="2">
        <f>--56560</f>
        <v>56560</v>
      </c>
      <c r="Q21" s="2"/>
      <c r="R21" s="19"/>
      <c r="S21" s="2"/>
      <c r="T21" s="2">
        <f>--119563.88</f>
        <v>119563.88</v>
      </c>
      <c r="U21" s="2"/>
      <c r="V21" s="19"/>
      <c r="W21" s="2"/>
      <c r="X21" s="2">
        <f t="shared" si="2"/>
        <v>-63003.880000000005</v>
      </c>
      <c r="Y21" s="2"/>
      <c r="Z21" s="19">
        <f t="shared" si="3"/>
        <v>-0.52694743596477467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--1033.81</f>
        <v>1033.81</v>
      </c>
      <c r="E22" s="2"/>
      <c r="F22" s="19"/>
      <c r="G22" s="2"/>
      <c r="H22" s="2">
        <f>--2512.37</f>
        <v>2512.37</v>
      </c>
      <c r="I22" s="2"/>
      <c r="J22" s="19"/>
      <c r="K22" s="2"/>
      <c r="L22" s="2">
        <f t="shared" si="0"/>
        <v>-1478.56</v>
      </c>
      <c r="M22" s="2"/>
      <c r="N22" s="19">
        <f t="shared" si="1"/>
        <v>-0.58851204241413491</v>
      </c>
      <c r="O22" s="11"/>
      <c r="P22" s="2">
        <f>--3054.92</f>
        <v>3054.92</v>
      </c>
      <c r="Q22" s="2"/>
      <c r="R22" s="19"/>
      <c r="S22" s="2"/>
      <c r="T22" s="2">
        <f>--4142.82</f>
        <v>4142.82</v>
      </c>
      <c r="U22" s="2"/>
      <c r="V22" s="19"/>
      <c r="W22" s="2"/>
      <c r="X22" s="2">
        <f t="shared" si="2"/>
        <v>-1087.8999999999996</v>
      </c>
      <c r="Y22" s="2"/>
      <c r="Z22" s="19">
        <f t="shared" si="3"/>
        <v>-0.2625989060591577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--1522</f>
        <v>1522</v>
      </c>
      <c r="Q23" s="2"/>
      <c r="R23" s="19"/>
      <c r="S23" s="2"/>
      <c r="T23" s="2">
        <f>--99</f>
        <v>99</v>
      </c>
      <c r="U23" s="2"/>
      <c r="V23" s="19"/>
      <c r="W23" s="2"/>
      <c r="X23" s="2">
        <f t="shared" si="2"/>
        <v>1423</v>
      </c>
      <c r="Y23" s="2"/>
      <c r="Z23" s="19">
        <f t="shared" si="3"/>
        <v>14.373737373737374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--1389.95</f>
        <v>1389.95</v>
      </c>
      <c r="E24" s="2"/>
      <c r="F24" s="19"/>
      <c r="G24" s="2"/>
      <c r="H24" s="2">
        <f>--177</f>
        <v>177</v>
      </c>
      <c r="I24" s="2"/>
      <c r="J24" s="19"/>
      <c r="K24" s="2"/>
      <c r="L24" s="2">
        <f t="shared" si="0"/>
        <v>1212.95</v>
      </c>
      <c r="M24" s="2"/>
      <c r="N24" s="19">
        <f t="shared" si="1"/>
        <v>6.8528248587570628</v>
      </c>
      <c r="O24" s="11"/>
      <c r="P24" s="2">
        <f>--8467.89</f>
        <v>8467.89</v>
      </c>
      <c r="Q24" s="2"/>
      <c r="R24" s="19"/>
      <c r="S24" s="2"/>
      <c r="T24" s="2">
        <f>--2393.91</f>
        <v>2393.91</v>
      </c>
      <c r="U24" s="2"/>
      <c r="V24" s="19"/>
      <c r="W24" s="2"/>
      <c r="X24" s="2">
        <f t="shared" si="2"/>
        <v>6073.98</v>
      </c>
      <c r="Y24" s="2"/>
      <c r="Z24" s="19">
        <f t="shared" si="3"/>
        <v>2.5372633056380565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--792.62</f>
        <v>792.62</v>
      </c>
      <c r="E25" s="2"/>
      <c r="F25" s="19"/>
      <c r="G25" s="2"/>
      <c r="H25" s="2">
        <f>--614.84</f>
        <v>614.84</v>
      </c>
      <c r="I25" s="2"/>
      <c r="J25" s="19"/>
      <c r="K25" s="2"/>
      <c r="L25" s="2">
        <f t="shared" si="0"/>
        <v>177.77999999999997</v>
      </c>
      <c r="M25" s="2"/>
      <c r="N25" s="19">
        <f t="shared" si="1"/>
        <v>0.28914839633075268</v>
      </c>
      <c r="O25" s="11"/>
      <c r="P25" s="2">
        <f>--1553.38</f>
        <v>1553.38</v>
      </c>
      <c r="Q25" s="2"/>
      <c r="R25" s="19"/>
      <c r="S25" s="2"/>
      <c r="T25" s="2">
        <f>--2424.16</f>
        <v>2424.16</v>
      </c>
      <c r="U25" s="2"/>
      <c r="V25" s="19"/>
      <c r="W25" s="2"/>
      <c r="X25" s="2">
        <f t="shared" si="2"/>
        <v>-870.77999999999975</v>
      </c>
      <c r="Y25" s="2"/>
      <c r="Z25" s="19">
        <f t="shared" si="3"/>
        <v>-0.35920896310474548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-1281.68</f>
        <v>-1281.68</v>
      </c>
      <c r="E27" s="2"/>
      <c r="F27" s="19"/>
      <c r="G27" s="2"/>
      <c r="H27" s="2">
        <f>-1409.89</f>
        <v>-1409.89</v>
      </c>
      <c r="I27" s="2"/>
      <c r="J27" s="19"/>
      <c r="K27" s="2"/>
      <c r="L27" s="2">
        <f t="shared" si="0"/>
        <v>128.21000000000004</v>
      </c>
      <c r="M27" s="2"/>
      <c r="N27" s="19">
        <f t="shared" si="1"/>
        <v>-9.0936172325500594E-2</v>
      </c>
      <c r="O27" s="11"/>
      <c r="P27" s="2">
        <f>-4556.15</f>
        <v>-4556.1499999999996</v>
      </c>
      <c r="Q27" s="2"/>
      <c r="R27" s="19"/>
      <c r="S27" s="2"/>
      <c r="T27" s="2">
        <f>-3866.17</f>
        <v>-3866.17</v>
      </c>
      <c r="U27" s="2"/>
      <c r="V27" s="19"/>
      <c r="W27" s="2"/>
      <c r="X27" s="2">
        <f t="shared" si="2"/>
        <v>-689.97999999999956</v>
      </c>
      <c r="Y27" s="2"/>
      <c r="Z27" s="19">
        <f t="shared" si="3"/>
        <v>0.17846602710175691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-22491.01</f>
        <v>-22491.01</v>
      </c>
      <c r="E28" s="2"/>
      <c r="F28" s="19"/>
      <c r="G28" s="2"/>
      <c r="H28" s="2">
        <f>-2483.83</f>
        <v>-2483.83</v>
      </c>
      <c r="I28" s="2"/>
      <c r="J28" s="19"/>
      <c r="K28" s="2"/>
      <c r="L28" s="2">
        <f t="shared" si="0"/>
        <v>-20007.18</v>
      </c>
      <c r="M28" s="2"/>
      <c r="N28" s="19">
        <f t="shared" si="1"/>
        <v>8.0549715560243662</v>
      </c>
      <c r="O28" s="11"/>
      <c r="P28" s="2">
        <f>-170137.86</f>
        <v>-170137.86</v>
      </c>
      <c r="Q28" s="2"/>
      <c r="R28" s="19"/>
      <c r="S28" s="2"/>
      <c r="T28" s="2">
        <f>-32775.27</f>
        <v>-32775.269999999997</v>
      </c>
      <c r="U28" s="2"/>
      <c r="V28" s="19"/>
      <c r="W28" s="2"/>
      <c r="X28" s="2">
        <f t="shared" si="2"/>
        <v>-137362.59</v>
      </c>
      <c r="Y28" s="2"/>
      <c r="Z28" s="19">
        <f t="shared" si="3"/>
        <v>4.1910437351088188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-1247.85</f>
        <v>-1247.8499999999999</v>
      </c>
      <c r="E29" s="2"/>
      <c r="F29" s="19"/>
      <c r="G29" s="2"/>
      <c r="H29" s="2">
        <f>-616.78</f>
        <v>-616.78</v>
      </c>
      <c r="I29" s="2"/>
      <c r="J29" s="19"/>
      <c r="K29" s="2"/>
      <c r="L29" s="2">
        <f t="shared" si="0"/>
        <v>-631.06999999999994</v>
      </c>
      <c r="M29" s="2"/>
      <c r="N29" s="19">
        <f t="shared" si="1"/>
        <v>1.023168714938876</v>
      </c>
      <c r="O29" s="11"/>
      <c r="P29" s="2">
        <f>-2532.33</f>
        <v>-2532.33</v>
      </c>
      <c r="Q29" s="2"/>
      <c r="R29" s="19"/>
      <c r="S29" s="2"/>
      <c r="T29" s="2">
        <f>-3204.82</f>
        <v>-3204.82</v>
      </c>
      <c r="U29" s="2"/>
      <c r="V29" s="19"/>
      <c r="W29" s="2"/>
      <c r="X29" s="2">
        <f t="shared" si="2"/>
        <v>672.49000000000024</v>
      </c>
      <c r="Y29" s="2"/>
      <c r="Z29" s="19">
        <f t="shared" si="3"/>
        <v>-0.20983705793149077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>0</f>
        <v>0</v>
      </c>
      <c r="E30" s="2"/>
      <c r="F30" s="19"/>
      <c r="G30" s="2"/>
      <c r="H30" s="2">
        <f t="shared" ref="H30:H31" si="4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 t="shared" ref="T30:T31" si="5"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>-248.99</f>
        <v>-248.99</v>
      </c>
      <c r="E31" s="2"/>
      <c r="F31" s="19"/>
      <c r="G31" s="2"/>
      <c r="H31" s="2">
        <f t="shared" si="4"/>
        <v>0</v>
      </c>
      <c r="I31" s="2"/>
      <c r="J31" s="19"/>
      <c r="K31" s="2"/>
      <c r="L31" s="2">
        <f t="shared" si="0"/>
        <v>-248.99</v>
      </c>
      <c r="M31" s="2"/>
      <c r="N31" s="19">
        <f t="shared" si="1"/>
        <v>0</v>
      </c>
      <c r="O31" s="11"/>
      <c r="P31" s="2">
        <f>-655.98</f>
        <v>-655.98</v>
      </c>
      <c r="Q31" s="2"/>
      <c r="R31" s="19"/>
      <c r="S31" s="2"/>
      <c r="T31" s="2">
        <f t="shared" si="5"/>
        <v>0</v>
      </c>
      <c r="U31" s="2"/>
      <c r="V31" s="19"/>
      <c r="W31" s="2"/>
      <c r="X31" s="2">
        <f t="shared" si="2"/>
        <v>-655.98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-307.86</f>
        <v>-307.86</v>
      </c>
      <c r="E32" s="2"/>
      <c r="F32" s="19"/>
      <c r="G32" s="2"/>
      <c r="H32" s="2">
        <f>-413.58</f>
        <v>-413.58</v>
      </c>
      <c r="I32" s="2"/>
      <c r="J32" s="19"/>
      <c r="K32" s="2"/>
      <c r="L32" s="2">
        <f t="shared" si="0"/>
        <v>105.71999999999997</v>
      </c>
      <c r="M32" s="2"/>
      <c r="N32" s="19">
        <f t="shared" si="1"/>
        <v>-0.25562164514725078</v>
      </c>
      <c r="O32" s="11"/>
      <c r="P32" s="2">
        <f>-2451.6</f>
        <v>-2451.6</v>
      </c>
      <c r="Q32" s="2"/>
      <c r="R32" s="19"/>
      <c r="S32" s="2"/>
      <c r="T32" s="2">
        <f>-2182.56</f>
        <v>-2182.56</v>
      </c>
      <c r="U32" s="2"/>
      <c r="V32" s="19"/>
      <c r="W32" s="2"/>
      <c r="X32" s="2">
        <f t="shared" si="2"/>
        <v>-269.03999999999996</v>
      </c>
      <c r="Y32" s="2"/>
      <c r="Z32" s="19">
        <f t="shared" si="3"/>
        <v>0.12326808884979105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>-3.99</f>
        <v>-3.99</v>
      </c>
      <c r="E33" s="2"/>
      <c r="F33" s="19"/>
      <c r="G33" s="2"/>
      <c r="H33" s="2">
        <f t="shared" ref="H33:H34" si="6">0</f>
        <v>0</v>
      </c>
      <c r="I33" s="2"/>
      <c r="J33" s="19"/>
      <c r="K33" s="2"/>
      <c r="L33" s="2">
        <f t="shared" si="0"/>
        <v>-3.99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 t="shared" ref="T33:T34" si="7">0</f>
        <v>0</v>
      </c>
      <c r="U33" s="2"/>
      <c r="V33" s="19"/>
      <c r="W33" s="2"/>
      <c r="X33" s="2">
        <f t="shared" si="2"/>
        <v>-3.99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>0</f>
        <v>0</v>
      </c>
      <c r="E34" s="2"/>
      <c r="F34" s="19"/>
      <c r="G34" s="2"/>
      <c r="H34" s="2">
        <f t="shared" si="6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-1279.84</f>
        <v>-1279.8399999999999</v>
      </c>
      <c r="Q34" s="2"/>
      <c r="R34" s="19"/>
      <c r="S34" s="2"/>
      <c r="T34" s="2">
        <f t="shared" si="7"/>
        <v>0</v>
      </c>
      <c r="U34" s="2"/>
      <c r="V34" s="19"/>
      <c r="W34" s="2"/>
      <c r="X34" s="2">
        <f t="shared" si="2"/>
        <v>-1279.8399999999999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>-24.99</f>
        <v>-24.99</v>
      </c>
      <c r="E35" s="2"/>
      <c r="F35" s="19"/>
      <c r="G35" s="2"/>
      <c r="H35" s="2">
        <f>-13.99</f>
        <v>-13.99</v>
      </c>
      <c r="I35" s="2"/>
      <c r="J35" s="19"/>
      <c r="K35" s="2"/>
      <c r="L35" s="2">
        <f t="shared" si="0"/>
        <v>-10.999999999999998</v>
      </c>
      <c r="M35" s="2"/>
      <c r="N35" s="19">
        <f t="shared" si="1"/>
        <v>0.78627591136526076</v>
      </c>
      <c r="O35" s="11"/>
      <c r="P35" s="2">
        <f>-49.98</f>
        <v>-49.98</v>
      </c>
      <c r="Q35" s="2"/>
      <c r="R35" s="19"/>
      <c r="S35" s="2"/>
      <c r="T35" s="2">
        <f>-13.99</f>
        <v>-13.99</v>
      </c>
      <c r="U35" s="2"/>
      <c r="V35" s="19"/>
      <c r="W35" s="2"/>
      <c r="X35" s="2">
        <f t="shared" si="2"/>
        <v>-35.989999999999995</v>
      </c>
      <c r="Y35" s="2"/>
      <c r="Z35" s="19">
        <f t="shared" si="3"/>
        <v>2.5725518227305213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>-34.98</f>
        <v>-34.979999999999997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-34.979999999999997</v>
      </c>
      <c r="M36" s="2"/>
      <c r="N36" s="19">
        <f t="shared" si="1"/>
        <v>0</v>
      </c>
      <c r="O36" s="11"/>
      <c r="P36" s="2">
        <f>-54.97</f>
        <v>-54.97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-54.97</v>
      </c>
      <c r="Y36" s="2"/>
      <c r="Z36" s="19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9" t="s">
        <v>8</v>
      </c>
      <c r="C38" s="10"/>
      <c r="D38" s="4">
        <f>SUM(OSRRefD16x_0)</f>
        <v>123920.84999999999</v>
      </c>
      <c r="E38" s="4"/>
      <c r="F38" s="12">
        <f t="shared" ref="F38:F51" si="8">IF(D$12=0,0,D38/D$12)</f>
        <v>0.84745694904460667</v>
      </c>
      <c r="G38" s="4"/>
      <c r="H38" s="4">
        <f>SUM(OSRRefH16x_0)</f>
        <v>150998.58000000002</v>
      </c>
      <c r="I38" s="4"/>
      <c r="J38" s="12">
        <f t="shared" ref="J38:J51" si="9">IF(H$12=0,0,H38/H$12)</f>
        <v>0.81805876837764635</v>
      </c>
      <c r="K38" s="4"/>
      <c r="L38" s="4">
        <f t="shared" ref="L38:L51" si="10">+D38-H38</f>
        <v>-27077.730000000025</v>
      </c>
      <c r="M38" s="4"/>
      <c r="N38" s="12">
        <f t="shared" ref="N38:N51" si="11">IF(H38=0,0,L38/H38)</f>
        <v>-0.17932440159371049</v>
      </c>
      <c r="O38" s="10"/>
      <c r="P38" s="4">
        <f>SUM(OSRRefP16x_0)</f>
        <v>1200081</v>
      </c>
      <c r="Q38" s="4"/>
      <c r="R38" s="12">
        <f t="shared" ref="R38:R51" si="12">IF(P$12=0,0,P38/P$12)</f>
        <v>0.89665025110489771</v>
      </c>
      <c r="S38" s="4"/>
      <c r="T38" s="4">
        <f>SUM(OSRRefT16x_0)</f>
        <v>1012053.3500000001</v>
      </c>
      <c r="U38" s="4"/>
      <c r="V38" s="12">
        <f t="shared" ref="V38:V51" si="13">IF(T$12=0,0,T38/T$12)</f>
        <v>0.85558238925526353</v>
      </c>
      <c r="W38" s="4"/>
      <c r="X38" s="4">
        <f t="shared" ref="X38:X51" si="14">+P38-T38</f>
        <v>188027.64999999991</v>
      </c>
      <c r="Y38" s="4"/>
      <c r="Z38" s="12">
        <f t="shared" ref="Z38:Z51" si="15">IF(T38=0,0,X38/T38)</f>
        <v>0.18578827884913368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18487.53</v>
      </c>
      <c r="E39" s="2"/>
      <c r="F39" s="19">
        <f t="shared" si="8"/>
        <v>0.12643058669441531</v>
      </c>
      <c r="G39" s="2"/>
      <c r="H39" s="2">
        <v>12957.53</v>
      </c>
      <c r="I39" s="2"/>
      <c r="J39" s="19">
        <f t="shared" si="9"/>
        <v>7.0199474942190865E-2</v>
      </c>
      <c r="K39" s="2"/>
      <c r="L39" s="2">
        <f t="shared" si="10"/>
        <v>5529.9999999999982</v>
      </c>
      <c r="M39" s="2"/>
      <c r="N39" s="19">
        <f t="shared" si="11"/>
        <v>0.42677886912088941</v>
      </c>
      <c r="O39" s="11"/>
      <c r="P39" s="2">
        <v>168173.62</v>
      </c>
      <c r="Q39" s="2"/>
      <c r="R39" s="19">
        <f t="shared" si="12"/>
        <v>0.12565228397268155</v>
      </c>
      <c r="S39" s="2"/>
      <c r="T39" s="2">
        <v>144599.59</v>
      </c>
      <c r="U39" s="2"/>
      <c r="V39" s="19">
        <f t="shared" si="13"/>
        <v>0.12224341997141899</v>
      </c>
      <c r="W39" s="2"/>
      <c r="X39" s="2">
        <f t="shared" si="14"/>
        <v>23574.03</v>
      </c>
      <c r="Y39" s="2"/>
      <c r="Z39" s="19">
        <f t="shared" si="15"/>
        <v>0.16302971536779598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94594.73</v>
      </c>
      <c r="E40" s="2"/>
      <c r="F40" s="19">
        <f t="shared" si="8"/>
        <v>0.64690454658355179</v>
      </c>
      <c r="G40" s="2"/>
      <c r="H40" s="2">
        <v>54396.52</v>
      </c>
      <c r="I40" s="2"/>
      <c r="J40" s="19">
        <f t="shared" si="9"/>
        <v>0.29470177901825301</v>
      </c>
      <c r="K40" s="2"/>
      <c r="L40" s="2">
        <f t="shared" si="10"/>
        <v>40198.21</v>
      </c>
      <c r="M40" s="2"/>
      <c r="N40" s="19">
        <f t="shared" si="11"/>
        <v>0.73898495712593382</v>
      </c>
      <c r="O40" s="11"/>
      <c r="P40" s="2">
        <v>895637.7</v>
      </c>
      <c r="Q40" s="2"/>
      <c r="R40" s="19">
        <f t="shared" si="12"/>
        <v>0.66918297065282506</v>
      </c>
      <c r="S40" s="2"/>
      <c r="T40" s="2">
        <v>634809.41</v>
      </c>
      <c r="U40" s="2"/>
      <c r="V40" s="19">
        <f t="shared" si="13"/>
        <v>0.53666316279623416</v>
      </c>
      <c r="W40" s="2"/>
      <c r="X40" s="2">
        <f t="shared" si="14"/>
        <v>260828.28999999992</v>
      </c>
      <c r="Y40" s="2"/>
      <c r="Z40" s="19">
        <f t="shared" si="15"/>
        <v>0.41087653379303229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14096.28</v>
      </c>
      <c r="E41" s="2"/>
      <c r="F41" s="19">
        <f t="shared" si="8"/>
        <v>9.6400165441719532E-2</v>
      </c>
      <c r="G41" s="2"/>
      <c r="H41" s="2">
        <v>13280.61</v>
      </c>
      <c r="I41" s="2"/>
      <c r="J41" s="19">
        <f t="shared" si="9"/>
        <v>7.1949812110179132E-2</v>
      </c>
      <c r="K41" s="2"/>
      <c r="L41" s="2">
        <f t="shared" si="10"/>
        <v>815.67000000000007</v>
      </c>
      <c r="M41" s="2"/>
      <c r="N41" s="19">
        <f t="shared" si="11"/>
        <v>6.1418112571636395E-2</v>
      </c>
      <c r="O41" s="11"/>
      <c r="P41" s="2">
        <v>41808.689999999995</v>
      </c>
      <c r="Q41" s="2"/>
      <c r="R41" s="19">
        <f t="shared" si="12"/>
        <v>3.1237701777519035E-2</v>
      </c>
      <c r="S41" s="2"/>
      <c r="T41" s="2">
        <v>44054.52</v>
      </c>
      <c r="U41" s="2"/>
      <c r="V41" s="19">
        <f t="shared" si="13"/>
        <v>3.7243364175508914E-2</v>
      </c>
      <c r="W41" s="2"/>
      <c r="X41" s="2">
        <f t="shared" si="14"/>
        <v>-2245.8300000000017</v>
      </c>
      <c r="Y41" s="2"/>
      <c r="Z41" s="19">
        <f t="shared" si="15"/>
        <v>-5.0978424007343669E-2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>
        <v>1206</v>
      </c>
      <c r="E42" s="2"/>
      <c r="F42" s="19">
        <f t="shared" si="8"/>
        <v>8.2474666736694884E-3</v>
      </c>
      <c r="G42" s="2"/>
      <c r="H42" s="2">
        <v>129</v>
      </c>
      <c r="I42" s="2"/>
      <c r="J42" s="19">
        <f t="shared" si="9"/>
        <v>6.9887797038035971E-4</v>
      </c>
      <c r="K42" s="2"/>
      <c r="L42" s="2">
        <f t="shared" si="10"/>
        <v>1077</v>
      </c>
      <c r="M42" s="2"/>
      <c r="N42" s="19">
        <f t="shared" si="11"/>
        <v>8.3488372093023262</v>
      </c>
      <c r="O42" s="11"/>
      <c r="P42" s="2">
        <v>2728</v>
      </c>
      <c r="Q42" s="2"/>
      <c r="R42" s="19">
        <f t="shared" si="12"/>
        <v>2.0382473224841999E-3</v>
      </c>
      <c r="S42" s="2"/>
      <c r="T42" s="2">
        <v>228</v>
      </c>
      <c r="U42" s="2"/>
      <c r="V42" s="19">
        <f t="shared" si="13"/>
        <v>1.9274950747428491E-4</v>
      </c>
      <c r="W42" s="2"/>
      <c r="X42" s="2">
        <f t="shared" si="14"/>
        <v>2500</v>
      </c>
      <c r="Y42" s="2"/>
      <c r="Z42" s="19">
        <f t="shared" si="15"/>
        <v>10.964912280701755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506.04</v>
      </c>
      <c r="E43" s="2"/>
      <c r="F43" s="19">
        <f t="shared" si="8"/>
        <v>3.4606534291407201E-3</v>
      </c>
      <c r="G43" s="2"/>
      <c r="H43" s="2">
        <v>1943.84</v>
      </c>
      <c r="I43" s="2"/>
      <c r="J43" s="19">
        <f t="shared" si="9"/>
        <v>1.0531061658481847E-2</v>
      </c>
      <c r="K43" s="2"/>
      <c r="L43" s="2">
        <f t="shared" si="10"/>
        <v>-1437.8</v>
      </c>
      <c r="M43" s="2"/>
      <c r="N43" s="19">
        <f t="shared" si="11"/>
        <v>-0.73966993168161987</v>
      </c>
      <c r="O43" s="11"/>
      <c r="P43" s="2">
        <v>6932.04</v>
      </c>
      <c r="Q43" s="2"/>
      <c r="R43" s="19">
        <f t="shared" si="12"/>
        <v>5.1793299007893588E-3</v>
      </c>
      <c r="S43" s="2"/>
      <c r="T43" s="2">
        <v>6563.47</v>
      </c>
      <c r="U43" s="2"/>
      <c r="V43" s="19">
        <f t="shared" si="13"/>
        <v>5.5487088150098455E-3</v>
      </c>
      <c r="W43" s="2"/>
      <c r="X43" s="2">
        <f t="shared" si="14"/>
        <v>368.56999999999971</v>
      </c>
      <c r="Y43" s="2"/>
      <c r="Z43" s="19">
        <f t="shared" si="15"/>
        <v>5.6154747412572877E-2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5888.35</v>
      </c>
      <c r="E44" s="2"/>
      <c r="F44" s="19">
        <f t="shared" si="8"/>
        <v>4.0268632162439255E-2</v>
      </c>
      <c r="G44" s="2"/>
      <c r="H44" s="2">
        <v>3307.22</v>
      </c>
      <c r="I44" s="2"/>
      <c r="J44" s="19">
        <f t="shared" si="9"/>
        <v>1.7917389156599479E-2</v>
      </c>
      <c r="K44" s="2"/>
      <c r="L44" s="2">
        <f t="shared" si="10"/>
        <v>2581.1300000000006</v>
      </c>
      <c r="M44" s="2"/>
      <c r="N44" s="19">
        <f t="shared" si="11"/>
        <v>0.78045306934525094</v>
      </c>
      <c r="O44" s="11"/>
      <c r="P44" s="2">
        <v>18368.099999999999</v>
      </c>
      <c r="Q44" s="2"/>
      <c r="R44" s="19">
        <f t="shared" si="12"/>
        <v>1.3723874869546198E-2</v>
      </c>
      <c r="S44" s="2"/>
      <c r="T44" s="2">
        <v>17222.939999999999</v>
      </c>
      <c r="U44" s="2"/>
      <c r="V44" s="19">
        <f t="shared" si="13"/>
        <v>1.4560145623943685E-2</v>
      </c>
      <c r="W44" s="2"/>
      <c r="X44" s="2">
        <f t="shared" si="14"/>
        <v>1145.1599999999999</v>
      </c>
      <c r="Y44" s="2"/>
      <c r="Z44" s="19">
        <f t="shared" si="15"/>
        <v>6.6490390142449549E-2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8"/>
        <v>0</v>
      </c>
      <c r="G45" s="2"/>
      <c r="H45" s="2"/>
      <c r="I45" s="2"/>
      <c r="J45" s="19">
        <f t="shared" si="9"/>
        <v>0</v>
      </c>
      <c r="K45" s="2"/>
      <c r="L45" s="2">
        <f t="shared" si="10"/>
        <v>0</v>
      </c>
      <c r="M45" s="2"/>
      <c r="N45" s="19">
        <f t="shared" si="11"/>
        <v>0</v>
      </c>
      <c r="O45" s="11"/>
      <c r="P45" s="2">
        <v>88.75</v>
      </c>
      <c r="Q45" s="2"/>
      <c r="R45" s="19">
        <f t="shared" si="12"/>
        <v>6.6310282210583848E-5</v>
      </c>
      <c r="S45" s="2"/>
      <c r="T45" s="2">
        <v>0</v>
      </c>
      <c r="U45" s="2"/>
      <c r="V45" s="19">
        <f t="shared" si="13"/>
        <v>0</v>
      </c>
      <c r="W45" s="2"/>
      <c r="X45" s="2">
        <f t="shared" si="14"/>
        <v>88.75</v>
      </c>
      <c r="Y45" s="2"/>
      <c r="Z45" s="19">
        <f t="shared" si="15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-134851</v>
      </c>
      <c r="E46" s="2"/>
      <c r="F46" s="19">
        <f t="shared" si="8"/>
        <v>-0.92220491576368513</v>
      </c>
      <c r="G46" s="2"/>
      <c r="H46" s="2">
        <v>-86057</v>
      </c>
      <c r="I46" s="2"/>
      <c r="J46" s="19">
        <f t="shared" si="9"/>
        <v>-0.46622745346529154</v>
      </c>
      <c r="K46" s="2"/>
      <c r="L46" s="2">
        <f t="shared" si="10"/>
        <v>-48794</v>
      </c>
      <c r="M46" s="2"/>
      <c r="N46" s="19">
        <f t="shared" si="11"/>
        <v>0.56699629315453715</v>
      </c>
      <c r="O46" s="11"/>
      <c r="P46" s="2">
        <v>-1134049</v>
      </c>
      <c r="Q46" s="2"/>
      <c r="R46" s="19">
        <f t="shared" si="12"/>
        <v>-0.84731390682400454</v>
      </c>
      <c r="S46" s="2"/>
      <c r="T46" s="2">
        <v>-847634</v>
      </c>
      <c r="U46" s="2"/>
      <c r="V46" s="19">
        <f t="shared" si="13"/>
        <v>-0.71658349130902632</v>
      </c>
      <c r="W46" s="2"/>
      <c r="X46" s="2">
        <f t="shared" si="14"/>
        <v>-286415</v>
      </c>
      <c r="Y46" s="2"/>
      <c r="Z46" s="19">
        <f t="shared" si="15"/>
        <v>0.33789937638178741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123920</v>
      </c>
      <c r="E47" s="2"/>
      <c r="F47" s="19">
        <f t="shared" si="8"/>
        <v>0.84745113615350176</v>
      </c>
      <c r="G47" s="2"/>
      <c r="H47" s="2">
        <v>150999</v>
      </c>
      <c r="I47" s="2"/>
      <c r="J47" s="19">
        <f t="shared" si="9"/>
        <v>0.81806104379429401</v>
      </c>
      <c r="K47" s="2"/>
      <c r="L47" s="2">
        <f t="shared" si="10"/>
        <v>-27079</v>
      </c>
      <c r="M47" s="2"/>
      <c r="N47" s="19">
        <f t="shared" si="11"/>
        <v>-0.17933231345902953</v>
      </c>
      <c r="O47" s="11"/>
      <c r="P47" s="2">
        <v>1200079</v>
      </c>
      <c r="Q47" s="2"/>
      <c r="R47" s="19">
        <f t="shared" si="12"/>
        <v>0.89664875678867884</v>
      </c>
      <c r="S47" s="2"/>
      <c r="T47" s="2">
        <v>1012055.0000000001</v>
      </c>
      <c r="U47" s="2"/>
      <c r="V47" s="19">
        <f t="shared" si="13"/>
        <v>0.85558378415301506</v>
      </c>
      <c r="W47" s="2"/>
      <c r="X47" s="2">
        <f t="shared" si="14"/>
        <v>188023.99999999988</v>
      </c>
      <c r="Y47" s="2"/>
      <c r="Z47" s="19">
        <f t="shared" si="15"/>
        <v>0.18578436942656265</v>
      </c>
    </row>
    <row r="48" spans="1:26" s="24" customFormat="1" hidden="1" outlineLevel="1" x14ac:dyDescent="0.25">
      <c r="A48" s="44"/>
      <c r="B48" s="11" t="str">
        <f>CONCATENATE("          ", "5581", " - ", "FREIGHT-IN-ELECTRONICS")</f>
        <v xml:space="preserve">          5581 - FREIGHT-IN-ELECTRONICS</v>
      </c>
      <c r="C48" s="11"/>
      <c r="D48" s="2">
        <v>12.8</v>
      </c>
      <c r="E48" s="2"/>
      <c r="F48" s="19">
        <f t="shared" si="8"/>
        <v>8.7535301345745823E-5</v>
      </c>
      <c r="G48" s="2"/>
      <c r="H48" s="2"/>
      <c r="I48" s="2"/>
      <c r="J48" s="19">
        <f t="shared" si="9"/>
        <v>0</v>
      </c>
      <c r="K48" s="2"/>
      <c r="L48" s="2">
        <f t="shared" si="10"/>
        <v>12.8</v>
      </c>
      <c r="M48" s="2"/>
      <c r="N48" s="19">
        <f t="shared" si="11"/>
        <v>0</v>
      </c>
      <c r="O48" s="11"/>
      <c r="P48" s="2">
        <v>105.75</v>
      </c>
      <c r="Q48" s="2"/>
      <c r="R48" s="19">
        <f t="shared" si="12"/>
        <v>7.9011970070639342E-5</v>
      </c>
      <c r="S48" s="2"/>
      <c r="T48" s="2"/>
      <c r="U48" s="2"/>
      <c r="V48" s="19">
        <f t="shared" si="13"/>
        <v>0</v>
      </c>
      <c r="W48" s="2"/>
      <c r="X48" s="2">
        <f t="shared" si="14"/>
        <v>105.75</v>
      </c>
      <c r="Y48" s="2"/>
      <c r="Z48" s="19">
        <f t="shared" si="15"/>
        <v>0</v>
      </c>
    </row>
    <row r="49" spans="1:26" s="24" customFormat="1" hidden="1" outlineLevel="1" x14ac:dyDescent="0.25">
      <c r="A49" s="44"/>
      <c r="B49" s="11" t="str">
        <f>CONCATENATE("          ", "5582", " - ", "FREIGHT-IN-COMPUTER HARDWARE")</f>
        <v xml:space="preserve">          5582 - FREIGHT-IN-COMPUTER HARDWARE</v>
      </c>
      <c r="C49" s="11"/>
      <c r="D49" s="2"/>
      <c r="E49" s="2"/>
      <c r="F49" s="19">
        <f t="shared" si="8"/>
        <v>0</v>
      </c>
      <c r="G49" s="2"/>
      <c r="H49" s="2"/>
      <c r="I49" s="2"/>
      <c r="J49" s="19">
        <f t="shared" si="9"/>
        <v>0</v>
      </c>
      <c r="K49" s="2"/>
      <c r="L49" s="2">
        <f t="shared" si="10"/>
        <v>0</v>
      </c>
      <c r="M49" s="2"/>
      <c r="N49" s="19">
        <f t="shared" si="11"/>
        <v>0</v>
      </c>
      <c r="O49" s="11"/>
      <c r="P49" s="2">
        <v>4.84</v>
      </c>
      <c r="Q49" s="2"/>
      <c r="R49" s="19">
        <f t="shared" si="12"/>
        <v>3.6162452495687415E-6</v>
      </c>
      <c r="S49" s="2"/>
      <c r="T49" s="2"/>
      <c r="U49" s="2"/>
      <c r="V49" s="19">
        <f t="shared" si="13"/>
        <v>0</v>
      </c>
      <c r="W49" s="2"/>
      <c r="X49" s="2">
        <f t="shared" si="14"/>
        <v>4.84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"5583", " - ", "FREIGHT-IN-COMPUTER EQUIPMENT")</f>
        <v xml:space="preserve">          5583 - FREIGHT-IN-COMPUTER EQUIPMENT</v>
      </c>
      <c r="C50" s="11"/>
      <c r="D50" s="2"/>
      <c r="E50" s="2"/>
      <c r="F50" s="19">
        <f t="shared" si="8"/>
        <v>0</v>
      </c>
      <c r="G50" s="2"/>
      <c r="H50" s="2">
        <v>14.63</v>
      </c>
      <c r="I50" s="2"/>
      <c r="J50" s="19">
        <f t="shared" si="9"/>
        <v>7.9260346563291963E-5</v>
      </c>
      <c r="K50" s="2"/>
      <c r="L50" s="2">
        <f t="shared" si="10"/>
        <v>-14.63</v>
      </c>
      <c r="M50" s="2"/>
      <c r="N50" s="19">
        <f t="shared" si="11"/>
        <v>-1</v>
      </c>
      <c r="O50" s="11"/>
      <c r="P50" s="2">
        <v>41</v>
      </c>
      <c r="Q50" s="2"/>
      <c r="R50" s="19">
        <f t="shared" si="12"/>
        <v>3.0633482486016197E-5</v>
      </c>
      <c r="S50" s="2"/>
      <c r="T50" s="2">
        <v>22.9</v>
      </c>
      <c r="U50" s="2"/>
      <c r="V50" s="19">
        <f t="shared" si="13"/>
        <v>1.9359490005092649E-5</v>
      </c>
      <c r="W50" s="2"/>
      <c r="X50" s="2">
        <f t="shared" si="14"/>
        <v>18.100000000000001</v>
      </c>
      <c r="Y50" s="2"/>
      <c r="Z50" s="19">
        <f t="shared" si="15"/>
        <v>0.79039301310043675</v>
      </c>
    </row>
    <row r="51" spans="1:26" s="24" customFormat="1" hidden="1" outlineLevel="1" x14ac:dyDescent="0.25">
      <c r="A51" s="44"/>
      <c r="B51" s="11" t="str">
        <f>CONCATENATE("          ", "5586", " - ", "FREIGHT-IN-COMPUTER SUPPLIES")</f>
        <v xml:space="preserve">          5586 - FREIGHT-IN-COMPUTER SUPPLIES</v>
      </c>
      <c r="C51" s="11"/>
      <c r="D51" s="2">
        <v>60.12</v>
      </c>
      <c r="E51" s="2"/>
      <c r="F51" s="19">
        <f t="shared" si="8"/>
        <v>4.1114236850829986E-4</v>
      </c>
      <c r="G51" s="2"/>
      <c r="H51" s="2">
        <v>27.23</v>
      </c>
      <c r="I51" s="2"/>
      <c r="J51" s="19">
        <f t="shared" si="9"/>
        <v>1.4752284599579219E-4</v>
      </c>
      <c r="K51" s="2"/>
      <c r="L51" s="2">
        <f t="shared" si="10"/>
        <v>32.89</v>
      </c>
      <c r="M51" s="2"/>
      <c r="N51" s="19">
        <f t="shared" si="11"/>
        <v>1.2078589790672052</v>
      </c>
      <c r="O51" s="11"/>
      <c r="P51" s="2">
        <v>162.51</v>
      </c>
      <c r="Q51" s="2"/>
      <c r="R51" s="19">
        <f t="shared" si="12"/>
        <v>1.214206643610364E-4</v>
      </c>
      <c r="S51" s="2"/>
      <c r="T51" s="2">
        <v>131.52000000000001</v>
      </c>
      <c r="U51" s="2"/>
      <c r="V51" s="19">
        <f t="shared" si="13"/>
        <v>1.111860316799033E-4</v>
      </c>
      <c r="W51" s="2"/>
      <c r="X51" s="2">
        <f t="shared" si="14"/>
        <v>30.989999999999981</v>
      </c>
      <c r="Y51" s="2"/>
      <c r="Z51" s="19">
        <f t="shared" si="15"/>
        <v>0.23562956204379545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6</v>
      </c>
      <c r="C53" s="28"/>
      <c r="D53" s="21">
        <f>D12-D38</f>
        <v>22305.870000000039</v>
      </c>
      <c r="E53" s="14"/>
      <c r="F53" s="22">
        <f>IF(D$12=0,0,D53/D$12)</f>
        <v>0.15254305095539333</v>
      </c>
      <c r="G53" s="14"/>
      <c r="H53" s="21">
        <f>H12-H38</f>
        <v>33583</v>
      </c>
      <c r="I53" s="14"/>
      <c r="J53" s="22">
        <f>IF(H$12=0,0,H53/H$12)</f>
        <v>0.18194123162235362</v>
      </c>
      <c r="K53" s="16"/>
      <c r="L53" s="21">
        <f>+D53-H53</f>
        <v>-11277.129999999961</v>
      </c>
      <c r="M53" s="16"/>
      <c r="N53" s="22">
        <f>IF(H53=0,0,L53/H53)</f>
        <v>-0.3357987672334205</v>
      </c>
      <c r="O53" s="29"/>
      <c r="P53" s="21">
        <f>P12-P38</f>
        <v>138323.79999999958</v>
      </c>
      <c r="Q53" s="14"/>
      <c r="R53" s="22">
        <f>IF(P$12=0,0,P53/P$12)</f>
        <v>0.1033497488951023</v>
      </c>
      <c r="S53" s="14"/>
      <c r="T53" s="21">
        <f>T12-T38</f>
        <v>170829.04999999958</v>
      </c>
      <c r="U53" s="14"/>
      <c r="V53" s="22">
        <f>IF(T$12=0,0,T53/T$12)</f>
        <v>0.14441761074473644</v>
      </c>
      <c r="W53" s="16"/>
      <c r="X53" s="21">
        <f>+P53-T53</f>
        <v>-32505.25</v>
      </c>
      <c r="Y53" s="16"/>
      <c r="Z53" s="22">
        <f>IF(T53=0,0,X53/T53)</f>
        <v>-0.19027940505435159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9" t="s">
        <v>9</v>
      </c>
      <c r="C55" s="10"/>
      <c r="D55" s="20">
        <f>SUM(OSRRefD22x_0)</f>
        <v>17525.629999999997</v>
      </c>
      <c r="E55" s="20"/>
      <c r="F55" s="35">
        <f t="shared" ref="F55:F65" si="16">IF(D$12=0,0,D55/D$12)</f>
        <v>0.11985244557219087</v>
      </c>
      <c r="G55" s="20"/>
      <c r="H55" s="20">
        <f>SUM(OSRRefH22x_0)</f>
        <v>20344.150000000001</v>
      </c>
      <c r="I55" s="20"/>
      <c r="J55" s="35">
        <f t="shared" ref="J55:J65" si="17">IF(H$12=0,0,H55/H$12)</f>
        <v>0.11021766093886508</v>
      </c>
      <c r="K55" s="4"/>
      <c r="L55" s="20">
        <f t="shared" ref="L55:L65" si="18">+D55-H55</f>
        <v>-2818.5200000000041</v>
      </c>
      <c r="M55" s="4"/>
      <c r="N55" s="35">
        <f t="shared" ref="N55:N65" si="19">IF(H55=0,0,L55/H55)</f>
        <v>-0.1385420378831263</v>
      </c>
      <c r="O55" s="10"/>
      <c r="P55" s="20">
        <f>SUM(OSRRefP22x_0)</f>
        <v>119718.84999999999</v>
      </c>
      <c r="Q55" s="20"/>
      <c r="R55" s="35">
        <f t="shared" ref="R55:R65" si="20">IF(P$12=0,0,P55/P$12)</f>
        <v>8.9448909627341464E-2</v>
      </c>
      <c r="S55" s="20"/>
      <c r="T55" s="20">
        <f>SUM(OSRRefT22x_0)</f>
        <v>133855.45000000001</v>
      </c>
      <c r="U55" s="20"/>
      <c r="V55" s="35">
        <f t="shared" ref="V55:V65" si="21">IF(T$12=0,0,T55/T$12)</f>
        <v>0.11316040377302093</v>
      </c>
      <c r="W55" s="4"/>
      <c r="X55" s="20">
        <f t="shared" ref="X55:X65" si="22">+P55-T55</f>
        <v>-14136.60000000002</v>
      </c>
      <c r="Y55" s="4"/>
      <c r="Z55" s="35">
        <f t="shared" ref="Z55:Z65" si="23">IF(T55=0,0,X55/T55)</f>
        <v>-0.10561094075736191</v>
      </c>
    </row>
    <row r="56" spans="1:26" s="27" customFormat="1" outlineLevel="1" collapsed="1" x14ac:dyDescent="0.25">
      <c r="A56" s="25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3367.3299999999995</v>
      </c>
      <c r="E56" s="1"/>
      <c r="F56" s="5">
        <f t="shared" si="16"/>
        <v>2.3028144240669551E-2</v>
      </c>
      <c r="G56" s="1"/>
      <c r="H56" s="1">
        <f>SUM(OSRRefH22_0x_0)</f>
        <v>3160.0399999999995</v>
      </c>
      <c r="I56" s="1"/>
      <c r="J56" s="5">
        <f t="shared" si="17"/>
        <v>1.7120018151323656E-2</v>
      </c>
      <c r="K56" s="1"/>
      <c r="L56" s="1">
        <f t="shared" si="18"/>
        <v>207.28999999999996</v>
      </c>
      <c r="M56" s="1"/>
      <c r="N56" s="5">
        <f t="shared" si="19"/>
        <v>6.5597270920621259E-2</v>
      </c>
      <c r="O56" s="13"/>
      <c r="P56" s="1">
        <f>SUM(OSRRefP22_0x_0)</f>
        <v>12276.279999999999</v>
      </c>
      <c r="Q56" s="1"/>
      <c r="R56" s="5">
        <f t="shared" si="20"/>
        <v>9.1723221554495336E-3</v>
      </c>
      <c r="S56" s="1"/>
      <c r="T56" s="1">
        <f>SUM(OSRRefT22_0x_0)</f>
        <v>10503.29</v>
      </c>
      <c r="U56" s="1"/>
      <c r="V56" s="5">
        <f t="shared" si="21"/>
        <v>8.8794033963139566E-3</v>
      </c>
      <c r="W56" s="1"/>
      <c r="X56" s="1">
        <f t="shared" si="22"/>
        <v>1772.989999999998</v>
      </c>
      <c r="Y56" s="1"/>
      <c r="Z56" s="5">
        <f t="shared" si="23"/>
        <v>0.16880329877590716</v>
      </c>
    </row>
    <row r="57" spans="1:26" s="24" customFormat="1" hidden="1" outlineLevel="2" x14ac:dyDescent="0.25">
      <c r="A57" s="26"/>
      <c r="B57" s="11" t="str">
        <f>CONCATENATE("          ", "6111", " - ", "F.I.C.A.")</f>
        <v xml:space="preserve">          6111 - F.I.C.A.</v>
      </c>
      <c r="C57" s="11"/>
      <c r="D57" s="6">
        <v>1360.46</v>
      </c>
      <c r="E57" s="2"/>
      <c r="F57" s="7">
        <f t="shared" si="16"/>
        <v>9.3037715678776067E-3</v>
      </c>
      <c r="G57" s="2"/>
      <c r="H57" s="6">
        <v>971.85</v>
      </c>
      <c r="I57" s="2"/>
      <c r="J57" s="7">
        <f t="shared" si="17"/>
        <v>5.2651515931329655E-3</v>
      </c>
      <c r="K57" s="2"/>
      <c r="L57" s="6">
        <f t="shared" si="18"/>
        <v>388.61</v>
      </c>
      <c r="M57" s="2"/>
      <c r="N57" s="7">
        <f t="shared" si="19"/>
        <v>0.39986623450120906</v>
      </c>
      <c r="O57" s="11"/>
      <c r="P57" s="6">
        <v>3135.16</v>
      </c>
      <c r="Q57" s="2"/>
      <c r="R57" s="7">
        <f t="shared" si="20"/>
        <v>2.342460218313623E-3</v>
      </c>
      <c r="S57" s="2"/>
      <c r="T57" s="6">
        <v>2768.55</v>
      </c>
      <c r="U57" s="2"/>
      <c r="V57" s="7">
        <f t="shared" si="21"/>
        <v>2.3405116180611031E-3</v>
      </c>
      <c r="W57" s="2"/>
      <c r="X57" s="6">
        <f t="shared" si="22"/>
        <v>366.60999999999967</v>
      </c>
      <c r="Y57" s="2"/>
      <c r="Z57" s="7">
        <f t="shared" si="23"/>
        <v>0.13241949757093049</v>
      </c>
    </row>
    <row r="58" spans="1:26" s="24" customFormat="1" hidden="1" outlineLevel="2" x14ac:dyDescent="0.25">
      <c r="A58" s="26"/>
      <c r="B58" s="11" t="str">
        <f>CONCATENATE("          ", "6112", " - ", "COMPENSATION INSURANCE")</f>
        <v xml:space="preserve">          6112 - COMPENSATION INSURANCE</v>
      </c>
      <c r="C58" s="11"/>
      <c r="D58" s="6">
        <v>47.99</v>
      </c>
      <c r="E58" s="2"/>
      <c r="F58" s="7">
        <f t="shared" si="16"/>
        <v>3.2818899309237047E-4</v>
      </c>
      <c r="G58" s="2"/>
      <c r="H58" s="6">
        <v>275.18</v>
      </c>
      <c r="I58" s="2"/>
      <c r="J58" s="7">
        <f t="shared" si="17"/>
        <v>1.490831316971065E-3</v>
      </c>
      <c r="K58" s="2"/>
      <c r="L58" s="6">
        <f t="shared" si="18"/>
        <v>-227.19</v>
      </c>
      <c r="M58" s="2"/>
      <c r="N58" s="7">
        <f t="shared" si="19"/>
        <v>-0.82560505850715893</v>
      </c>
      <c r="O58" s="11"/>
      <c r="P58" s="6">
        <v>511.56</v>
      </c>
      <c r="Q58" s="2"/>
      <c r="R58" s="7">
        <f t="shared" si="20"/>
        <v>3.8221620245235236E-4</v>
      </c>
      <c r="S58" s="2"/>
      <c r="T58" s="6">
        <v>536.38</v>
      </c>
      <c r="U58" s="2"/>
      <c r="V58" s="7">
        <f t="shared" si="21"/>
        <v>4.5345167025902163E-4</v>
      </c>
      <c r="W58" s="2"/>
      <c r="X58" s="6">
        <f t="shared" si="22"/>
        <v>-24.819999999999993</v>
      </c>
      <c r="Y58" s="2"/>
      <c r="Z58" s="7">
        <f t="shared" si="23"/>
        <v>-4.6273164547522269E-2</v>
      </c>
    </row>
    <row r="59" spans="1:26" s="24" customFormat="1" hidden="1" outlineLevel="2" x14ac:dyDescent="0.25">
      <c r="A59" s="26"/>
      <c r="B59" s="11" t="str">
        <f>CONCATENATE("          ", "6113", " - ", "GROUP INSURANCE")</f>
        <v xml:space="preserve">          6113 - GROUP INSURANCE</v>
      </c>
      <c r="C59" s="11"/>
      <c r="D59" s="6">
        <v>964.88</v>
      </c>
      <c r="E59" s="2"/>
      <c r="F59" s="7">
        <f t="shared" si="16"/>
        <v>6.5985204345690024E-3</v>
      </c>
      <c r="G59" s="2"/>
      <c r="H59" s="6">
        <v>1029.08</v>
      </c>
      <c r="I59" s="2"/>
      <c r="J59" s="7">
        <f t="shared" si="17"/>
        <v>5.5752041996823291E-3</v>
      </c>
      <c r="K59" s="2"/>
      <c r="L59" s="6">
        <f t="shared" si="18"/>
        <v>-64.199999999999932</v>
      </c>
      <c r="M59" s="2"/>
      <c r="N59" s="7">
        <f t="shared" si="19"/>
        <v>-6.2385820344385216E-2</v>
      </c>
      <c r="O59" s="11"/>
      <c r="P59" s="6">
        <v>3859.52</v>
      </c>
      <c r="Q59" s="2"/>
      <c r="R59" s="7">
        <f t="shared" si="20"/>
        <v>2.8836716664494937E-3</v>
      </c>
      <c r="S59" s="2"/>
      <c r="T59" s="6">
        <v>3480.5</v>
      </c>
      <c r="U59" s="2"/>
      <c r="V59" s="7">
        <f t="shared" si="21"/>
        <v>2.9423888630010905E-3</v>
      </c>
      <c r="W59" s="2"/>
      <c r="X59" s="6">
        <f t="shared" si="22"/>
        <v>379.02</v>
      </c>
      <c r="Y59" s="2"/>
      <c r="Z59" s="7">
        <f t="shared" si="23"/>
        <v>0.10889814681798592</v>
      </c>
    </row>
    <row r="60" spans="1:26" s="24" customFormat="1" hidden="1" outlineLevel="2" x14ac:dyDescent="0.25">
      <c r="A60" s="26"/>
      <c r="B60" s="11" t="str">
        <f>CONCATENATE("          ", "6114", " - ", "STATE UNEMPLOYMENT INSURANCE")</f>
        <v xml:space="preserve">          6114 - STATE UNEMPLOYMENT INSURANCE</v>
      </c>
      <c r="C60" s="11"/>
      <c r="D60" s="6">
        <v>32.96</v>
      </c>
      <c r="E60" s="2"/>
      <c r="F60" s="7">
        <f t="shared" si="16"/>
        <v>2.254034009652955E-4</v>
      </c>
      <c r="G60" s="2"/>
      <c r="H60" s="6">
        <v>31.31</v>
      </c>
      <c r="I60" s="2"/>
      <c r="J60" s="7">
        <f t="shared" si="17"/>
        <v>1.6962689343107799E-4</v>
      </c>
      <c r="K60" s="2"/>
      <c r="L60" s="6">
        <f t="shared" si="18"/>
        <v>1.6500000000000021</v>
      </c>
      <c r="M60" s="2"/>
      <c r="N60" s="7">
        <f t="shared" si="19"/>
        <v>5.2698818268923739E-2</v>
      </c>
      <c r="O60" s="11"/>
      <c r="P60" s="6">
        <v>96.4</v>
      </c>
      <c r="Q60" s="2"/>
      <c r="R60" s="7">
        <f t="shared" si="20"/>
        <v>7.202604174760882E-5</v>
      </c>
      <c r="S60" s="2"/>
      <c r="T60" s="6">
        <v>117.2</v>
      </c>
      <c r="U60" s="2"/>
      <c r="V60" s="7">
        <f t="shared" si="21"/>
        <v>9.9080009982395573E-5</v>
      </c>
      <c r="W60" s="2"/>
      <c r="X60" s="6">
        <f t="shared" si="22"/>
        <v>-20.799999999999997</v>
      </c>
      <c r="Y60" s="2"/>
      <c r="Z60" s="7">
        <f t="shared" si="23"/>
        <v>-0.1774744027303754</v>
      </c>
    </row>
    <row r="61" spans="1:26" s="24" customFormat="1" hidden="1" outlineLevel="2" x14ac:dyDescent="0.25">
      <c r="A61" s="26"/>
      <c r="B61" s="11" t="str">
        <f>CONCATENATE("          ", "6115", " - ", "P.E.R.S.")</f>
        <v xml:space="preserve">          6115 - P.E.R.S.</v>
      </c>
      <c r="C61" s="11"/>
      <c r="D61" s="6">
        <v>196.25</v>
      </c>
      <c r="E61" s="2"/>
      <c r="F61" s="7">
        <f t="shared" si="16"/>
        <v>1.342093975711142E-3</v>
      </c>
      <c r="G61" s="2"/>
      <c r="H61" s="6">
        <v>174.42</v>
      </c>
      <c r="I61" s="2"/>
      <c r="J61" s="7">
        <f t="shared" si="17"/>
        <v>9.4494802785846763E-4</v>
      </c>
      <c r="K61" s="2"/>
      <c r="L61" s="6">
        <f t="shared" si="18"/>
        <v>21.830000000000013</v>
      </c>
      <c r="M61" s="2"/>
      <c r="N61" s="7">
        <f t="shared" si="19"/>
        <v>0.12515766540534351</v>
      </c>
      <c r="O61" s="11"/>
      <c r="P61" s="6">
        <v>759.3</v>
      </c>
      <c r="Q61" s="2"/>
      <c r="R61" s="7">
        <f t="shared" si="20"/>
        <v>5.6731715247883166E-4</v>
      </c>
      <c r="S61" s="2"/>
      <c r="T61" s="6">
        <v>782.35</v>
      </c>
      <c r="U61" s="2"/>
      <c r="V61" s="7">
        <f t="shared" si="21"/>
        <v>6.6139288233555609E-4</v>
      </c>
      <c r="W61" s="2"/>
      <c r="X61" s="6">
        <f t="shared" si="22"/>
        <v>-23.050000000000068</v>
      </c>
      <c r="Y61" s="2"/>
      <c r="Z61" s="7">
        <f t="shared" si="23"/>
        <v>-2.9462516776378945E-2</v>
      </c>
    </row>
    <row r="62" spans="1:26" s="24" customFormat="1" hidden="1" outlineLevel="2" x14ac:dyDescent="0.25">
      <c r="A62" s="26"/>
      <c r="B62" s="11" t="str">
        <f>CONCATENATE("          ", "6117", " - ", "RETIREMENT STAFF HOURLY")</f>
        <v xml:space="preserve">          6117 - RETIREMENT STAFF HOURLY</v>
      </c>
      <c r="C62" s="11"/>
      <c r="D62" s="6">
        <v>146.69999999999999</v>
      </c>
      <c r="E62" s="2"/>
      <c r="F62" s="7">
        <f t="shared" si="16"/>
        <v>1.0032366177672586E-3</v>
      </c>
      <c r="G62" s="2"/>
      <c r="H62" s="6">
        <v>131.47999999999999</v>
      </c>
      <c r="I62" s="2"/>
      <c r="J62" s="7">
        <f t="shared" si="17"/>
        <v>7.1231376391945494E-4</v>
      </c>
      <c r="K62" s="2"/>
      <c r="L62" s="6">
        <f t="shared" si="18"/>
        <v>15.219999999999999</v>
      </c>
      <c r="M62" s="2"/>
      <c r="N62" s="7">
        <f t="shared" si="19"/>
        <v>0.11575905080620627</v>
      </c>
      <c r="O62" s="11"/>
      <c r="P62" s="6">
        <v>698.75</v>
      </c>
      <c r="Q62" s="2"/>
      <c r="R62" s="7">
        <f t="shared" si="20"/>
        <v>5.2207672895375164E-4</v>
      </c>
      <c r="S62" s="2"/>
      <c r="T62" s="6">
        <v>710.16</v>
      </c>
      <c r="U62" s="2"/>
      <c r="V62" s="7">
        <f t="shared" si="21"/>
        <v>6.0036399222779897E-4</v>
      </c>
      <c r="W62" s="2"/>
      <c r="X62" s="6">
        <f t="shared" si="22"/>
        <v>-11.409999999999968</v>
      </c>
      <c r="Y62" s="2"/>
      <c r="Z62" s="7">
        <f t="shared" si="23"/>
        <v>-1.606680184747095E-2</v>
      </c>
    </row>
    <row r="63" spans="1:26" s="24" customFormat="1" hidden="1" outlineLevel="2" x14ac:dyDescent="0.25">
      <c r="A63" s="26"/>
      <c r="B63" s="11" t="str">
        <f>CONCATENATE("          ", "6118", " - ", "VACATION")</f>
        <v xml:space="preserve">          6118 - VACATION</v>
      </c>
      <c r="C63" s="11"/>
      <c r="D63" s="6">
        <v>253.74</v>
      </c>
      <c r="E63" s="2"/>
      <c r="F63" s="7">
        <f t="shared" si="16"/>
        <v>1.7352505752710583E-3</v>
      </c>
      <c r="G63" s="2"/>
      <c r="H63" s="6">
        <v>220.35</v>
      </c>
      <c r="I63" s="2"/>
      <c r="J63" s="7">
        <f t="shared" si="17"/>
        <v>1.1937810912659864E-3</v>
      </c>
      <c r="K63" s="2"/>
      <c r="L63" s="6">
        <f t="shared" si="18"/>
        <v>33.390000000000015</v>
      </c>
      <c r="M63" s="2"/>
      <c r="N63" s="7">
        <f t="shared" si="19"/>
        <v>0.15153165418652151</v>
      </c>
      <c r="O63" s="11"/>
      <c r="P63" s="6">
        <v>1291.01</v>
      </c>
      <c r="Q63" s="2"/>
      <c r="R63" s="7">
        <f t="shared" si="20"/>
        <v>9.6458859083589686E-4</v>
      </c>
      <c r="S63" s="2"/>
      <c r="T63" s="6">
        <v>810.97</v>
      </c>
      <c r="U63" s="2"/>
      <c r="V63" s="7">
        <f t="shared" si="21"/>
        <v>6.8558801787903874E-4</v>
      </c>
      <c r="W63" s="2"/>
      <c r="X63" s="6">
        <f t="shared" si="22"/>
        <v>480.03999999999996</v>
      </c>
      <c r="Y63" s="2"/>
      <c r="Z63" s="7">
        <f t="shared" si="23"/>
        <v>0.59193311713133645</v>
      </c>
    </row>
    <row r="64" spans="1:26" s="24" customFormat="1" hidden="1" outlineLevel="2" x14ac:dyDescent="0.25">
      <c r="A64" s="26"/>
      <c r="B64" s="11" t="str">
        <f>CONCATENATE("          ", "6119", " - ", "SICK LEAVE")</f>
        <v xml:space="preserve">          6119 - SICK LEAVE</v>
      </c>
      <c r="C64" s="11"/>
      <c r="D64" s="6">
        <v>194.37</v>
      </c>
      <c r="E64" s="2"/>
      <c r="F64" s="7">
        <f t="shared" si="16"/>
        <v>1.3292372283259855E-3</v>
      </c>
      <c r="G64" s="2"/>
      <c r="H64" s="6">
        <v>176.37</v>
      </c>
      <c r="I64" s="2"/>
      <c r="J64" s="7">
        <f t="shared" si="17"/>
        <v>9.5551246229444995E-4</v>
      </c>
      <c r="K64" s="2"/>
      <c r="L64" s="6">
        <f t="shared" si="18"/>
        <v>18</v>
      </c>
      <c r="M64" s="2"/>
      <c r="N64" s="7">
        <f t="shared" si="19"/>
        <v>0.10205817315870046</v>
      </c>
      <c r="O64" s="11"/>
      <c r="P64" s="6">
        <v>1280.4000000000001</v>
      </c>
      <c r="Q64" s="2"/>
      <c r="R64" s="7">
        <f t="shared" si="20"/>
        <v>9.5666124329500354E-4</v>
      </c>
      <c r="S64" s="2"/>
      <c r="T64" s="6">
        <v>697.18</v>
      </c>
      <c r="U64" s="2"/>
      <c r="V64" s="7">
        <f t="shared" si="21"/>
        <v>5.8939079658299094E-4</v>
      </c>
      <c r="W64" s="2"/>
      <c r="X64" s="6">
        <f t="shared" si="22"/>
        <v>583.22000000000014</v>
      </c>
      <c r="Y64" s="2"/>
      <c r="Z64" s="7">
        <f t="shared" si="23"/>
        <v>0.83654149573998138</v>
      </c>
    </row>
    <row r="65" spans="1:26" s="24" customFormat="1" hidden="1" outlineLevel="2" x14ac:dyDescent="0.25">
      <c r="A65" s="26"/>
      <c r="B65" s="11" t="str">
        <f>CONCATENATE("          ", "6156", " - ", "EMPLOYEE MEALS")</f>
        <v xml:space="preserve">          6156 - EMPLOYEE MEALS</v>
      </c>
      <c r="C65" s="11"/>
      <c r="D65" s="6">
        <v>169.98</v>
      </c>
      <c r="E65" s="2"/>
      <c r="F65" s="7">
        <f t="shared" si="16"/>
        <v>1.1624414470898339E-3</v>
      </c>
      <c r="G65" s="2"/>
      <c r="H65" s="6">
        <v>150</v>
      </c>
      <c r="I65" s="2"/>
      <c r="J65" s="7">
        <f t="shared" si="17"/>
        <v>8.1264880276786012E-4</v>
      </c>
      <c r="K65" s="2"/>
      <c r="L65" s="6">
        <f t="shared" si="18"/>
        <v>19.97999999999999</v>
      </c>
      <c r="M65" s="2"/>
      <c r="N65" s="7">
        <f t="shared" si="19"/>
        <v>0.13319999999999993</v>
      </c>
      <c r="O65" s="11"/>
      <c r="P65" s="6">
        <v>644.17999999999995</v>
      </c>
      <c r="Q65" s="2"/>
      <c r="R65" s="7">
        <f t="shared" si="20"/>
        <v>4.8130431092297351E-4</v>
      </c>
      <c r="S65" s="2"/>
      <c r="T65" s="6">
        <v>600</v>
      </c>
      <c r="U65" s="2"/>
      <c r="V65" s="7">
        <f t="shared" si="21"/>
        <v>5.0723554598496024E-4</v>
      </c>
      <c r="W65" s="2"/>
      <c r="X65" s="6">
        <f t="shared" si="22"/>
        <v>44.17999999999995</v>
      </c>
      <c r="Y65" s="2"/>
      <c r="Z65" s="7">
        <f t="shared" si="23"/>
        <v>7.3633333333333245E-2</v>
      </c>
    </row>
    <row r="66" spans="1:26" s="27" customFormat="1" outlineLevel="1" collapsed="1" x14ac:dyDescent="0.25">
      <c r="A66" s="25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11582.32</v>
      </c>
      <c r="E66" s="1"/>
      <c r="F66" s="5">
        <f t="shared" ref="F66:F70" si="24">IF(D$12=0,0,D66/D$12)</f>
        <v>7.9207958709598333E-2</v>
      </c>
      <c r="G66" s="1"/>
      <c r="H66" s="1">
        <f>SUM(OSRRefH22_1x_0)</f>
        <v>11247.7</v>
      </c>
      <c r="I66" s="1"/>
      <c r="J66" s="5">
        <f t="shared" ref="J66:J70" si="25">IF(H$12=0,0,H66/H$12)</f>
        <v>6.0936199592613739E-2</v>
      </c>
      <c r="K66" s="1"/>
      <c r="L66" s="1">
        <f t="shared" ref="L66:L70" si="26">+D66-H66</f>
        <v>334.61999999999898</v>
      </c>
      <c r="M66" s="1"/>
      <c r="N66" s="5">
        <f t="shared" ref="N66:N70" si="27">IF(H66=0,0,L66/H66)</f>
        <v>2.9750082239035445E-2</v>
      </c>
      <c r="O66" s="13"/>
      <c r="P66" s="1">
        <f>SUM(OSRRefP22_1x_0)</f>
        <v>39094.380000000005</v>
      </c>
      <c r="Q66" s="1"/>
      <c r="R66" s="5">
        <f t="shared" ref="R66:R70" si="28">IF(P$12=0,0,P66/P$12)</f>
        <v>2.9209683049552734E-2</v>
      </c>
      <c r="S66" s="1"/>
      <c r="T66" s="1">
        <f>SUM(OSRRefT22_1x_0)</f>
        <v>41509.229999999996</v>
      </c>
      <c r="U66" s="1"/>
      <c r="V66" s="5">
        <f t="shared" ref="V66:V70" si="29">IF(T$12=0,0,T66/T$12)</f>
        <v>3.5091594904108819E-2</v>
      </c>
      <c r="W66" s="1"/>
      <c r="X66" s="1">
        <f t="shared" ref="X66:X70" si="30">+P66-T66</f>
        <v>-2414.8499999999913</v>
      </c>
      <c r="Y66" s="1"/>
      <c r="Z66" s="5">
        <f t="shared" ref="Z66:Z70" si="31">IF(T66=0,0,X66/T66)</f>
        <v>-5.8176217674960277E-2</v>
      </c>
    </row>
    <row r="67" spans="1:26" s="24" customFormat="1" hidden="1" outlineLevel="2" x14ac:dyDescent="0.25">
      <c r="A67" s="26"/>
      <c r="B67" s="11" t="str">
        <f>CONCATENATE("          ", "6002", " - ", "STAFF SALARIES")</f>
        <v xml:space="preserve">          6002 - STAFF SALARIES</v>
      </c>
      <c r="C67" s="11"/>
      <c r="D67" s="6">
        <v>3231.38</v>
      </c>
      <c r="E67" s="2"/>
      <c r="F67" s="7">
        <f t="shared" si="24"/>
        <v>2.2098423598641885E-2</v>
      </c>
      <c r="G67" s="2"/>
      <c r="H67" s="6">
        <v>3186.8</v>
      </c>
      <c r="I67" s="2"/>
      <c r="J67" s="7">
        <f t="shared" si="25"/>
        <v>1.7264994697737443E-2</v>
      </c>
      <c r="K67" s="2"/>
      <c r="L67" s="6">
        <f t="shared" si="26"/>
        <v>44.579999999999927</v>
      </c>
      <c r="M67" s="2"/>
      <c r="N67" s="7">
        <f t="shared" si="27"/>
        <v>1.3988954437052819E-2</v>
      </c>
      <c r="O67" s="11"/>
      <c r="P67" s="6">
        <v>11863.02</v>
      </c>
      <c r="Q67" s="2"/>
      <c r="R67" s="7">
        <f t="shared" si="28"/>
        <v>8.8635515951526796E-3</v>
      </c>
      <c r="S67" s="2"/>
      <c r="T67" s="6">
        <v>10834.1</v>
      </c>
      <c r="U67" s="2"/>
      <c r="V67" s="7">
        <f t="shared" si="29"/>
        <v>9.1590677145927633E-3</v>
      </c>
      <c r="W67" s="2"/>
      <c r="X67" s="6">
        <f t="shared" si="30"/>
        <v>1028.92</v>
      </c>
      <c r="Y67" s="2"/>
      <c r="Z67" s="7">
        <f t="shared" si="31"/>
        <v>9.4970509779307932E-2</v>
      </c>
    </row>
    <row r="68" spans="1:26" s="24" customFormat="1" hidden="1" outlineLevel="2" x14ac:dyDescent="0.25">
      <c r="A68" s="26"/>
      <c r="B68" s="11" t="str">
        <f>CONCATENATE("          ", "6005", " - ", "TEMPORARY WAGES-HOURLY")</f>
        <v xml:space="preserve">          6005 - TEMPORARY WAGES-HOURLY</v>
      </c>
      <c r="C68" s="11"/>
      <c r="D68" s="6">
        <v>4770.38</v>
      </c>
      <c r="E68" s="2"/>
      <c r="F68" s="7">
        <f t="shared" si="24"/>
        <v>3.2623175846384293E-2</v>
      </c>
      <c r="G68" s="2"/>
      <c r="H68" s="6">
        <v>3437.12</v>
      </c>
      <c r="I68" s="2"/>
      <c r="J68" s="7">
        <f t="shared" si="25"/>
        <v>1.8621143019796449E-2</v>
      </c>
      <c r="K68" s="2"/>
      <c r="L68" s="6">
        <f t="shared" si="26"/>
        <v>1333.2600000000002</v>
      </c>
      <c r="M68" s="2"/>
      <c r="N68" s="7">
        <f t="shared" si="27"/>
        <v>0.38790033516432371</v>
      </c>
      <c r="O68" s="11"/>
      <c r="P68" s="6">
        <v>14138.52</v>
      </c>
      <c r="Q68" s="2"/>
      <c r="R68" s="7">
        <f t="shared" si="28"/>
        <v>1.0563709873126579E-2</v>
      </c>
      <c r="S68" s="2"/>
      <c r="T68" s="6">
        <v>13393.63</v>
      </c>
      <c r="U68" s="2"/>
      <c r="V68" s="7">
        <f t="shared" si="29"/>
        <v>1.1322875376284238E-2</v>
      </c>
      <c r="W68" s="2"/>
      <c r="X68" s="6">
        <f t="shared" si="30"/>
        <v>744.89000000000124</v>
      </c>
      <c r="Y68" s="2"/>
      <c r="Z68" s="7">
        <f t="shared" si="31"/>
        <v>5.5615243962988468E-2</v>
      </c>
    </row>
    <row r="69" spans="1:26" s="24" customFormat="1" hidden="1" outlineLevel="2" x14ac:dyDescent="0.25">
      <c r="A69" s="26"/>
      <c r="B69" s="11" t="str">
        <f>CONCATENATE("          ", "6006", " - ", "TEMPORARY PART TIME")</f>
        <v xml:space="preserve">          6006 - TEMPORARY PART TIME</v>
      </c>
      <c r="C69" s="11"/>
      <c r="D69" s="6">
        <v>1494</v>
      </c>
      <c r="E69" s="2"/>
      <c r="F69" s="7">
        <f t="shared" si="24"/>
        <v>1.0217010953948769E-2</v>
      </c>
      <c r="G69" s="2"/>
      <c r="H69" s="6"/>
      <c r="I69" s="2"/>
      <c r="J69" s="7">
        <f t="shared" si="25"/>
        <v>0</v>
      </c>
      <c r="K69" s="2"/>
      <c r="L69" s="6">
        <f t="shared" si="26"/>
        <v>1494</v>
      </c>
      <c r="M69" s="2"/>
      <c r="N69" s="7">
        <f t="shared" si="27"/>
        <v>0</v>
      </c>
      <c r="O69" s="11"/>
      <c r="P69" s="6">
        <v>6548.16</v>
      </c>
      <c r="Q69" s="2"/>
      <c r="R69" s="7">
        <f t="shared" si="28"/>
        <v>4.8925108457471174E-3</v>
      </c>
      <c r="S69" s="2"/>
      <c r="T69" s="6"/>
      <c r="U69" s="2"/>
      <c r="V69" s="7">
        <f t="shared" si="29"/>
        <v>0</v>
      </c>
      <c r="W69" s="2"/>
      <c r="X69" s="6">
        <f t="shared" si="30"/>
        <v>6548.16</v>
      </c>
      <c r="Y69" s="2"/>
      <c r="Z69" s="7">
        <f t="shared" si="31"/>
        <v>0</v>
      </c>
    </row>
    <row r="70" spans="1:26" s="24" customFormat="1" hidden="1" outlineLevel="2" x14ac:dyDescent="0.25">
      <c r="A70" s="26"/>
      <c r="B70" s="11" t="str">
        <f>CONCATENATE("          ", "6007", " - ", "STUDENT HOURLY")</f>
        <v xml:space="preserve">          6007 - STUDENT HOURLY</v>
      </c>
      <c r="C70" s="11"/>
      <c r="D70" s="6">
        <v>2086.56</v>
      </c>
      <c r="E70" s="2"/>
      <c r="F70" s="7">
        <f t="shared" si="24"/>
        <v>1.4269348310623391E-2</v>
      </c>
      <c r="G70" s="2"/>
      <c r="H70" s="6">
        <v>4623.78</v>
      </c>
      <c r="I70" s="2"/>
      <c r="J70" s="7">
        <f t="shared" si="25"/>
        <v>2.505006187507984E-2</v>
      </c>
      <c r="K70" s="2"/>
      <c r="L70" s="6">
        <f t="shared" si="26"/>
        <v>-2537.2199999999998</v>
      </c>
      <c r="M70" s="2"/>
      <c r="N70" s="7">
        <f t="shared" si="27"/>
        <v>-0.54873285493686985</v>
      </c>
      <c r="O70" s="11"/>
      <c r="P70" s="6">
        <v>6544.68</v>
      </c>
      <c r="Q70" s="2"/>
      <c r="R70" s="7">
        <f t="shared" si="28"/>
        <v>4.8899107355263541E-3</v>
      </c>
      <c r="S70" s="2"/>
      <c r="T70" s="6">
        <v>17281.5</v>
      </c>
      <c r="U70" s="2"/>
      <c r="V70" s="7">
        <f t="shared" si="29"/>
        <v>1.4609651813231818E-2</v>
      </c>
      <c r="W70" s="2"/>
      <c r="X70" s="6">
        <f t="shared" si="30"/>
        <v>-10736.82</v>
      </c>
      <c r="Y70" s="2"/>
      <c r="Z70" s="7">
        <f t="shared" si="31"/>
        <v>-0.62128981859213606</v>
      </c>
    </row>
    <row r="71" spans="1:26" s="27" customFormat="1" outlineLevel="1" collapsed="1" x14ac:dyDescent="0.25">
      <c r="A71" s="25"/>
      <c r="B71" s="13" t="str">
        <f>CONCATENATE("     ","Advertising/Promo                                 ")</f>
        <v xml:space="preserve">     Advertising/Promo                                 </v>
      </c>
      <c r="C71" s="13"/>
      <c r="D71" s="1">
        <f>SUM(OSRRefD22_2x_0)</f>
        <v>419.39</v>
      </c>
      <c r="E71" s="1"/>
      <c r="F71" s="5">
        <f t="shared" ref="F71:F87" si="32">IF(D$12=0,0,D71/D$12)</f>
        <v>2.8680804712025265E-3</v>
      </c>
      <c r="G71" s="1"/>
      <c r="H71" s="1">
        <f>SUM(OSRRefH22_2x_0)</f>
        <v>-224.98</v>
      </c>
      <c r="I71" s="1"/>
      <c r="J71" s="5">
        <f t="shared" ref="J71:J87" si="33">IF(H$12=0,0,H71/H$12)</f>
        <v>-1.2188648509780878E-3</v>
      </c>
      <c r="K71" s="1"/>
      <c r="L71" s="1">
        <f t="shared" ref="L71:L87" si="34">+D71-H71</f>
        <v>644.37</v>
      </c>
      <c r="M71" s="1"/>
      <c r="N71" s="5">
        <f t="shared" ref="N71:N87" si="35">IF(H71=0,0,L71/H71)</f>
        <v>-2.8641212552226865</v>
      </c>
      <c r="O71" s="13"/>
      <c r="P71" s="1">
        <f>SUM(OSRRefP22_2x_0)</f>
        <v>1219.79</v>
      </c>
      <c r="Q71" s="1"/>
      <c r="R71" s="5">
        <f t="shared" ref="R71:R87" si="36">IF(P$12=0,0,P71/P$12)</f>
        <v>9.1137599028335843E-4</v>
      </c>
      <c r="S71" s="1"/>
      <c r="T71" s="1">
        <f>SUM(OSRRefT22_2x_0)</f>
        <v>242.09</v>
      </c>
      <c r="U71" s="1"/>
      <c r="V71" s="5">
        <f t="shared" ref="V71:V87" si="37">IF(T$12=0,0,T71/T$12)</f>
        <v>2.0466108887916507E-4</v>
      </c>
      <c r="W71" s="1"/>
      <c r="X71" s="1">
        <f t="shared" ref="X71:X87" si="38">+P71-T71</f>
        <v>977.69999999999993</v>
      </c>
      <c r="Y71" s="1"/>
      <c r="Z71" s="5">
        <f t="shared" ref="Z71:Z87" si="39">IF(T71=0,0,X71/T71)</f>
        <v>4.0385806931306538</v>
      </c>
    </row>
    <row r="72" spans="1:26" s="24" customFormat="1" hidden="1" outlineLevel="2" x14ac:dyDescent="0.25">
      <c r="A72" s="26"/>
      <c r="B72" s="11" t="str">
        <f>CONCATENATE("          ", "6362", " - ", "ADVERTISING EXPENSE")</f>
        <v xml:space="preserve">          6362 - ADVERTISING EXPENSE</v>
      </c>
      <c r="C72" s="11"/>
      <c r="D72" s="6">
        <v>419.39</v>
      </c>
      <c r="E72" s="2"/>
      <c r="F72" s="7">
        <f t="shared" si="32"/>
        <v>2.8680804712025265E-3</v>
      </c>
      <c r="G72" s="2"/>
      <c r="H72" s="6">
        <v>-224.98</v>
      </c>
      <c r="I72" s="2"/>
      <c r="J72" s="7">
        <f t="shared" si="33"/>
        <v>-1.2188648509780878E-3</v>
      </c>
      <c r="K72" s="2"/>
      <c r="L72" s="6">
        <f t="shared" si="34"/>
        <v>644.37</v>
      </c>
      <c r="M72" s="2"/>
      <c r="N72" s="7">
        <f t="shared" si="35"/>
        <v>-2.8641212552226865</v>
      </c>
      <c r="O72" s="11"/>
      <c r="P72" s="6">
        <v>1219.79</v>
      </c>
      <c r="Q72" s="2"/>
      <c r="R72" s="7">
        <f t="shared" si="36"/>
        <v>9.1137599028335843E-4</v>
      </c>
      <c r="S72" s="2"/>
      <c r="T72" s="6">
        <v>242.09</v>
      </c>
      <c r="U72" s="2"/>
      <c r="V72" s="7">
        <f t="shared" si="37"/>
        <v>2.0466108887916507E-4</v>
      </c>
      <c r="W72" s="2"/>
      <c r="X72" s="6">
        <f t="shared" si="38"/>
        <v>977.69999999999993</v>
      </c>
      <c r="Y72" s="2"/>
      <c r="Z72" s="7">
        <f t="shared" si="39"/>
        <v>4.0385806931306538</v>
      </c>
    </row>
    <row r="73" spans="1:26" s="27" customFormat="1" outlineLevel="1" collapsed="1" x14ac:dyDescent="0.25">
      <c r="A73" s="25"/>
      <c r="B73" s="13" t="str">
        <f>CONCATENATE("     ","Depreciation                                      ")</f>
        <v xml:space="preserve">     Depreciation                                      </v>
      </c>
      <c r="C73" s="13"/>
      <c r="D73" s="1">
        <f>SUM(OSRRefD22_3x_0)</f>
        <v>280.44</v>
      </c>
      <c r="E73" s="1"/>
      <c r="F73" s="5">
        <f t="shared" si="32"/>
        <v>1.9178437429219499E-3</v>
      </c>
      <c r="G73" s="1"/>
      <c r="H73" s="1">
        <f>SUM(OSRRefH22_3x_0)</f>
        <v>280.44</v>
      </c>
      <c r="I73" s="1"/>
      <c r="J73" s="5">
        <f t="shared" si="33"/>
        <v>1.5193282016547913E-3</v>
      </c>
      <c r="K73" s="1"/>
      <c r="L73" s="1">
        <f t="shared" si="34"/>
        <v>0</v>
      </c>
      <c r="M73" s="1"/>
      <c r="N73" s="5">
        <f t="shared" si="35"/>
        <v>0</v>
      </c>
      <c r="O73" s="13"/>
      <c r="P73" s="1">
        <f>SUM(OSRRefP22_3x_0)</f>
        <v>1121.76</v>
      </c>
      <c r="Q73" s="1"/>
      <c r="R73" s="5">
        <f t="shared" si="36"/>
        <v>8.3813208081740323E-4</v>
      </c>
      <c r="S73" s="1"/>
      <c r="T73" s="1">
        <f>SUM(OSRRefT22_3x_0)</f>
        <v>1121.76</v>
      </c>
      <c r="U73" s="1"/>
      <c r="V73" s="5">
        <f t="shared" si="37"/>
        <v>9.4832757677348173E-4</v>
      </c>
      <c r="W73" s="1"/>
      <c r="X73" s="1">
        <f t="shared" si="38"/>
        <v>0</v>
      </c>
      <c r="Y73" s="1"/>
      <c r="Z73" s="5">
        <f t="shared" si="39"/>
        <v>0</v>
      </c>
    </row>
    <row r="74" spans="1:26" s="24" customFormat="1" hidden="1" outlineLevel="2" x14ac:dyDescent="0.25">
      <c r="A74" s="26"/>
      <c r="B74" s="11" t="str">
        <f>CONCATENATE("          ", "6322", " - ", "EQUIPMENT DEPRECIATION EXPENSE")</f>
        <v xml:space="preserve">          6322 - EQUIPMENT DEPRECIATION EXPENSE</v>
      </c>
      <c r="C74" s="11"/>
      <c r="D74" s="6">
        <v>280.44</v>
      </c>
      <c r="E74" s="2"/>
      <c r="F74" s="7">
        <f t="shared" si="32"/>
        <v>1.9178437429219499E-3</v>
      </c>
      <c r="G74" s="2"/>
      <c r="H74" s="6">
        <v>280.44</v>
      </c>
      <c r="I74" s="2"/>
      <c r="J74" s="7">
        <f t="shared" si="33"/>
        <v>1.5193282016547913E-3</v>
      </c>
      <c r="K74" s="2"/>
      <c r="L74" s="6">
        <f t="shared" si="34"/>
        <v>0</v>
      </c>
      <c r="M74" s="2"/>
      <c r="N74" s="7">
        <f t="shared" si="35"/>
        <v>0</v>
      </c>
      <c r="O74" s="11"/>
      <c r="P74" s="6">
        <v>1121.76</v>
      </c>
      <c r="Q74" s="2"/>
      <c r="R74" s="7">
        <f t="shared" si="36"/>
        <v>8.3813208081740323E-4</v>
      </c>
      <c r="S74" s="2"/>
      <c r="T74" s="6">
        <v>1121.76</v>
      </c>
      <c r="U74" s="2"/>
      <c r="V74" s="7">
        <f t="shared" si="37"/>
        <v>9.4832757677348173E-4</v>
      </c>
      <c r="W74" s="2"/>
      <c r="X74" s="6">
        <f t="shared" si="38"/>
        <v>0</v>
      </c>
      <c r="Y74" s="2"/>
      <c r="Z74" s="7">
        <f t="shared" si="39"/>
        <v>0</v>
      </c>
    </row>
    <row r="75" spans="1:26" s="27" customFormat="1" outlineLevel="1" collapsed="1" x14ac:dyDescent="0.25">
      <c r="A75" s="25"/>
      <c r="B75" s="13" t="str">
        <f>CONCATENATE("     ","Discounts and Markdowns                           ")</f>
        <v xml:space="preserve">     Discounts and Markdowns                           </v>
      </c>
      <c r="C75" s="13"/>
      <c r="D75" s="1">
        <f>SUM(OSRRefD22_4x_0)</f>
        <v>1378.62</v>
      </c>
      <c r="E75" s="1"/>
      <c r="F75" s="5">
        <f t="shared" si="32"/>
        <v>9.4279622766618824E-3</v>
      </c>
      <c r="G75" s="1"/>
      <c r="H75" s="1">
        <f>SUM(OSRRefH22_4x_0)</f>
        <v>4138.42</v>
      </c>
      <c r="I75" s="1"/>
      <c r="J75" s="5">
        <f t="shared" si="33"/>
        <v>2.242054705567045E-2</v>
      </c>
      <c r="K75" s="1"/>
      <c r="L75" s="1">
        <f t="shared" si="34"/>
        <v>-2759.8</v>
      </c>
      <c r="M75" s="1"/>
      <c r="N75" s="5">
        <f t="shared" si="35"/>
        <v>-0.66687286452317551</v>
      </c>
      <c r="O75" s="13"/>
      <c r="P75" s="1">
        <f>SUM(OSRRefP22_4x_0)</f>
        <v>68378.13</v>
      </c>
      <c r="Q75" s="1"/>
      <c r="R75" s="5">
        <f t="shared" si="36"/>
        <v>5.1089274336135096E-2</v>
      </c>
      <c r="S75" s="1"/>
      <c r="T75" s="1">
        <f>SUM(OSRRefT22_4x_0)</f>
        <v>72651.180000000008</v>
      </c>
      <c r="U75" s="1"/>
      <c r="V75" s="5">
        <f t="shared" si="37"/>
        <v>6.1418768256252719E-2</v>
      </c>
      <c r="W75" s="1"/>
      <c r="X75" s="1">
        <f t="shared" si="38"/>
        <v>-4273.0500000000029</v>
      </c>
      <c r="Y75" s="1"/>
      <c r="Z75" s="5">
        <f t="shared" si="39"/>
        <v>-5.8815975184436133E-2</v>
      </c>
    </row>
    <row r="76" spans="1:26" s="24" customFormat="1" hidden="1" outlineLevel="2" x14ac:dyDescent="0.25">
      <c r="A76" s="26"/>
      <c r="B76" s="11" t="str">
        <f>CONCATENATE("          ", "6382", " - ", "DISCOUNTS/MARK DOWNS")</f>
        <v xml:space="preserve">          6382 - DISCOUNTS/MARK DOWNS</v>
      </c>
      <c r="C76" s="11"/>
      <c r="D76" s="6">
        <v>1378.62</v>
      </c>
      <c r="E76" s="2"/>
      <c r="F76" s="7">
        <f t="shared" si="32"/>
        <v>9.4279622766618824E-3</v>
      </c>
      <c r="G76" s="2"/>
      <c r="H76" s="6">
        <v>4138.42</v>
      </c>
      <c r="I76" s="2"/>
      <c r="J76" s="7">
        <f t="shared" si="33"/>
        <v>2.242054705567045E-2</v>
      </c>
      <c r="K76" s="2"/>
      <c r="L76" s="6">
        <f t="shared" si="34"/>
        <v>-2759.8</v>
      </c>
      <c r="M76" s="2"/>
      <c r="N76" s="7">
        <f t="shared" si="35"/>
        <v>-0.66687286452317551</v>
      </c>
      <c r="O76" s="11"/>
      <c r="P76" s="6">
        <v>68378.13</v>
      </c>
      <c r="Q76" s="2"/>
      <c r="R76" s="7">
        <f t="shared" si="36"/>
        <v>5.1089274336135096E-2</v>
      </c>
      <c r="S76" s="2"/>
      <c r="T76" s="6">
        <v>72651.180000000008</v>
      </c>
      <c r="U76" s="2"/>
      <c r="V76" s="7">
        <f t="shared" si="37"/>
        <v>6.1418768256252719E-2</v>
      </c>
      <c r="W76" s="2"/>
      <c r="X76" s="6">
        <f t="shared" si="38"/>
        <v>-4273.0500000000029</v>
      </c>
      <c r="Y76" s="2"/>
      <c r="Z76" s="7">
        <f t="shared" si="39"/>
        <v>-5.8815975184436133E-2</v>
      </c>
    </row>
    <row r="77" spans="1:26" s="27" customFormat="1" outlineLevel="1" collapsed="1" x14ac:dyDescent="0.25">
      <c r="A77" s="25"/>
      <c r="B77" s="13" t="str">
        <f>CONCATENATE("     ","Employees' Appreciation                           ")</f>
        <v xml:space="preserve">     Employees' Appreciation                           </v>
      </c>
      <c r="C77" s="13"/>
      <c r="D77" s="1">
        <f>SUM(OSRRefD22_5x_0)</f>
        <v>0</v>
      </c>
      <c r="E77" s="1"/>
      <c r="F77" s="5">
        <f t="shared" si="32"/>
        <v>0</v>
      </c>
      <c r="G77" s="1"/>
      <c r="H77" s="1">
        <f>SUM(OSRRefH22_5x_0)</f>
        <v>0</v>
      </c>
      <c r="I77" s="1"/>
      <c r="J77" s="5">
        <f t="shared" si="33"/>
        <v>0</v>
      </c>
      <c r="K77" s="1"/>
      <c r="L77" s="1">
        <f t="shared" si="34"/>
        <v>0</v>
      </c>
      <c r="M77" s="1"/>
      <c r="N77" s="5">
        <f t="shared" si="35"/>
        <v>0</v>
      </c>
      <c r="O77" s="13"/>
      <c r="P77" s="1">
        <f>SUM(OSRRefP22_5x_0)</f>
        <v>0</v>
      </c>
      <c r="Q77" s="1"/>
      <c r="R77" s="5">
        <f t="shared" si="36"/>
        <v>0</v>
      </c>
      <c r="S77" s="1"/>
      <c r="T77" s="1">
        <f>SUM(OSRRefT22_5x_0)</f>
        <v>84.31</v>
      </c>
      <c r="U77" s="1"/>
      <c r="V77" s="5">
        <f t="shared" si="37"/>
        <v>7.1275048136653339E-5</v>
      </c>
      <c r="W77" s="1"/>
      <c r="X77" s="1">
        <f t="shared" si="38"/>
        <v>-84.31</v>
      </c>
      <c r="Y77" s="1"/>
      <c r="Z77" s="5">
        <f t="shared" si="39"/>
        <v>-1</v>
      </c>
    </row>
    <row r="78" spans="1:26" s="24" customFormat="1" hidden="1" outlineLevel="2" x14ac:dyDescent="0.25">
      <c r="A78" s="26"/>
      <c r="B78" s="11" t="str">
        <f>CONCATENATE("          ", "6277", " - ", "EMPLOYEE APPRECIATION")</f>
        <v xml:space="preserve">          6277 - EMPLOYEE APPRECIATION</v>
      </c>
      <c r="C78" s="11"/>
      <c r="D78" s="6"/>
      <c r="E78" s="2"/>
      <c r="F78" s="7">
        <f t="shared" si="32"/>
        <v>0</v>
      </c>
      <c r="G78" s="2"/>
      <c r="H78" s="6"/>
      <c r="I78" s="2"/>
      <c r="J78" s="7">
        <f t="shared" si="33"/>
        <v>0</v>
      </c>
      <c r="K78" s="2"/>
      <c r="L78" s="6">
        <f t="shared" si="34"/>
        <v>0</v>
      </c>
      <c r="M78" s="2"/>
      <c r="N78" s="7">
        <f t="shared" si="35"/>
        <v>0</v>
      </c>
      <c r="O78" s="11"/>
      <c r="P78" s="6"/>
      <c r="Q78" s="2"/>
      <c r="R78" s="7">
        <f t="shared" si="36"/>
        <v>0</v>
      </c>
      <c r="S78" s="2"/>
      <c r="T78" s="6">
        <v>84.31</v>
      </c>
      <c r="U78" s="2"/>
      <c r="V78" s="7">
        <f t="shared" si="37"/>
        <v>7.1275048136653339E-5</v>
      </c>
      <c r="W78" s="2"/>
      <c r="X78" s="6">
        <f t="shared" si="38"/>
        <v>-84.31</v>
      </c>
      <c r="Y78" s="2"/>
      <c r="Z78" s="7">
        <f t="shared" si="39"/>
        <v>-1</v>
      </c>
    </row>
    <row r="79" spans="1:26" s="27" customFormat="1" outlineLevel="1" collapsed="1" x14ac:dyDescent="0.25">
      <c r="A79" s="25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SUM(OSRRefD22_6x_0)</f>
        <v>5.27</v>
      </c>
      <c r="E79" s="1"/>
      <c r="F79" s="5">
        <f t="shared" si="32"/>
        <v>3.6039924850943786E-5</v>
      </c>
      <c r="G79" s="1"/>
      <c r="H79" s="1">
        <f>SUM(OSRRefH22_6x_0)</f>
        <v>24.13</v>
      </c>
      <c r="I79" s="1"/>
      <c r="J79" s="5">
        <f t="shared" si="33"/>
        <v>1.3072810407192308E-4</v>
      </c>
      <c r="K79" s="1"/>
      <c r="L79" s="1">
        <f t="shared" si="34"/>
        <v>-18.86</v>
      </c>
      <c r="M79" s="1"/>
      <c r="N79" s="5">
        <f t="shared" si="35"/>
        <v>-0.78159966846249485</v>
      </c>
      <c r="O79" s="13"/>
      <c r="P79" s="1">
        <f>SUM(OSRRefP22_6x_0)</f>
        <v>10.76</v>
      </c>
      <c r="Q79" s="1"/>
      <c r="R79" s="5">
        <f t="shared" si="36"/>
        <v>8.0394212573057145E-6</v>
      </c>
      <c r="S79" s="1"/>
      <c r="T79" s="1">
        <f>SUM(OSRRefT22_6x_0)</f>
        <v>71.959999999999994</v>
      </c>
      <c r="U79" s="1"/>
      <c r="V79" s="5">
        <f t="shared" si="37"/>
        <v>6.0834449815129562E-5</v>
      </c>
      <c r="W79" s="1"/>
      <c r="X79" s="1">
        <f t="shared" si="38"/>
        <v>-61.199999999999996</v>
      </c>
      <c r="Y79" s="1"/>
      <c r="Z79" s="5">
        <f t="shared" si="39"/>
        <v>-0.85047248471372983</v>
      </c>
    </row>
    <row r="80" spans="1:26" s="24" customFormat="1" hidden="1" outlineLevel="2" x14ac:dyDescent="0.25">
      <c r="A80" s="26"/>
      <c r="B80" s="11" t="str">
        <f>CONCATENATE("          ", "6305", " - ", "FREIGHT OUT")</f>
        <v xml:space="preserve">          6305 - FREIGHT OUT</v>
      </c>
      <c r="C80" s="11"/>
      <c r="D80" s="6">
        <v>5.27</v>
      </c>
      <c r="E80" s="2"/>
      <c r="F80" s="7">
        <f t="shared" si="32"/>
        <v>3.6039924850943786E-5</v>
      </c>
      <c r="G80" s="2"/>
      <c r="H80" s="6">
        <v>24.13</v>
      </c>
      <c r="I80" s="2"/>
      <c r="J80" s="7">
        <f t="shared" si="33"/>
        <v>1.3072810407192308E-4</v>
      </c>
      <c r="K80" s="2"/>
      <c r="L80" s="6">
        <f t="shared" si="34"/>
        <v>-18.86</v>
      </c>
      <c r="M80" s="2"/>
      <c r="N80" s="7">
        <f t="shared" si="35"/>
        <v>-0.78159966846249485</v>
      </c>
      <c r="O80" s="11"/>
      <c r="P80" s="6">
        <v>10.76</v>
      </c>
      <c r="Q80" s="2"/>
      <c r="R80" s="7">
        <f t="shared" si="36"/>
        <v>8.0394212573057145E-6</v>
      </c>
      <c r="S80" s="2"/>
      <c r="T80" s="6">
        <v>71.959999999999994</v>
      </c>
      <c r="U80" s="2"/>
      <c r="V80" s="7">
        <f t="shared" si="37"/>
        <v>6.0834449815129562E-5</v>
      </c>
      <c r="W80" s="2"/>
      <c r="X80" s="6">
        <f t="shared" si="38"/>
        <v>-61.199999999999996</v>
      </c>
      <c r="Y80" s="2"/>
      <c r="Z80" s="7">
        <f t="shared" si="39"/>
        <v>-0.85047248471372983</v>
      </c>
    </row>
    <row r="81" spans="1:26" s="27" customFormat="1" outlineLevel="1" collapsed="1" x14ac:dyDescent="0.25">
      <c r="A81" s="25"/>
      <c r="B81" s="13" t="str">
        <f>CONCATENATE("     ","Inventory Adjustment                              ")</f>
        <v xml:space="preserve">     Inventory Adjustment                              </v>
      </c>
      <c r="C81" s="13"/>
      <c r="D81" s="1">
        <f>SUM(OSRRefD22_7x_0)</f>
        <v>0</v>
      </c>
      <c r="E81" s="1"/>
      <c r="F81" s="5">
        <f t="shared" si="32"/>
        <v>0</v>
      </c>
      <c r="G81" s="1"/>
      <c r="H81" s="1">
        <f>SUM(OSRRefH22_7x_0)</f>
        <v>1250</v>
      </c>
      <c r="I81" s="1"/>
      <c r="J81" s="5">
        <f t="shared" si="33"/>
        <v>6.772073356398834E-3</v>
      </c>
      <c r="K81" s="1"/>
      <c r="L81" s="1">
        <f t="shared" si="34"/>
        <v>-1250</v>
      </c>
      <c r="M81" s="1"/>
      <c r="N81" s="5">
        <f t="shared" si="35"/>
        <v>-1</v>
      </c>
      <c r="O81" s="13"/>
      <c r="P81" s="1">
        <f>SUM(OSRRefP22_7x_0)</f>
        <v>0</v>
      </c>
      <c r="Q81" s="1"/>
      <c r="R81" s="5">
        <f t="shared" si="36"/>
        <v>0</v>
      </c>
      <c r="S81" s="1"/>
      <c r="T81" s="1">
        <f>SUM(OSRRefT22_7x_0)</f>
        <v>5000</v>
      </c>
      <c r="U81" s="1"/>
      <c r="V81" s="5">
        <f t="shared" si="37"/>
        <v>4.2269628832080023E-3</v>
      </c>
      <c r="W81" s="1"/>
      <c r="X81" s="1">
        <f t="shared" si="38"/>
        <v>-5000</v>
      </c>
      <c r="Y81" s="1"/>
      <c r="Z81" s="5">
        <f t="shared" si="39"/>
        <v>-1</v>
      </c>
    </row>
    <row r="82" spans="1:26" s="24" customFormat="1" hidden="1" outlineLevel="2" x14ac:dyDescent="0.25">
      <c r="A82" s="26"/>
      <c r="B82" s="11" t="str">
        <f>CONCATENATE("          ", "6408", " - ", "INVENTORY ADJUSTMENT")</f>
        <v xml:space="preserve">          6408 - INVENTORY ADJUSTMENT</v>
      </c>
      <c r="C82" s="11"/>
      <c r="D82" s="6"/>
      <c r="E82" s="2"/>
      <c r="F82" s="7">
        <f t="shared" si="32"/>
        <v>0</v>
      </c>
      <c r="G82" s="2"/>
      <c r="H82" s="6">
        <v>1250</v>
      </c>
      <c r="I82" s="2"/>
      <c r="J82" s="7">
        <f t="shared" si="33"/>
        <v>6.772073356398834E-3</v>
      </c>
      <c r="K82" s="2"/>
      <c r="L82" s="6">
        <f t="shared" si="34"/>
        <v>-1250</v>
      </c>
      <c r="M82" s="2"/>
      <c r="N82" s="7">
        <f t="shared" si="35"/>
        <v>-1</v>
      </c>
      <c r="O82" s="11"/>
      <c r="P82" s="6"/>
      <c r="Q82" s="2"/>
      <c r="R82" s="7">
        <f t="shared" si="36"/>
        <v>0</v>
      </c>
      <c r="S82" s="2"/>
      <c r="T82" s="6">
        <v>5000</v>
      </c>
      <c r="U82" s="2"/>
      <c r="V82" s="7">
        <f t="shared" si="37"/>
        <v>4.2269628832080023E-3</v>
      </c>
      <c r="W82" s="2"/>
      <c r="X82" s="6">
        <f t="shared" si="38"/>
        <v>-5000</v>
      </c>
      <c r="Y82" s="2"/>
      <c r="Z82" s="7">
        <f t="shared" si="39"/>
        <v>-1</v>
      </c>
    </row>
    <row r="83" spans="1:26" s="27" customFormat="1" outlineLevel="1" collapsed="1" x14ac:dyDescent="0.25">
      <c r="A83" s="25"/>
      <c r="B83" s="13" t="str">
        <f>CONCATENATE("     ","Subscriptions &amp; Dues                              ")</f>
        <v xml:space="preserve">     Subscriptions &amp; Dues                              </v>
      </c>
      <c r="C83" s="13"/>
      <c r="D83" s="1">
        <f>SUM(OSRRefD22_8x_0)</f>
        <v>0</v>
      </c>
      <c r="E83" s="1"/>
      <c r="F83" s="5">
        <f t="shared" si="32"/>
        <v>0</v>
      </c>
      <c r="G83" s="1"/>
      <c r="H83" s="1">
        <f>SUM(OSRRefH22_8x_0)</f>
        <v>0</v>
      </c>
      <c r="I83" s="1"/>
      <c r="J83" s="5">
        <f t="shared" si="33"/>
        <v>0</v>
      </c>
      <c r="K83" s="1"/>
      <c r="L83" s="1">
        <f t="shared" si="34"/>
        <v>0</v>
      </c>
      <c r="M83" s="1"/>
      <c r="N83" s="5">
        <f t="shared" si="35"/>
        <v>0</v>
      </c>
      <c r="O83" s="13"/>
      <c r="P83" s="1">
        <f>SUM(OSRRefP22_8x_0)</f>
        <v>-5000</v>
      </c>
      <c r="Q83" s="1"/>
      <c r="R83" s="5">
        <f t="shared" si="36"/>
        <v>-3.7357905470751462E-3</v>
      </c>
      <c r="S83" s="1"/>
      <c r="T83" s="1">
        <f>SUM(OSRRefT22_8x_0)</f>
        <v>0</v>
      </c>
      <c r="U83" s="1"/>
      <c r="V83" s="5">
        <f t="shared" si="37"/>
        <v>0</v>
      </c>
      <c r="W83" s="1"/>
      <c r="X83" s="1">
        <f t="shared" si="38"/>
        <v>-5000</v>
      </c>
      <c r="Y83" s="1"/>
      <c r="Z83" s="5">
        <f t="shared" si="39"/>
        <v>0</v>
      </c>
    </row>
    <row r="84" spans="1:26" s="24" customFormat="1" hidden="1" outlineLevel="2" x14ac:dyDescent="0.25">
      <c r="A84" s="26"/>
      <c r="B84" s="11" t="str">
        <f>CONCATENATE("          ", "6258", " - ", "MEMBERSHIP DUES")</f>
        <v xml:space="preserve">          6258 - MEMBERSHIP DUES</v>
      </c>
      <c r="C84" s="11"/>
      <c r="D84" s="6"/>
      <c r="E84" s="2"/>
      <c r="F84" s="7">
        <f t="shared" si="32"/>
        <v>0</v>
      </c>
      <c r="G84" s="2"/>
      <c r="H84" s="6"/>
      <c r="I84" s="2"/>
      <c r="J84" s="7">
        <f t="shared" si="33"/>
        <v>0</v>
      </c>
      <c r="K84" s="2"/>
      <c r="L84" s="6">
        <f t="shared" si="34"/>
        <v>0</v>
      </c>
      <c r="M84" s="2"/>
      <c r="N84" s="7">
        <f t="shared" si="35"/>
        <v>0</v>
      </c>
      <c r="O84" s="11"/>
      <c r="P84" s="6">
        <v>-5000</v>
      </c>
      <c r="Q84" s="2"/>
      <c r="R84" s="7">
        <f t="shared" si="36"/>
        <v>-3.7357905470751462E-3</v>
      </c>
      <c r="S84" s="2"/>
      <c r="T84" s="6"/>
      <c r="U84" s="2"/>
      <c r="V84" s="7">
        <f t="shared" si="37"/>
        <v>0</v>
      </c>
      <c r="W84" s="2"/>
      <c r="X84" s="6">
        <f t="shared" si="38"/>
        <v>-5000</v>
      </c>
      <c r="Y84" s="2"/>
      <c r="Z84" s="7">
        <f t="shared" si="39"/>
        <v>0</v>
      </c>
    </row>
    <row r="85" spans="1:26" s="27" customFormat="1" outlineLevel="1" collapsed="1" x14ac:dyDescent="0.25">
      <c r="A85" s="25"/>
      <c r="B85" s="13" t="str">
        <f>CONCATENATE("     ","Supplies                                          ")</f>
        <v xml:space="preserve">     Supplies                                          </v>
      </c>
      <c r="C85" s="13"/>
      <c r="D85" s="1">
        <f>SUM(OSRRefD22_9x_0)</f>
        <v>192.76</v>
      </c>
      <c r="E85" s="1"/>
      <c r="F85" s="5">
        <f t="shared" si="32"/>
        <v>1.3182269287035908E-3</v>
      </c>
      <c r="G85" s="1"/>
      <c r="H85" s="1">
        <f>SUM(OSRRefH22_9x_0)</f>
        <v>113.6</v>
      </c>
      <c r="I85" s="1"/>
      <c r="J85" s="5">
        <f t="shared" si="33"/>
        <v>6.1544602662952602E-4</v>
      </c>
      <c r="K85" s="1"/>
      <c r="L85" s="1">
        <f t="shared" si="34"/>
        <v>79.16</v>
      </c>
      <c r="M85" s="1"/>
      <c r="N85" s="5">
        <f t="shared" si="35"/>
        <v>0.69683098591549297</v>
      </c>
      <c r="O85" s="13"/>
      <c r="P85" s="1">
        <f>SUM(OSRRefP22_9x_0)</f>
        <v>1556.9499999999998</v>
      </c>
      <c r="Q85" s="1"/>
      <c r="R85" s="5">
        <f t="shared" si="36"/>
        <v>1.1632878184537295E-3</v>
      </c>
      <c r="S85" s="1"/>
      <c r="T85" s="1">
        <f>SUM(OSRRefT22_9x_0)</f>
        <v>1024.28</v>
      </c>
      <c r="U85" s="1"/>
      <c r="V85" s="5">
        <f t="shared" si="37"/>
        <v>8.6591870840245846E-4</v>
      </c>
      <c r="W85" s="1"/>
      <c r="X85" s="1">
        <f t="shared" si="38"/>
        <v>532.66999999999985</v>
      </c>
      <c r="Y85" s="1"/>
      <c r="Z85" s="5">
        <f t="shared" si="39"/>
        <v>0.52004334752216175</v>
      </c>
    </row>
    <row r="86" spans="1:26" s="24" customFormat="1" hidden="1" outlineLevel="2" x14ac:dyDescent="0.25">
      <c r="A86" s="26"/>
      <c r="B86" s="11" t="str">
        <f>CONCATENATE("          ", "6241", " - ", "OFFICE EXPENSE")</f>
        <v xml:space="preserve">          6241 - OFFICE EXPENSE</v>
      </c>
      <c r="C86" s="11"/>
      <c r="D86" s="6">
        <v>192.76</v>
      </c>
      <c r="E86" s="2"/>
      <c r="F86" s="7">
        <f t="shared" si="32"/>
        <v>1.3182269287035908E-3</v>
      </c>
      <c r="G86" s="2"/>
      <c r="H86" s="6">
        <v>113.6</v>
      </c>
      <c r="I86" s="2"/>
      <c r="J86" s="7">
        <f t="shared" si="33"/>
        <v>6.1544602662952602E-4</v>
      </c>
      <c r="K86" s="2"/>
      <c r="L86" s="6">
        <f t="shared" si="34"/>
        <v>79.16</v>
      </c>
      <c r="M86" s="2"/>
      <c r="N86" s="7">
        <f t="shared" si="35"/>
        <v>0.69683098591549297</v>
      </c>
      <c r="O86" s="11"/>
      <c r="P86" s="6">
        <v>616.29999999999995</v>
      </c>
      <c r="Q86" s="2"/>
      <c r="R86" s="7">
        <f t="shared" si="36"/>
        <v>4.604735428324825E-4</v>
      </c>
      <c r="S86" s="2"/>
      <c r="T86" s="6">
        <v>838.41</v>
      </c>
      <c r="U86" s="2"/>
      <c r="V86" s="7">
        <f t="shared" si="37"/>
        <v>7.0878559018208416E-4</v>
      </c>
      <c r="W86" s="2"/>
      <c r="X86" s="6">
        <f t="shared" si="38"/>
        <v>-222.11</v>
      </c>
      <c r="Y86" s="2"/>
      <c r="Z86" s="7">
        <f t="shared" si="39"/>
        <v>-0.26491811882014771</v>
      </c>
    </row>
    <row r="87" spans="1:26" s="24" customFormat="1" hidden="1" outlineLevel="2" x14ac:dyDescent="0.25">
      <c r="A87" s="26"/>
      <c r="B87" s="11" t="str">
        <f>CONCATENATE("          ", "6247", " - ", "STORE SUPPLIES")</f>
        <v xml:space="preserve">          6247 - STORE SUPPLIES</v>
      </c>
      <c r="C87" s="11"/>
      <c r="D87" s="6"/>
      <c r="E87" s="2"/>
      <c r="F87" s="7">
        <f t="shared" si="32"/>
        <v>0</v>
      </c>
      <c r="G87" s="2"/>
      <c r="H87" s="6"/>
      <c r="I87" s="2"/>
      <c r="J87" s="7">
        <f t="shared" si="33"/>
        <v>0</v>
      </c>
      <c r="K87" s="2"/>
      <c r="L87" s="6">
        <f t="shared" si="34"/>
        <v>0</v>
      </c>
      <c r="M87" s="2"/>
      <c r="N87" s="7">
        <f t="shared" si="35"/>
        <v>0</v>
      </c>
      <c r="O87" s="11"/>
      <c r="P87" s="6">
        <v>940.65</v>
      </c>
      <c r="Q87" s="2"/>
      <c r="R87" s="7">
        <f t="shared" si="36"/>
        <v>7.0281427562124724E-4</v>
      </c>
      <c r="S87" s="2"/>
      <c r="T87" s="6">
        <v>185.87</v>
      </c>
      <c r="U87" s="2"/>
      <c r="V87" s="7">
        <f t="shared" si="37"/>
        <v>1.5713311822037427E-4</v>
      </c>
      <c r="W87" s="2"/>
      <c r="X87" s="6">
        <f t="shared" si="38"/>
        <v>754.78</v>
      </c>
      <c r="Y87" s="2"/>
      <c r="Z87" s="7">
        <f t="shared" si="39"/>
        <v>4.0607951794264805</v>
      </c>
    </row>
    <row r="88" spans="1:26" s="27" customFormat="1" outlineLevel="1" collapsed="1" x14ac:dyDescent="0.25">
      <c r="A88" s="25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SUM(OSRRefD22_10x_0)</f>
        <v>259.5</v>
      </c>
      <c r="E88" s="1"/>
      <c r="F88" s="5">
        <f t="shared" ref="F88:F93" si="40">IF(D$12=0,0,D88/D$12)</f>
        <v>1.7746414608766437E-3</v>
      </c>
      <c r="G88" s="1"/>
      <c r="H88" s="1">
        <f>SUM(OSRRefH22_10x_0)</f>
        <v>241.4</v>
      </c>
      <c r="I88" s="1"/>
      <c r="J88" s="5">
        <f t="shared" ref="J88:J93" si="41">IF(H$12=0,0,H88/H$12)</f>
        <v>1.3078228065877429E-3</v>
      </c>
      <c r="K88" s="1"/>
      <c r="L88" s="1">
        <f t="shared" ref="L88:L93" si="42">+D88-H88</f>
        <v>18.099999999999994</v>
      </c>
      <c r="M88" s="1"/>
      <c r="N88" s="5">
        <f t="shared" ref="N88:N93" si="43">IF(H88=0,0,L88/H88)</f>
        <v>7.497928748964372E-2</v>
      </c>
      <c r="O88" s="13"/>
      <c r="P88" s="1">
        <f>SUM(OSRRefP22_10x_0)</f>
        <v>1020.8</v>
      </c>
      <c r="Q88" s="1"/>
      <c r="R88" s="5">
        <f t="shared" ref="R88:R93" si="44">IF(P$12=0,0,P88/P$12)</f>
        <v>7.6269899809086183E-4</v>
      </c>
      <c r="S88" s="1"/>
      <c r="T88" s="1">
        <f>SUM(OSRRefT22_10x_0)</f>
        <v>1533.95</v>
      </c>
      <c r="U88" s="1"/>
      <c r="V88" s="5">
        <f t="shared" ref="V88:V93" si="45">IF(T$12=0,0,T88/T$12)</f>
        <v>1.2967899429393831E-3</v>
      </c>
      <c r="W88" s="1"/>
      <c r="X88" s="1">
        <f t="shared" ref="X88:X93" si="46">+P88-T88</f>
        <v>-513.15000000000009</v>
      </c>
      <c r="Y88" s="1"/>
      <c r="Z88" s="5">
        <f t="shared" ref="Z88:Z93" si="47">IF(T88=0,0,X88/T88)</f>
        <v>-0.33452850484044466</v>
      </c>
    </row>
    <row r="89" spans="1:26" s="24" customFormat="1" hidden="1" outlineLevel="2" x14ac:dyDescent="0.25">
      <c r="A89" s="26"/>
      <c r="B89" s="11" t="str">
        <f>CONCATENATE("          ", "6309", " - ", "TELEPHONE")</f>
        <v xml:space="preserve">          6309 - TELEPHONE</v>
      </c>
      <c r="C89" s="11"/>
      <c r="D89" s="6">
        <v>259.5</v>
      </c>
      <c r="E89" s="2"/>
      <c r="F89" s="7">
        <f t="shared" si="40"/>
        <v>1.7746414608766437E-3</v>
      </c>
      <c r="G89" s="2"/>
      <c r="H89" s="6">
        <v>241.4</v>
      </c>
      <c r="I89" s="2"/>
      <c r="J89" s="7">
        <f t="shared" si="41"/>
        <v>1.3078228065877429E-3</v>
      </c>
      <c r="K89" s="2"/>
      <c r="L89" s="6">
        <f t="shared" si="42"/>
        <v>18.099999999999994</v>
      </c>
      <c r="M89" s="2"/>
      <c r="N89" s="7">
        <f t="shared" si="43"/>
        <v>7.497928748964372E-2</v>
      </c>
      <c r="O89" s="11"/>
      <c r="P89" s="6">
        <v>1020.8</v>
      </c>
      <c r="Q89" s="2"/>
      <c r="R89" s="7">
        <f t="shared" si="44"/>
        <v>7.6269899809086183E-4</v>
      </c>
      <c r="S89" s="2"/>
      <c r="T89" s="6">
        <v>1533.95</v>
      </c>
      <c r="U89" s="2"/>
      <c r="V89" s="7">
        <f t="shared" si="45"/>
        <v>1.2967899429393831E-3</v>
      </c>
      <c r="W89" s="2"/>
      <c r="X89" s="6">
        <f t="shared" si="46"/>
        <v>-513.15000000000009</v>
      </c>
      <c r="Y89" s="2"/>
      <c r="Z89" s="7">
        <f t="shared" si="47"/>
        <v>-0.33452850484044466</v>
      </c>
    </row>
    <row r="90" spans="1:26" s="27" customFormat="1" outlineLevel="1" collapsed="1" x14ac:dyDescent="0.25">
      <c r="A90" s="25"/>
      <c r="B90" s="13" t="str">
        <f>CONCATENATE("     ","Training                                          ")</f>
        <v xml:space="preserve">     Training                                          </v>
      </c>
      <c r="C90" s="13"/>
      <c r="D90" s="1">
        <f>SUM(OSRRefD22_11x_0)</f>
        <v>40</v>
      </c>
      <c r="E90" s="1"/>
      <c r="F90" s="5">
        <f t="shared" si="40"/>
        <v>2.7354781670545567E-4</v>
      </c>
      <c r="G90" s="1"/>
      <c r="H90" s="1">
        <f>SUM(OSRRefH22_11x_0)</f>
        <v>0</v>
      </c>
      <c r="I90" s="1"/>
      <c r="J90" s="5">
        <f t="shared" si="41"/>
        <v>0</v>
      </c>
      <c r="K90" s="1"/>
      <c r="L90" s="1">
        <f t="shared" si="42"/>
        <v>40</v>
      </c>
      <c r="M90" s="1"/>
      <c r="N90" s="5">
        <f t="shared" si="43"/>
        <v>0</v>
      </c>
      <c r="O90" s="13"/>
      <c r="P90" s="1">
        <f>SUM(OSRRefP22_11x_0)</f>
        <v>40</v>
      </c>
      <c r="Q90" s="1"/>
      <c r="R90" s="5">
        <f t="shared" si="44"/>
        <v>2.988632437660117E-5</v>
      </c>
      <c r="S90" s="1"/>
      <c r="T90" s="1">
        <f>SUM(OSRRefT22_11x_0)</f>
        <v>0</v>
      </c>
      <c r="U90" s="1"/>
      <c r="V90" s="5">
        <f t="shared" si="45"/>
        <v>0</v>
      </c>
      <c r="W90" s="1"/>
      <c r="X90" s="1">
        <f t="shared" si="46"/>
        <v>40</v>
      </c>
      <c r="Y90" s="1"/>
      <c r="Z90" s="5">
        <f t="shared" si="47"/>
        <v>0</v>
      </c>
    </row>
    <row r="91" spans="1:26" s="24" customFormat="1" hidden="1" outlineLevel="2" x14ac:dyDescent="0.25">
      <c r="A91" s="26"/>
      <c r="B91" s="11" t="str">
        <f>CONCATENATE("          ", "6376", " - ", "TRAINING")</f>
        <v xml:space="preserve">          6376 - TRAINING</v>
      </c>
      <c r="C91" s="11"/>
      <c r="D91" s="6">
        <v>40</v>
      </c>
      <c r="E91" s="2"/>
      <c r="F91" s="7">
        <f t="shared" si="40"/>
        <v>2.7354781670545567E-4</v>
      </c>
      <c r="G91" s="2"/>
      <c r="H91" s="6"/>
      <c r="I91" s="2"/>
      <c r="J91" s="7">
        <f t="shared" si="41"/>
        <v>0</v>
      </c>
      <c r="K91" s="2"/>
      <c r="L91" s="6">
        <f t="shared" si="42"/>
        <v>40</v>
      </c>
      <c r="M91" s="2"/>
      <c r="N91" s="7">
        <f t="shared" si="43"/>
        <v>0</v>
      </c>
      <c r="O91" s="11"/>
      <c r="P91" s="6">
        <v>40</v>
      </c>
      <c r="Q91" s="2"/>
      <c r="R91" s="7">
        <f t="shared" si="44"/>
        <v>2.988632437660117E-5</v>
      </c>
      <c r="S91" s="2"/>
      <c r="T91" s="6"/>
      <c r="U91" s="2"/>
      <c r="V91" s="7">
        <f t="shared" si="45"/>
        <v>0</v>
      </c>
      <c r="W91" s="2"/>
      <c r="X91" s="6">
        <f t="shared" si="46"/>
        <v>40</v>
      </c>
      <c r="Y91" s="2"/>
      <c r="Z91" s="7">
        <f t="shared" si="47"/>
        <v>0</v>
      </c>
    </row>
    <row r="92" spans="1:26" s="27" customFormat="1" outlineLevel="1" collapsed="1" x14ac:dyDescent="0.25">
      <c r="A92" s="25"/>
      <c r="B92" s="13" t="str">
        <f>CONCATENATE("     ","Travel                                            ")</f>
        <v xml:space="preserve">     Travel                                            </v>
      </c>
      <c r="C92" s="13"/>
      <c r="D92" s="1">
        <f>SUM(OSRRefD22_12x_0)</f>
        <v>0</v>
      </c>
      <c r="E92" s="1"/>
      <c r="F92" s="5">
        <f t="shared" si="40"/>
        <v>0</v>
      </c>
      <c r="G92" s="1"/>
      <c r="H92" s="1">
        <f>SUM(OSRRefH22_12x_0)</f>
        <v>113.4</v>
      </c>
      <c r="I92" s="1"/>
      <c r="J92" s="5">
        <f t="shared" si="41"/>
        <v>6.1436249489250222E-4</v>
      </c>
      <c r="K92" s="1"/>
      <c r="L92" s="1">
        <f t="shared" si="42"/>
        <v>-113.4</v>
      </c>
      <c r="M92" s="1"/>
      <c r="N92" s="5">
        <f t="shared" si="43"/>
        <v>-1</v>
      </c>
      <c r="O92" s="13"/>
      <c r="P92" s="1">
        <f>SUM(OSRRefP22_12x_0)</f>
        <v>0</v>
      </c>
      <c r="Q92" s="1"/>
      <c r="R92" s="5">
        <f t="shared" si="44"/>
        <v>0</v>
      </c>
      <c r="S92" s="1"/>
      <c r="T92" s="1">
        <f>SUM(OSRRefT22_12x_0)</f>
        <v>113.4</v>
      </c>
      <c r="U92" s="1"/>
      <c r="V92" s="5">
        <f t="shared" si="45"/>
        <v>9.58675181911575E-5</v>
      </c>
      <c r="W92" s="1"/>
      <c r="X92" s="1">
        <f t="shared" si="46"/>
        <v>-113.4</v>
      </c>
      <c r="Y92" s="1"/>
      <c r="Z92" s="5">
        <f t="shared" si="47"/>
        <v>-1</v>
      </c>
    </row>
    <row r="93" spans="1:26" s="24" customFormat="1" hidden="1" outlineLevel="2" x14ac:dyDescent="0.25">
      <c r="A93" s="26"/>
      <c r="B93" s="11" t="str">
        <f>CONCATENATE("          ", "6292", " - ", "TRAVEL/CONFERENCE")</f>
        <v xml:space="preserve">          6292 - TRAVEL/CONFERENCE</v>
      </c>
      <c r="C93" s="11"/>
      <c r="D93" s="6"/>
      <c r="E93" s="2"/>
      <c r="F93" s="7">
        <f t="shared" si="40"/>
        <v>0</v>
      </c>
      <c r="G93" s="2"/>
      <c r="H93" s="6">
        <v>113.4</v>
      </c>
      <c r="I93" s="2"/>
      <c r="J93" s="7">
        <f t="shared" si="41"/>
        <v>6.1436249489250222E-4</v>
      </c>
      <c r="K93" s="2"/>
      <c r="L93" s="6">
        <f t="shared" si="42"/>
        <v>-113.4</v>
      </c>
      <c r="M93" s="2"/>
      <c r="N93" s="7">
        <f t="shared" si="43"/>
        <v>-1</v>
      </c>
      <c r="O93" s="11"/>
      <c r="P93" s="6"/>
      <c r="Q93" s="2"/>
      <c r="R93" s="7">
        <f t="shared" si="44"/>
        <v>0</v>
      </c>
      <c r="S93" s="2"/>
      <c r="T93" s="6">
        <v>113.4</v>
      </c>
      <c r="U93" s="2"/>
      <c r="V93" s="7">
        <f t="shared" si="45"/>
        <v>9.58675181911575E-5</v>
      </c>
      <c r="W93" s="2"/>
      <c r="X93" s="6">
        <f t="shared" si="46"/>
        <v>-113.4</v>
      </c>
      <c r="Y93" s="2"/>
      <c r="Z93" s="7">
        <f t="shared" si="47"/>
        <v>-1</v>
      </c>
    </row>
    <row r="94" spans="1:26" s="55" customFormat="1" x14ac:dyDescent="0.25">
      <c r="A94" s="37"/>
      <c r="B94" s="37"/>
      <c r="C94" s="37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7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25">
      <c r="A95" s="10"/>
      <c r="B95" s="29" t="s">
        <v>0</v>
      </c>
      <c r="C95" s="10"/>
      <c r="D95" s="4">
        <f>SUM(OSRRefD25x_0)</f>
        <v>4142.82</v>
      </c>
      <c r="E95" s="4"/>
      <c r="F95" s="12">
        <f t="shared" ref="F95:F98" si="48">IF(D$12=0,0,D95/D$12)</f>
        <v>2.8331484150092397E-2</v>
      </c>
      <c r="G95" s="4"/>
      <c r="H95" s="4">
        <f>SUM(OSRRefH25x_0)</f>
        <v>1275.28</v>
      </c>
      <c r="I95" s="4"/>
      <c r="J95" s="12">
        <f t="shared" ref="J95:J98" si="49">IF(H$12=0,0,H95/H$12)</f>
        <v>6.9090317679586441E-3</v>
      </c>
      <c r="K95" s="4"/>
      <c r="L95" s="4">
        <f t="shared" ref="L95:L98" si="50">+D95-H95</f>
        <v>2867.54</v>
      </c>
      <c r="M95" s="4"/>
      <c r="N95" s="12">
        <f t="shared" ref="N95:N98" si="51">IF(H95=0,0,L95/H95)</f>
        <v>2.2485571795997741</v>
      </c>
      <c r="O95" s="10"/>
      <c r="P95" s="4">
        <f>SUM(OSRRefP25x_0)</f>
        <v>6288.93</v>
      </c>
      <c r="Q95" s="4"/>
      <c r="R95" s="12">
        <f t="shared" ref="R95:R98" si="52">IF(P$12=0,0,P95/P$12)</f>
        <v>4.6988250490434596E-3</v>
      </c>
      <c r="S95" s="4"/>
      <c r="T95" s="4">
        <f>SUM(OSRRefT25x_0)</f>
        <v>4456.5300000000007</v>
      </c>
      <c r="U95" s="4"/>
      <c r="V95" s="12">
        <f t="shared" ref="V95:V98" si="53">IF(T$12=0,0,T95/T$12)</f>
        <v>3.7675173795805924E-3</v>
      </c>
      <c r="W95" s="4"/>
      <c r="X95" s="4">
        <f t="shared" ref="X95:X98" si="54">+P95-T95</f>
        <v>1832.3999999999996</v>
      </c>
      <c r="Y95" s="4"/>
      <c r="Z95" s="12">
        <f t="shared" ref="Z95:Z98" si="55">IF(T95=0,0,X95/T95)</f>
        <v>0.41117192075448822</v>
      </c>
    </row>
    <row r="96" spans="1:26" s="24" customFormat="1" hidden="1" outlineLevel="1" x14ac:dyDescent="0.25">
      <c r="A96" s="44"/>
      <c r="B96" s="11" t="str">
        <f>CONCATENATE("          ", "4187", " - ", "NON-TAXABLE SALES-COMPUTER REP")</f>
        <v xml:space="preserve">          4187 - NON-TAXABLE SALES-COMPUTER REP</v>
      </c>
      <c r="C96" s="11"/>
      <c r="D96" s="2">
        <f>--4407.89</f>
        <v>4407.8900000000003</v>
      </c>
      <c r="E96" s="2"/>
      <c r="F96" s="19">
        <f t="shared" si="48"/>
        <v>3.014421714444528E-2</v>
      </c>
      <c r="G96" s="2"/>
      <c r="H96" s="2">
        <f>--258.38</f>
        <v>258.38</v>
      </c>
      <c r="I96" s="2"/>
      <c r="J96" s="19">
        <f t="shared" si="49"/>
        <v>1.3998146510610645E-3</v>
      </c>
      <c r="K96" s="2"/>
      <c r="L96" s="2">
        <f t="shared" si="50"/>
        <v>4149.51</v>
      </c>
      <c r="M96" s="2"/>
      <c r="N96" s="19">
        <f t="shared" si="51"/>
        <v>16.059718244446167</v>
      </c>
      <c r="O96" s="11"/>
      <c r="P96" s="2">
        <f>--11782.69</f>
        <v>11782.69</v>
      </c>
      <c r="Q96" s="2"/>
      <c r="R96" s="19">
        <f t="shared" si="52"/>
        <v>8.8035323842233712E-3</v>
      </c>
      <c r="S96" s="2"/>
      <c r="T96" s="2">
        <f>--4259.72</f>
        <v>4259.72</v>
      </c>
      <c r="U96" s="2"/>
      <c r="V96" s="19">
        <f t="shared" si="53"/>
        <v>3.6011356665717584E-3</v>
      </c>
      <c r="W96" s="2"/>
      <c r="X96" s="2">
        <f t="shared" si="54"/>
        <v>7522.97</v>
      </c>
      <c r="Y96" s="2"/>
      <c r="Z96" s="19">
        <f t="shared" si="55"/>
        <v>1.7660714788765459</v>
      </c>
    </row>
    <row r="97" spans="1:26" s="24" customFormat="1" hidden="1" outlineLevel="1" x14ac:dyDescent="0.25">
      <c r="A97" s="44"/>
      <c r="B97" s="11" t="str">
        <f>CONCATENATE("          ", "4387", " - ", "SALES RETURN NON TAXABLE-COMPU")</f>
        <v xml:space="preserve">          4387 - SALES RETURN NON TAXABLE-COMPU</v>
      </c>
      <c r="C97" s="11"/>
      <c r="D97" s="2">
        <f>-350.05</f>
        <v>-350.05</v>
      </c>
      <c r="E97" s="2"/>
      <c r="F97" s="19">
        <f t="shared" si="48"/>
        <v>-2.393885330943619E-3</v>
      </c>
      <c r="G97" s="2"/>
      <c r="H97" s="2">
        <f>0</f>
        <v>0</v>
      </c>
      <c r="I97" s="2"/>
      <c r="J97" s="19">
        <f t="shared" si="49"/>
        <v>0</v>
      </c>
      <c r="K97" s="2"/>
      <c r="L97" s="2">
        <f t="shared" si="50"/>
        <v>-350.05</v>
      </c>
      <c r="M97" s="2"/>
      <c r="N97" s="19">
        <f t="shared" si="51"/>
        <v>0</v>
      </c>
      <c r="O97" s="11"/>
      <c r="P97" s="2">
        <f>-6790.75</f>
        <v>-6790.75</v>
      </c>
      <c r="Q97" s="2"/>
      <c r="R97" s="19">
        <f t="shared" si="52"/>
        <v>-5.0737639315101097E-3</v>
      </c>
      <c r="S97" s="2"/>
      <c r="T97" s="2">
        <f>0</f>
        <v>0</v>
      </c>
      <c r="U97" s="2"/>
      <c r="V97" s="19">
        <f t="shared" si="53"/>
        <v>0</v>
      </c>
      <c r="W97" s="2"/>
      <c r="X97" s="2">
        <f t="shared" si="54"/>
        <v>-6790.75</v>
      </c>
      <c r="Y97" s="2"/>
      <c r="Z97" s="19">
        <f t="shared" si="55"/>
        <v>0</v>
      </c>
    </row>
    <row r="98" spans="1:26" s="24" customFormat="1" hidden="1" outlineLevel="1" x14ac:dyDescent="0.25">
      <c r="A98" s="44"/>
      <c r="B98" s="11" t="str">
        <f>CONCATENATE("          ", "9150", " - ", "MISC. INCOME")</f>
        <v xml:space="preserve">          9150 - MISC. INCOME</v>
      </c>
      <c r="C98" s="11"/>
      <c r="D98" s="2">
        <f>--84.98</f>
        <v>84.98</v>
      </c>
      <c r="E98" s="2"/>
      <c r="F98" s="19">
        <f t="shared" si="48"/>
        <v>5.8115233659074067E-4</v>
      </c>
      <c r="G98" s="2"/>
      <c r="H98" s="2">
        <f>--1016.9</f>
        <v>1016.9</v>
      </c>
      <c r="I98" s="2"/>
      <c r="J98" s="19">
        <f t="shared" si="49"/>
        <v>5.5092171168975796E-3</v>
      </c>
      <c r="K98" s="2"/>
      <c r="L98" s="2">
        <f t="shared" si="50"/>
        <v>-931.92</v>
      </c>
      <c r="M98" s="2"/>
      <c r="N98" s="19">
        <f t="shared" si="51"/>
        <v>-0.91643229422755434</v>
      </c>
      <c r="O98" s="11"/>
      <c r="P98" s="2">
        <f>--1296.99</f>
        <v>1296.99</v>
      </c>
      <c r="Q98" s="2"/>
      <c r="R98" s="19">
        <f t="shared" si="52"/>
        <v>9.690565963301988E-4</v>
      </c>
      <c r="S98" s="2"/>
      <c r="T98" s="2">
        <f>--196.81</f>
        <v>196.81</v>
      </c>
      <c r="U98" s="2"/>
      <c r="V98" s="19">
        <f t="shared" si="53"/>
        <v>1.6638171300883338E-4</v>
      </c>
      <c r="W98" s="2"/>
      <c r="X98" s="2">
        <f t="shared" si="54"/>
        <v>1100.18</v>
      </c>
      <c r="Y98" s="2"/>
      <c r="Z98" s="19">
        <f t="shared" si="55"/>
        <v>5.5900614806158222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3</v>
      </c>
      <c r="C100" s="28"/>
      <c r="D100" s="21">
        <f>+D53-D55+D95</f>
        <v>8923.0600000000413</v>
      </c>
      <c r="E100" s="14"/>
      <c r="F100" s="22">
        <f>IF(D$12=0,0,D100/D$12)</f>
        <v>6.1022089533294868E-2</v>
      </c>
      <c r="G100" s="14"/>
      <c r="H100" s="21">
        <f>+H53-H55+H95</f>
        <v>14514.13</v>
      </c>
      <c r="I100" s="14"/>
      <c r="J100" s="22">
        <f>IF(H$12=0,0,H100/H$12)</f>
        <v>7.8632602451447209E-2</v>
      </c>
      <c r="K100" s="16"/>
      <c r="L100" s="21">
        <f>+D100-H100</f>
        <v>-5591.0699999999579</v>
      </c>
      <c r="M100" s="16"/>
      <c r="N100" s="22">
        <f>IF(H100=0,0,L100/H100)</f>
        <v>-0.38521564847496598</v>
      </c>
      <c r="O100" s="29"/>
      <c r="P100" s="21">
        <f>+P53-P55+P95</f>
        <v>24893.87999999959</v>
      </c>
      <c r="Q100" s="14"/>
      <c r="R100" s="22">
        <f>IF(P$12=0,0,P100/P$12)</f>
        <v>1.85996643168043E-2</v>
      </c>
      <c r="S100" s="14"/>
      <c r="T100" s="21">
        <f>+T53-T55+T95</f>
        <v>41430.129999999568</v>
      </c>
      <c r="U100" s="14"/>
      <c r="V100" s="22">
        <f>IF(T$12=0,0,T100/T$12)</f>
        <v>3.5024724351296103E-2</v>
      </c>
      <c r="W100" s="16"/>
      <c r="X100" s="21">
        <f>+P100-T100</f>
        <v>-16536.249999999978</v>
      </c>
      <c r="Y100" s="16"/>
      <c r="Z100" s="22">
        <f>IF(T100=0,0,X100/T100)</f>
        <v>-0.39913584630316512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>
        <v>6671.52</v>
      </c>
      <c r="E102" s="4"/>
      <c r="F102" s="12">
        <f>IF(D$12=0,0,D102/D$12)</f>
        <v>4.5624493252669547E-2</v>
      </c>
      <c r="G102" s="4"/>
      <c r="H102" s="4">
        <v>19939.53</v>
      </c>
      <c r="I102" s="4"/>
      <c r="J102" s="12">
        <f>IF(H$12=0,0,H102/H$12)</f>
        <v>0.10802556788169219</v>
      </c>
      <c r="K102" s="4"/>
      <c r="L102" s="4">
        <f>+D102-H102</f>
        <v>-13268.009999999998</v>
      </c>
      <c r="M102" s="4"/>
      <c r="N102" s="12">
        <f>IF(H102=0,0,L102/H102)</f>
        <v>-0.66541237431373756</v>
      </c>
      <c r="O102" s="10"/>
      <c r="P102" s="4">
        <v>134727.24</v>
      </c>
      <c r="Q102" s="4"/>
      <c r="R102" s="12">
        <f>IF(P$12=0,0,P102/P$12)</f>
        <v>0.1006625499251049</v>
      </c>
      <c r="S102" s="4"/>
      <c r="T102" s="4">
        <v>108635.67</v>
      </c>
      <c r="U102" s="4"/>
      <c r="V102" s="12">
        <f>IF(T$12=0,0,T102/T$12)</f>
        <v>9.1839788976486619E-2</v>
      </c>
      <c r="W102" s="4"/>
      <c r="X102" s="4">
        <f>+P102-T102</f>
        <v>26091.569999999992</v>
      </c>
      <c r="Y102" s="4"/>
      <c r="Z102" s="12">
        <f>IF(T102=0,0,X102/T102)</f>
        <v>0.24017498120092592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4</v>
      </c>
      <c r="C104" s="28"/>
      <c r="D104" s="31">
        <f>+D100-D102</f>
        <v>2251.5400000000409</v>
      </c>
      <c r="E104" s="14"/>
      <c r="F104" s="34">
        <f>IF(D$12=0,0,D104/D$12)</f>
        <v>1.5397596280625323E-2</v>
      </c>
      <c r="G104" s="14"/>
      <c r="H104" s="31">
        <f>+H100-H102</f>
        <v>-5425.4</v>
      </c>
      <c r="I104" s="14"/>
      <c r="J104" s="34">
        <f>IF(H$12=0,0,H104/H$12)</f>
        <v>-2.9392965430244986E-2</v>
      </c>
      <c r="K104" s="16"/>
      <c r="L104" s="31">
        <f>D104-H104</f>
        <v>7676.9400000000405</v>
      </c>
      <c r="M104" s="16"/>
      <c r="N104" s="34">
        <f>IF(H104=0,0,L104/H104)</f>
        <v>-1.4149998156818007</v>
      </c>
      <c r="O104" s="29"/>
      <c r="P104" s="31">
        <f>+P100-P102</f>
        <v>-109833.36000000039</v>
      </c>
      <c r="Q104" s="14"/>
      <c r="R104" s="34">
        <f>IF(P$12=0,0,P104/P$12)</f>
        <v>-8.2062885608300593E-2</v>
      </c>
      <c r="S104" s="14"/>
      <c r="T104" s="31">
        <f>+T100-T102</f>
        <v>-67205.54000000043</v>
      </c>
      <c r="U104" s="14"/>
      <c r="V104" s="34">
        <f>IF(T$12=0,0,T104/T$12)</f>
        <v>-5.6815064625190509E-2</v>
      </c>
      <c r="W104" s="16"/>
      <c r="X104" s="31">
        <f>P104-T104</f>
        <v>-42627.819999999963</v>
      </c>
      <c r="Y104" s="16"/>
      <c r="Z104" s="34">
        <f>IF(T104=0,0,X104/T104)</f>
        <v>0.63429026833204061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5</v>
      </c>
      <c r="C107" s="28"/>
      <c r="D107" s="36">
        <f>SUM(D104:D106)</f>
        <v>2251.5400000000409</v>
      </c>
      <c r="E107" s="14"/>
      <c r="F107" s="33">
        <f>IF(D$12=0,0,D107/D$12)</f>
        <v>1.5397596280625323E-2</v>
      </c>
      <c r="G107" s="14"/>
      <c r="H107" s="36">
        <f>SUM(H104:H106)</f>
        <v>-5425.4</v>
      </c>
      <c r="I107" s="14"/>
      <c r="J107" s="33">
        <f>IF(H$12=0,0,H107/H$12)</f>
        <v>-2.9392965430244986E-2</v>
      </c>
      <c r="K107" s="16"/>
      <c r="L107" s="36">
        <f>+D107-H107</f>
        <v>7676.9400000000405</v>
      </c>
      <c r="M107" s="16"/>
      <c r="N107" s="33">
        <f>IF(H107=0,0,L107/H107)</f>
        <v>-1.4149998156818007</v>
      </c>
      <c r="O107" s="29"/>
      <c r="P107" s="36">
        <f>SUM(P104:P106)</f>
        <v>-109833.36000000039</v>
      </c>
      <c r="Q107" s="14"/>
      <c r="R107" s="33">
        <f>IF(P$12=0,0,P107/P$12)</f>
        <v>-8.2062885608300593E-2</v>
      </c>
      <c r="S107" s="14"/>
      <c r="T107" s="36">
        <f>SUM(T104:T106)</f>
        <v>-67205.54000000043</v>
      </c>
      <c r="U107" s="14"/>
      <c r="V107" s="33">
        <f>IF(T$12=0,0,T107/T$12)</f>
        <v>-5.6815064625190509E-2</v>
      </c>
      <c r="W107" s="16"/>
      <c r="X107" s="36">
        <f>+P107-T107</f>
        <v>-42627.819999999963</v>
      </c>
      <c r="Y107" s="16"/>
      <c r="Z107" s="33">
        <f>IF(T107=0,0,X107/T107)</f>
        <v>0.63429026833204061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61">
        <v>43791.355002314813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56" t="s">
        <v>313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57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","317", " - ", "Computer Store")</f>
        <v>Department 317 - Computer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146226.72000000003</v>
      </c>
      <c r="E12" s="4"/>
      <c r="F12" s="12"/>
      <c r="G12" s="4"/>
      <c r="H12" s="4">
        <f>SUM(OSRRefH13x_0)</f>
        <v>184581.58000000002</v>
      </c>
      <c r="I12" s="4"/>
      <c r="J12" s="12"/>
      <c r="K12" s="4"/>
      <c r="L12" s="4">
        <f t="shared" ref="L12:L36" si="0">+D12-H12</f>
        <v>-38354.859999999986</v>
      </c>
      <c r="M12" s="4"/>
      <c r="N12" s="12">
        <f t="shared" ref="N12:N36" si="1">IF(H12=0,0,L12/H12)</f>
        <v>-0.20779354039552583</v>
      </c>
      <c r="O12" s="10"/>
      <c r="P12" s="4">
        <f>SUM(OSRRefP13x_0)</f>
        <v>1338404.7999999996</v>
      </c>
      <c r="Q12" s="4"/>
      <c r="R12" s="12"/>
      <c r="S12" s="4"/>
      <c r="T12" s="4">
        <f>SUM(OSRRefT13x_0)</f>
        <v>1182882.3999999997</v>
      </c>
      <c r="U12" s="4"/>
      <c r="V12" s="12"/>
      <c r="W12" s="4"/>
      <c r="X12" s="4">
        <f t="shared" ref="X12:X36" si="2">+P12-T12</f>
        <v>155522.39999999991</v>
      </c>
      <c r="Y12" s="4"/>
      <c r="Z12" s="12">
        <f t="shared" ref="Z12:Z36" si="3">IF(T12=0,0,X12/T12)</f>
        <v>0.13147748246148555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--24779.49</f>
        <v>24779.49</v>
      </c>
      <c r="E13" s="2"/>
      <c r="F13" s="19"/>
      <c r="G13" s="2"/>
      <c r="H13" s="2">
        <f>--26887.69</f>
        <v>26887.69</v>
      </c>
      <c r="I13" s="2"/>
      <c r="J13" s="19"/>
      <c r="K13" s="2"/>
      <c r="L13" s="2">
        <f t="shared" si="0"/>
        <v>-2108.1999999999971</v>
      </c>
      <c r="M13" s="2"/>
      <c r="N13" s="19">
        <f t="shared" si="1"/>
        <v>-7.8407628174826369E-2</v>
      </c>
      <c r="O13" s="11"/>
      <c r="P13" s="2">
        <f>--213456.81</f>
        <v>213456.81</v>
      </c>
      <c r="Q13" s="2"/>
      <c r="R13" s="19"/>
      <c r="S13" s="2"/>
      <c r="T13" s="2">
        <f>--164259.92</f>
        <v>164259.92000000001</v>
      </c>
      <c r="U13" s="2"/>
      <c r="V13" s="19"/>
      <c r="W13" s="2"/>
      <c r="X13" s="2">
        <f t="shared" si="2"/>
        <v>49196.889999999985</v>
      </c>
      <c r="Y13" s="2"/>
      <c r="Z13" s="19">
        <f t="shared" si="3"/>
        <v>0.29950635553700489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--109645.14</f>
        <v>109645.14</v>
      </c>
      <c r="E14" s="2"/>
      <c r="F14" s="19"/>
      <c r="G14" s="2"/>
      <c r="H14" s="2">
        <f>--78391.49</f>
        <v>78391.490000000005</v>
      </c>
      <c r="I14" s="2"/>
      <c r="J14" s="19"/>
      <c r="K14" s="2"/>
      <c r="L14" s="2">
        <f t="shared" si="0"/>
        <v>31253.649999999994</v>
      </c>
      <c r="M14" s="2"/>
      <c r="N14" s="19">
        <f t="shared" si="1"/>
        <v>0.39868677071962777</v>
      </c>
      <c r="O14" s="11"/>
      <c r="P14" s="2">
        <f>--1148399.63</f>
        <v>1148399.6299999999</v>
      </c>
      <c r="Q14" s="2"/>
      <c r="R14" s="19"/>
      <c r="S14" s="2"/>
      <c r="T14" s="2">
        <f>--836582.46</f>
        <v>836582.46</v>
      </c>
      <c r="U14" s="2"/>
      <c r="V14" s="19"/>
      <c r="W14" s="2"/>
      <c r="X14" s="2">
        <f t="shared" si="2"/>
        <v>311817.16999999993</v>
      </c>
      <c r="Y14" s="2"/>
      <c r="Z14" s="19">
        <f t="shared" si="3"/>
        <v>0.37272735792237377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--12650.01</f>
        <v>12650.01</v>
      </c>
      <c r="E15" s="2"/>
      <c r="F15" s="19"/>
      <c r="G15" s="2"/>
      <c r="H15" s="2">
        <f>--16114.4</f>
        <v>16114.4</v>
      </c>
      <c r="I15" s="2"/>
      <c r="J15" s="19"/>
      <c r="K15" s="2"/>
      <c r="L15" s="2">
        <f t="shared" si="0"/>
        <v>-3464.3899999999994</v>
      </c>
      <c r="M15" s="2"/>
      <c r="N15" s="19">
        <f t="shared" si="1"/>
        <v>-0.2149872164027205</v>
      </c>
      <c r="O15" s="11"/>
      <c r="P15" s="2">
        <f>--53606.22</f>
        <v>53606.22</v>
      </c>
      <c r="Q15" s="2"/>
      <c r="R15" s="19"/>
      <c r="S15" s="2"/>
      <c r="T15" s="2">
        <f>--53047.47</f>
        <v>53047.47</v>
      </c>
      <c r="U15" s="2"/>
      <c r="V15" s="19"/>
      <c r="W15" s="2"/>
      <c r="X15" s="2">
        <f t="shared" si="2"/>
        <v>558.75</v>
      </c>
      <c r="Y15" s="2"/>
      <c r="Z15" s="19">
        <f t="shared" si="3"/>
        <v>1.0533018822575327E-2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--278.99</f>
        <v>278.99</v>
      </c>
      <c r="U16" s="2"/>
      <c r="V16" s="19"/>
      <c r="W16" s="2"/>
      <c r="X16" s="2">
        <f t="shared" si="2"/>
        <v>-149.99</v>
      </c>
      <c r="Y16" s="2"/>
      <c r="Z16" s="19">
        <f t="shared" si="3"/>
        <v>-0.53761783576472277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--3913.99</f>
        <v>3913.99</v>
      </c>
      <c r="E17" s="2"/>
      <c r="F17" s="19"/>
      <c r="G17" s="2"/>
      <c r="H17" s="2">
        <f>--1095</f>
        <v>1095</v>
      </c>
      <c r="I17" s="2"/>
      <c r="J17" s="19"/>
      <c r="K17" s="2"/>
      <c r="L17" s="2">
        <f t="shared" si="0"/>
        <v>2818.99</v>
      </c>
      <c r="M17" s="2"/>
      <c r="N17" s="19">
        <f t="shared" si="1"/>
        <v>2.5744200913242006</v>
      </c>
      <c r="O17" s="11"/>
      <c r="P17" s="2">
        <f>--4407.94</f>
        <v>4407.9399999999996</v>
      </c>
      <c r="Q17" s="2"/>
      <c r="R17" s="19"/>
      <c r="S17" s="2"/>
      <c r="T17" s="2">
        <f>--8602.84</f>
        <v>8602.84</v>
      </c>
      <c r="U17" s="2"/>
      <c r="V17" s="19"/>
      <c r="W17" s="2"/>
      <c r="X17" s="2">
        <f t="shared" si="2"/>
        <v>-4194.9000000000005</v>
      </c>
      <c r="Y17" s="2"/>
      <c r="Z17" s="19">
        <f t="shared" si="3"/>
        <v>-0.48761804241390055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--6615.09</f>
        <v>6615.09</v>
      </c>
      <c r="E18" s="2"/>
      <c r="F18" s="19"/>
      <c r="G18" s="2"/>
      <c r="H18" s="2">
        <f>--7160.91</f>
        <v>7160.91</v>
      </c>
      <c r="I18" s="2"/>
      <c r="J18" s="19"/>
      <c r="K18" s="2"/>
      <c r="L18" s="2">
        <f t="shared" si="0"/>
        <v>-545.81999999999971</v>
      </c>
      <c r="M18" s="2"/>
      <c r="N18" s="19">
        <f t="shared" si="1"/>
        <v>-7.6222156122615667E-2</v>
      </c>
      <c r="O18" s="11"/>
      <c r="P18" s="2">
        <f>--26598.3</f>
        <v>26598.3</v>
      </c>
      <c r="Q18" s="2"/>
      <c r="R18" s="19"/>
      <c r="S18" s="2"/>
      <c r="T18" s="2">
        <f>--31479</f>
        <v>31479</v>
      </c>
      <c r="U18" s="2"/>
      <c r="V18" s="19"/>
      <c r="W18" s="2"/>
      <c r="X18" s="2">
        <f t="shared" si="2"/>
        <v>-4880.7000000000007</v>
      </c>
      <c r="Y18" s="2"/>
      <c r="Z18" s="19">
        <f t="shared" si="3"/>
        <v>-0.15504622129038409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--281.98</f>
        <v>281.98</v>
      </c>
      <c r="E19" s="2"/>
      <c r="F19" s="19"/>
      <c r="G19" s="2"/>
      <c r="H19" s="2">
        <f>--115.98</f>
        <v>115.98</v>
      </c>
      <c r="I19" s="2"/>
      <c r="J19" s="19"/>
      <c r="K19" s="2"/>
      <c r="L19" s="2">
        <f t="shared" si="0"/>
        <v>166</v>
      </c>
      <c r="M19" s="2"/>
      <c r="N19" s="19">
        <f t="shared" si="1"/>
        <v>1.4312812553888601</v>
      </c>
      <c r="O19" s="11"/>
      <c r="P19" s="2">
        <f>--817.94</f>
        <v>817.94</v>
      </c>
      <c r="Q19" s="2"/>
      <c r="R19" s="19"/>
      <c r="S19" s="2"/>
      <c r="T19" s="2">
        <f>--913.89</f>
        <v>913.89</v>
      </c>
      <c r="U19" s="2"/>
      <c r="V19" s="19"/>
      <c r="W19" s="2"/>
      <c r="X19" s="2">
        <f t="shared" si="2"/>
        <v>-95.949999999999932</v>
      </c>
      <c r="Y19" s="2"/>
      <c r="Z19" s="19">
        <f t="shared" si="3"/>
        <v>-0.10499075381063359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--7.99</f>
        <v>7.99</v>
      </c>
      <c r="E20" s="2"/>
      <c r="F20" s="19"/>
      <c r="G20" s="2"/>
      <c r="H20" s="2">
        <f>--99.97</f>
        <v>99.97</v>
      </c>
      <c r="I20" s="2"/>
      <c r="J20" s="19"/>
      <c r="K20" s="2"/>
      <c r="L20" s="2">
        <f t="shared" si="0"/>
        <v>-91.98</v>
      </c>
      <c r="M20" s="2"/>
      <c r="N20" s="19">
        <f t="shared" si="1"/>
        <v>-0.92007602280684209</v>
      </c>
      <c r="O20" s="11"/>
      <c r="P20" s="2">
        <f>--1462.51</f>
        <v>1462.51</v>
      </c>
      <c r="Q20" s="2"/>
      <c r="R20" s="19"/>
      <c r="S20" s="2"/>
      <c r="T20" s="2">
        <f>--936.89</f>
        <v>936.89</v>
      </c>
      <c r="U20" s="2"/>
      <c r="V20" s="19"/>
      <c r="W20" s="2"/>
      <c r="X20" s="2">
        <f t="shared" si="2"/>
        <v>525.62</v>
      </c>
      <c r="Y20" s="2"/>
      <c r="Z20" s="19">
        <f t="shared" si="3"/>
        <v>0.56102637449433768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--10758</f>
        <v>10758</v>
      </c>
      <c r="E21" s="2"/>
      <c r="F21" s="19"/>
      <c r="G21" s="2"/>
      <c r="H21" s="2">
        <f>--56350</f>
        <v>56350</v>
      </c>
      <c r="I21" s="2"/>
      <c r="J21" s="19"/>
      <c r="K21" s="2"/>
      <c r="L21" s="2">
        <f t="shared" si="0"/>
        <v>-45592</v>
      </c>
      <c r="M21" s="2"/>
      <c r="N21" s="19">
        <f t="shared" si="1"/>
        <v>-0.8090860692102928</v>
      </c>
      <c r="O21" s="11"/>
      <c r="P21" s="2">
        <f>--56560</f>
        <v>56560</v>
      </c>
      <c r="Q21" s="2"/>
      <c r="R21" s="19"/>
      <c r="S21" s="2"/>
      <c r="T21" s="2">
        <f>--119563.88</f>
        <v>119563.88</v>
      </c>
      <c r="U21" s="2"/>
      <c r="V21" s="19"/>
      <c r="W21" s="2"/>
      <c r="X21" s="2">
        <f t="shared" si="2"/>
        <v>-63003.880000000005</v>
      </c>
      <c r="Y21" s="2"/>
      <c r="Z21" s="19">
        <f t="shared" si="3"/>
        <v>-0.52694743596477467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--1033.81</f>
        <v>1033.81</v>
      </c>
      <c r="E22" s="2"/>
      <c r="F22" s="19"/>
      <c r="G22" s="2"/>
      <c r="H22" s="2">
        <f>--2512.37</f>
        <v>2512.37</v>
      </c>
      <c r="I22" s="2"/>
      <c r="J22" s="19"/>
      <c r="K22" s="2"/>
      <c r="L22" s="2">
        <f t="shared" si="0"/>
        <v>-1478.56</v>
      </c>
      <c r="M22" s="2"/>
      <c r="N22" s="19">
        <f t="shared" si="1"/>
        <v>-0.58851204241413491</v>
      </c>
      <c r="O22" s="11"/>
      <c r="P22" s="2">
        <f>--3054.92</f>
        <v>3054.92</v>
      </c>
      <c r="Q22" s="2"/>
      <c r="R22" s="19"/>
      <c r="S22" s="2"/>
      <c r="T22" s="2">
        <f>--4142.82</f>
        <v>4142.82</v>
      </c>
      <c r="U22" s="2"/>
      <c r="V22" s="19"/>
      <c r="W22" s="2"/>
      <c r="X22" s="2">
        <f t="shared" si="2"/>
        <v>-1087.8999999999996</v>
      </c>
      <c r="Y22" s="2"/>
      <c r="Z22" s="19">
        <f t="shared" si="3"/>
        <v>-0.2625989060591577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--1522</f>
        <v>1522</v>
      </c>
      <c r="Q23" s="2"/>
      <c r="R23" s="19"/>
      <c r="S23" s="2"/>
      <c r="T23" s="2">
        <f>--99</f>
        <v>99</v>
      </c>
      <c r="U23" s="2"/>
      <c r="V23" s="19"/>
      <c r="W23" s="2"/>
      <c r="X23" s="2">
        <f t="shared" si="2"/>
        <v>1423</v>
      </c>
      <c r="Y23" s="2"/>
      <c r="Z23" s="19">
        <f t="shared" si="3"/>
        <v>14.373737373737374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--1389.95</f>
        <v>1389.95</v>
      </c>
      <c r="E24" s="2"/>
      <c r="F24" s="19"/>
      <c r="G24" s="2"/>
      <c r="H24" s="2">
        <f>--177</f>
        <v>177</v>
      </c>
      <c r="I24" s="2"/>
      <c r="J24" s="19"/>
      <c r="K24" s="2"/>
      <c r="L24" s="2">
        <f t="shared" si="0"/>
        <v>1212.95</v>
      </c>
      <c r="M24" s="2"/>
      <c r="N24" s="19">
        <f t="shared" si="1"/>
        <v>6.8528248587570628</v>
      </c>
      <c r="O24" s="11"/>
      <c r="P24" s="2">
        <f>--8467.89</f>
        <v>8467.89</v>
      </c>
      <c r="Q24" s="2"/>
      <c r="R24" s="19"/>
      <c r="S24" s="2"/>
      <c r="T24" s="2">
        <f>--2393.91</f>
        <v>2393.91</v>
      </c>
      <c r="U24" s="2"/>
      <c r="V24" s="19"/>
      <c r="W24" s="2"/>
      <c r="X24" s="2">
        <f t="shared" si="2"/>
        <v>6073.98</v>
      </c>
      <c r="Y24" s="2"/>
      <c r="Z24" s="19">
        <f t="shared" si="3"/>
        <v>2.5372633056380565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--792.62</f>
        <v>792.62</v>
      </c>
      <c r="E25" s="2"/>
      <c r="F25" s="19"/>
      <c r="G25" s="2"/>
      <c r="H25" s="2">
        <f>--614.84</f>
        <v>614.84</v>
      </c>
      <c r="I25" s="2"/>
      <c r="J25" s="19"/>
      <c r="K25" s="2"/>
      <c r="L25" s="2">
        <f t="shared" si="0"/>
        <v>177.77999999999997</v>
      </c>
      <c r="M25" s="2"/>
      <c r="N25" s="19">
        <f t="shared" si="1"/>
        <v>0.28914839633075268</v>
      </c>
      <c r="O25" s="11"/>
      <c r="P25" s="2">
        <f>--1553.38</f>
        <v>1553.38</v>
      </c>
      <c r="Q25" s="2"/>
      <c r="R25" s="19"/>
      <c r="S25" s="2"/>
      <c r="T25" s="2">
        <f>--2424.16</f>
        <v>2424.16</v>
      </c>
      <c r="U25" s="2"/>
      <c r="V25" s="19"/>
      <c r="W25" s="2"/>
      <c r="X25" s="2">
        <f t="shared" si="2"/>
        <v>-870.77999999999975</v>
      </c>
      <c r="Y25" s="2"/>
      <c r="Z25" s="19">
        <f t="shared" si="3"/>
        <v>-0.35920896310474548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-1281.68</f>
        <v>-1281.68</v>
      </c>
      <c r="E27" s="2"/>
      <c r="F27" s="19"/>
      <c r="G27" s="2"/>
      <c r="H27" s="2">
        <f>-1409.89</f>
        <v>-1409.89</v>
      </c>
      <c r="I27" s="2"/>
      <c r="J27" s="19"/>
      <c r="K27" s="2"/>
      <c r="L27" s="2">
        <f t="shared" si="0"/>
        <v>128.21000000000004</v>
      </c>
      <c r="M27" s="2"/>
      <c r="N27" s="19">
        <f t="shared" si="1"/>
        <v>-9.0936172325500594E-2</v>
      </c>
      <c r="O27" s="11"/>
      <c r="P27" s="2">
        <f>-4556.15</f>
        <v>-4556.1499999999996</v>
      </c>
      <c r="Q27" s="2"/>
      <c r="R27" s="19"/>
      <c r="S27" s="2"/>
      <c r="T27" s="2">
        <f>-3866.17</f>
        <v>-3866.17</v>
      </c>
      <c r="U27" s="2"/>
      <c r="V27" s="19"/>
      <c r="W27" s="2"/>
      <c r="X27" s="2">
        <f t="shared" si="2"/>
        <v>-689.97999999999956</v>
      </c>
      <c r="Y27" s="2"/>
      <c r="Z27" s="19">
        <f t="shared" si="3"/>
        <v>0.17846602710175691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-22491.01</f>
        <v>-22491.01</v>
      </c>
      <c r="E28" s="2"/>
      <c r="F28" s="19"/>
      <c r="G28" s="2"/>
      <c r="H28" s="2">
        <f>-2483.83</f>
        <v>-2483.83</v>
      </c>
      <c r="I28" s="2"/>
      <c r="J28" s="19"/>
      <c r="K28" s="2"/>
      <c r="L28" s="2">
        <f t="shared" si="0"/>
        <v>-20007.18</v>
      </c>
      <c r="M28" s="2"/>
      <c r="N28" s="19">
        <f t="shared" si="1"/>
        <v>8.0549715560243662</v>
      </c>
      <c r="O28" s="11"/>
      <c r="P28" s="2">
        <f>-170137.86</f>
        <v>-170137.86</v>
      </c>
      <c r="Q28" s="2"/>
      <c r="R28" s="19"/>
      <c r="S28" s="2"/>
      <c r="T28" s="2">
        <f>-32775.27</f>
        <v>-32775.269999999997</v>
      </c>
      <c r="U28" s="2"/>
      <c r="V28" s="19"/>
      <c r="W28" s="2"/>
      <c r="X28" s="2">
        <f t="shared" si="2"/>
        <v>-137362.59</v>
      </c>
      <c r="Y28" s="2"/>
      <c r="Z28" s="19">
        <f t="shared" si="3"/>
        <v>4.1910437351088188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-1247.85</f>
        <v>-1247.8499999999999</v>
      </c>
      <c r="E29" s="2"/>
      <c r="F29" s="19"/>
      <c r="G29" s="2"/>
      <c r="H29" s="2">
        <f>-616.78</f>
        <v>-616.78</v>
      </c>
      <c r="I29" s="2"/>
      <c r="J29" s="19"/>
      <c r="K29" s="2"/>
      <c r="L29" s="2">
        <f t="shared" si="0"/>
        <v>-631.06999999999994</v>
      </c>
      <c r="M29" s="2"/>
      <c r="N29" s="19">
        <f t="shared" si="1"/>
        <v>1.023168714938876</v>
      </c>
      <c r="O29" s="11"/>
      <c r="P29" s="2">
        <f>-2532.33</f>
        <v>-2532.33</v>
      </c>
      <c r="Q29" s="2"/>
      <c r="R29" s="19"/>
      <c r="S29" s="2"/>
      <c r="T29" s="2">
        <f>-3204.82</f>
        <v>-3204.82</v>
      </c>
      <c r="U29" s="2"/>
      <c r="V29" s="19"/>
      <c r="W29" s="2"/>
      <c r="X29" s="2">
        <f t="shared" si="2"/>
        <v>672.49000000000024</v>
      </c>
      <c r="Y29" s="2"/>
      <c r="Z29" s="19">
        <f t="shared" si="3"/>
        <v>-0.20983705793149077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>0</f>
        <v>0</v>
      </c>
      <c r="E30" s="2"/>
      <c r="F30" s="19"/>
      <c r="G30" s="2"/>
      <c r="H30" s="2">
        <f t="shared" ref="H30:H31" si="4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 t="shared" ref="T30:T31" si="5"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>-248.99</f>
        <v>-248.99</v>
      </c>
      <c r="E31" s="2"/>
      <c r="F31" s="19"/>
      <c r="G31" s="2"/>
      <c r="H31" s="2">
        <f t="shared" si="4"/>
        <v>0</v>
      </c>
      <c r="I31" s="2"/>
      <c r="J31" s="19"/>
      <c r="K31" s="2"/>
      <c r="L31" s="2">
        <f t="shared" si="0"/>
        <v>-248.99</v>
      </c>
      <c r="M31" s="2"/>
      <c r="N31" s="19">
        <f t="shared" si="1"/>
        <v>0</v>
      </c>
      <c r="O31" s="11"/>
      <c r="P31" s="2">
        <f>-655.98</f>
        <v>-655.98</v>
      </c>
      <c r="Q31" s="2"/>
      <c r="R31" s="19"/>
      <c r="S31" s="2"/>
      <c r="T31" s="2">
        <f t="shared" si="5"/>
        <v>0</v>
      </c>
      <c r="U31" s="2"/>
      <c r="V31" s="19"/>
      <c r="W31" s="2"/>
      <c r="X31" s="2">
        <f t="shared" si="2"/>
        <v>-655.98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-307.86</f>
        <v>-307.86</v>
      </c>
      <c r="E32" s="2"/>
      <c r="F32" s="19"/>
      <c r="G32" s="2"/>
      <c r="H32" s="2">
        <f>-413.58</f>
        <v>-413.58</v>
      </c>
      <c r="I32" s="2"/>
      <c r="J32" s="19"/>
      <c r="K32" s="2"/>
      <c r="L32" s="2">
        <f t="shared" si="0"/>
        <v>105.71999999999997</v>
      </c>
      <c r="M32" s="2"/>
      <c r="N32" s="19">
        <f t="shared" si="1"/>
        <v>-0.25562164514725078</v>
      </c>
      <c r="O32" s="11"/>
      <c r="P32" s="2">
        <f>-2451.6</f>
        <v>-2451.6</v>
      </c>
      <c r="Q32" s="2"/>
      <c r="R32" s="19"/>
      <c r="S32" s="2"/>
      <c r="T32" s="2">
        <f>-2182.56</f>
        <v>-2182.56</v>
      </c>
      <c r="U32" s="2"/>
      <c r="V32" s="19"/>
      <c r="W32" s="2"/>
      <c r="X32" s="2">
        <f t="shared" si="2"/>
        <v>-269.03999999999996</v>
      </c>
      <c r="Y32" s="2"/>
      <c r="Z32" s="19">
        <f t="shared" si="3"/>
        <v>0.12326808884979105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>-3.99</f>
        <v>-3.99</v>
      </c>
      <c r="E33" s="2"/>
      <c r="F33" s="19"/>
      <c r="G33" s="2"/>
      <c r="H33" s="2">
        <f t="shared" ref="H33:H34" si="6">0</f>
        <v>0</v>
      </c>
      <c r="I33" s="2"/>
      <c r="J33" s="19"/>
      <c r="K33" s="2"/>
      <c r="L33" s="2">
        <f t="shared" si="0"/>
        <v>-3.99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 t="shared" ref="T33:T34" si="7">0</f>
        <v>0</v>
      </c>
      <c r="U33" s="2"/>
      <c r="V33" s="19"/>
      <c r="W33" s="2"/>
      <c r="X33" s="2">
        <f t="shared" si="2"/>
        <v>-3.99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>0</f>
        <v>0</v>
      </c>
      <c r="E34" s="2"/>
      <c r="F34" s="19"/>
      <c r="G34" s="2"/>
      <c r="H34" s="2">
        <f t="shared" si="6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-1279.84</f>
        <v>-1279.8399999999999</v>
      </c>
      <c r="Q34" s="2"/>
      <c r="R34" s="19"/>
      <c r="S34" s="2"/>
      <c r="T34" s="2">
        <f t="shared" si="7"/>
        <v>0</v>
      </c>
      <c r="U34" s="2"/>
      <c r="V34" s="19"/>
      <c r="W34" s="2"/>
      <c r="X34" s="2">
        <f t="shared" si="2"/>
        <v>-1279.8399999999999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>-24.99</f>
        <v>-24.99</v>
      </c>
      <c r="E35" s="2"/>
      <c r="F35" s="19"/>
      <c r="G35" s="2"/>
      <c r="H35" s="2">
        <f>-13.99</f>
        <v>-13.99</v>
      </c>
      <c r="I35" s="2"/>
      <c r="J35" s="19"/>
      <c r="K35" s="2"/>
      <c r="L35" s="2">
        <f t="shared" si="0"/>
        <v>-10.999999999999998</v>
      </c>
      <c r="M35" s="2"/>
      <c r="N35" s="19">
        <f t="shared" si="1"/>
        <v>0.78627591136526076</v>
      </c>
      <c r="O35" s="11"/>
      <c r="P35" s="2">
        <f>-49.98</f>
        <v>-49.98</v>
      </c>
      <c r="Q35" s="2"/>
      <c r="R35" s="19"/>
      <c r="S35" s="2"/>
      <c r="T35" s="2">
        <f>-13.99</f>
        <v>-13.99</v>
      </c>
      <c r="U35" s="2"/>
      <c r="V35" s="19"/>
      <c r="W35" s="2"/>
      <c r="X35" s="2">
        <f t="shared" si="2"/>
        <v>-35.989999999999995</v>
      </c>
      <c r="Y35" s="2"/>
      <c r="Z35" s="19">
        <f t="shared" si="3"/>
        <v>2.5725518227305213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>-34.98</f>
        <v>-34.979999999999997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-34.979999999999997</v>
      </c>
      <c r="M36" s="2"/>
      <c r="N36" s="19">
        <f t="shared" si="1"/>
        <v>0</v>
      </c>
      <c r="O36" s="11"/>
      <c r="P36" s="2">
        <f>-54.97</f>
        <v>-54.97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-54.97</v>
      </c>
      <c r="Y36" s="2"/>
      <c r="Z36" s="19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9" t="s">
        <v>8</v>
      </c>
      <c r="C38" s="10"/>
      <c r="D38" s="4">
        <f>SUM(OSRRefD16x_0)</f>
        <v>123920.84999999999</v>
      </c>
      <c r="E38" s="4"/>
      <c r="F38" s="12">
        <f t="shared" ref="F38:F51" si="8">IF(D$12=0,0,D38/D$12)</f>
        <v>0.84745694904460667</v>
      </c>
      <c r="G38" s="4"/>
      <c r="H38" s="4">
        <f>SUM(OSRRefH16x_0)</f>
        <v>150998.58000000002</v>
      </c>
      <c r="I38" s="4"/>
      <c r="J38" s="12">
        <f t="shared" ref="J38:J51" si="9">IF(H$12=0,0,H38/H$12)</f>
        <v>0.81805876837764635</v>
      </c>
      <c r="K38" s="4"/>
      <c r="L38" s="4">
        <f t="shared" ref="L38:L51" si="10">+D38-H38</f>
        <v>-27077.730000000025</v>
      </c>
      <c r="M38" s="4"/>
      <c r="N38" s="12">
        <f t="shared" ref="N38:N51" si="11">IF(H38=0,0,L38/H38)</f>
        <v>-0.17932440159371049</v>
      </c>
      <c r="O38" s="10"/>
      <c r="P38" s="4">
        <f>SUM(OSRRefP16x_0)</f>
        <v>1200081</v>
      </c>
      <c r="Q38" s="4"/>
      <c r="R38" s="12">
        <f t="shared" ref="R38:R51" si="12">IF(P$12=0,0,P38/P$12)</f>
        <v>0.89665025110489771</v>
      </c>
      <c r="S38" s="4"/>
      <c r="T38" s="4">
        <f>SUM(OSRRefT16x_0)</f>
        <v>1012053.3500000001</v>
      </c>
      <c r="U38" s="4"/>
      <c r="V38" s="12">
        <f t="shared" ref="V38:V51" si="13">IF(T$12=0,0,T38/T$12)</f>
        <v>0.85558238925526353</v>
      </c>
      <c r="W38" s="4"/>
      <c r="X38" s="4">
        <f t="shared" ref="X38:X51" si="14">+P38-T38</f>
        <v>188027.64999999991</v>
      </c>
      <c r="Y38" s="4"/>
      <c r="Z38" s="12">
        <f t="shared" ref="Z38:Z51" si="15">IF(T38=0,0,X38/T38)</f>
        <v>0.18578827884913368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18487.53</v>
      </c>
      <c r="E39" s="2"/>
      <c r="F39" s="19">
        <f t="shared" si="8"/>
        <v>0.12643058669441531</v>
      </c>
      <c r="G39" s="2"/>
      <c r="H39" s="2">
        <v>12957.53</v>
      </c>
      <c r="I39" s="2"/>
      <c r="J39" s="19">
        <f t="shared" si="9"/>
        <v>7.0199474942190865E-2</v>
      </c>
      <c r="K39" s="2"/>
      <c r="L39" s="2">
        <f t="shared" si="10"/>
        <v>5529.9999999999982</v>
      </c>
      <c r="M39" s="2"/>
      <c r="N39" s="19">
        <f t="shared" si="11"/>
        <v>0.42677886912088941</v>
      </c>
      <c r="O39" s="11"/>
      <c r="P39" s="2">
        <v>168173.62</v>
      </c>
      <c r="Q39" s="2"/>
      <c r="R39" s="19">
        <f t="shared" si="12"/>
        <v>0.12565228397268155</v>
      </c>
      <c r="S39" s="2"/>
      <c r="T39" s="2">
        <v>144599.59</v>
      </c>
      <c r="U39" s="2"/>
      <c r="V39" s="19">
        <f t="shared" si="13"/>
        <v>0.12224341997141899</v>
      </c>
      <c r="W39" s="2"/>
      <c r="X39" s="2">
        <f t="shared" si="14"/>
        <v>23574.03</v>
      </c>
      <c r="Y39" s="2"/>
      <c r="Z39" s="19">
        <f t="shared" si="15"/>
        <v>0.16302971536779598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94594.73</v>
      </c>
      <c r="E40" s="2"/>
      <c r="F40" s="19">
        <f t="shared" si="8"/>
        <v>0.64690454658355179</v>
      </c>
      <c r="G40" s="2"/>
      <c r="H40" s="2">
        <v>54396.52</v>
      </c>
      <c r="I40" s="2"/>
      <c r="J40" s="19">
        <f t="shared" si="9"/>
        <v>0.29470177901825301</v>
      </c>
      <c r="K40" s="2"/>
      <c r="L40" s="2">
        <f t="shared" si="10"/>
        <v>40198.21</v>
      </c>
      <c r="M40" s="2"/>
      <c r="N40" s="19">
        <f t="shared" si="11"/>
        <v>0.73898495712593382</v>
      </c>
      <c r="O40" s="11"/>
      <c r="P40" s="2">
        <v>895637.7</v>
      </c>
      <c r="Q40" s="2"/>
      <c r="R40" s="19">
        <f t="shared" si="12"/>
        <v>0.66918297065282506</v>
      </c>
      <c r="S40" s="2"/>
      <c r="T40" s="2">
        <v>634809.41</v>
      </c>
      <c r="U40" s="2"/>
      <c r="V40" s="19">
        <f t="shared" si="13"/>
        <v>0.53666316279623416</v>
      </c>
      <c r="W40" s="2"/>
      <c r="X40" s="2">
        <f t="shared" si="14"/>
        <v>260828.28999999992</v>
      </c>
      <c r="Y40" s="2"/>
      <c r="Z40" s="19">
        <f t="shared" si="15"/>
        <v>0.41087653379303229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14096.28</v>
      </c>
      <c r="E41" s="2"/>
      <c r="F41" s="19">
        <f t="shared" si="8"/>
        <v>9.6400165441719532E-2</v>
      </c>
      <c r="G41" s="2"/>
      <c r="H41" s="2">
        <v>13280.61</v>
      </c>
      <c r="I41" s="2"/>
      <c r="J41" s="19">
        <f t="shared" si="9"/>
        <v>7.1949812110179132E-2</v>
      </c>
      <c r="K41" s="2"/>
      <c r="L41" s="2">
        <f t="shared" si="10"/>
        <v>815.67000000000007</v>
      </c>
      <c r="M41" s="2"/>
      <c r="N41" s="19">
        <f t="shared" si="11"/>
        <v>6.1418112571636395E-2</v>
      </c>
      <c r="O41" s="11"/>
      <c r="P41" s="2">
        <v>41808.689999999995</v>
      </c>
      <c r="Q41" s="2"/>
      <c r="R41" s="19">
        <f t="shared" si="12"/>
        <v>3.1237701777519035E-2</v>
      </c>
      <c r="S41" s="2"/>
      <c r="T41" s="2">
        <v>44054.52</v>
      </c>
      <c r="U41" s="2"/>
      <c r="V41" s="19">
        <f t="shared" si="13"/>
        <v>3.7243364175508914E-2</v>
      </c>
      <c r="W41" s="2"/>
      <c r="X41" s="2">
        <f t="shared" si="14"/>
        <v>-2245.8300000000017</v>
      </c>
      <c r="Y41" s="2"/>
      <c r="Z41" s="19">
        <f t="shared" si="15"/>
        <v>-5.0978424007343669E-2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>
        <v>1206</v>
      </c>
      <c r="E42" s="2"/>
      <c r="F42" s="19">
        <f t="shared" si="8"/>
        <v>8.2474666736694884E-3</v>
      </c>
      <c r="G42" s="2"/>
      <c r="H42" s="2">
        <v>129</v>
      </c>
      <c r="I42" s="2"/>
      <c r="J42" s="19">
        <f t="shared" si="9"/>
        <v>6.9887797038035971E-4</v>
      </c>
      <c r="K42" s="2"/>
      <c r="L42" s="2">
        <f t="shared" si="10"/>
        <v>1077</v>
      </c>
      <c r="M42" s="2"/>
      <c r="N42" s="19">
        <f t="shared" si="11"/>
        <v>8.3488372093023262</v>
      </c>
      <c r="O42" s="11"/>
      <c r="P42" s="2">
        <v>2728</v>
      </c>
      <c r="Q42" s="2"/>
      <c r="R42" s="19">
        <f t="shared" si="12"/>
        <v>2.0382473224841999E-3</v>
      </c>
      <c r="S42" s="2"/>
      <c r="T42" s="2">
        <v>228</v>
      </c>
      <c r="U42" s="2"/>
      <c r="V42" s="19">
        <f t="shared" si="13"/>
        <v>1.9274950747428491E-4</v>
      </c>
      <c r="W42" s="2"/>
      <c r="X42" s="2">
        <f t="shared" si="14"/>
        <v>2500</v>
      </c>
      <c r="Y42" s="2"/>
      <c r="Z42" s="19">
        <f t="shared" si="15"/>
        <v>10.964912280701755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506.04</v>
      </c>
      <c r="E43" s="2"/>
      <c r="F43" s="19">
        <f t="shared" si="8"/>
        <v>3.4606534291407201E-3</v>
      </c>
      <c r="G43" s="2"/>
      <c r="H43" s="2">
        <v>1943.84</v>
      </c>
      <c r="I43" s="2"/>
      <c r="J43" s="19">
        <f t="shared" si="9"/>
        <v>1.0531061658481847E-2</v>
      </c>
      <c r="K43" s="2"/>
      <c r="L43" s="2">
        <f t="shared" si="10"/>
        <v>-1437.8</v>
      </c>
      <c r="M43" s="2"/>
      <c r="N43" s="19">
        <f t="shared" si="11"/>
        <v>-0.73966993168161987</v>
      </c>
      <c r="O43" s="11"/>
      <c r="P43" s="2">
        <v>6932.04</v>
      </c>
      <c r="Q43" s="2"/>
      <c r="R43" s="19">
        <f t="shared" si="12"/>
        <v>5.1793299007893588E-3</v>
      </c>
      <c r="S43" s="2"/>
      <c r="T43" s="2">
        <v>6563.47</v>
      </c>
      <c r="U43" s="2"/>
      <c r="V43" s="19">
        <f t="shared" si="13"/>
        <v>5.5487088150098455E-3</v>
      </c>
      <c r="W43" s="2"/>
      <c r="X43" s="2">
        <f t="shared" si="14"/>
        <v>368.56999999999971</v>
      </c>
      <c r="Y43" s="2"/>
      <c r="Z43" s="19">
        <f t="shared" si="15"/>
        <v>5.6154747412572877E-2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5888.35</v>
      </c>
      <c r="E44" s="2"/>
      <c r="F44" s="19">
        <f t="shared" si="8"/>
        <v>4.0268632162439255E-2</v>
      </c>
      <c r="G44" s="2"/>
      <c r="H44" s="2">
        <v>3307.22</v>
      </c>
      <c r="I44" s="2"/>
      <c r="J44" s="19">
        <f t="shared" si="9"/>
        <v>1.7917389156599479E-2</v>
      </c>
      <c r="K44" s="2"/>
      <c r="L44" s="2">
        <f t="shared" si="10"/>
        <v>2581.1300000000006</v>
      </c>
      <c r="M44" s="2"/>
      <c r="N44" s="19">
        <f t="shared" si="11"/>
        <v>0.78045306934525094</v>
      </c>
      <c r="O44" s="11"/>
      <c r="P44" s="2">
        <v>18368.099999999999</v>
      </c>
      <c r="Q44" s="2"/>
      <c r="R44" s="19">
        <f t="shared" si="12"/>
        <v>1.3723874869546198E-2</v>
      </c>
      <c r="S44" s="2"/>
      <c r="T44" s="2">
        <v>17222.939999999999</v>
      </c>
      <c r="U44" s="2"/>
      <c r="V44" s="19">
        <f t="shared" si="13"/>
        <v>1.4560145623943685E-2</v>
      </c>
      <c r="W44" s="2"/>
      <c r="X44" s="2">
        <f t="shared" si="14"/>
        <v>1145.1599999999999</v>
      </c>
      <c r="Y44" s="2"/>
      <c r="Z44" s="19">
        <f t="shared" si="15"/>
        <v>6.6490390142449549E-2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8"/>
        <v>0</v>
      </c>
      <c r="G45" s="2"/>
      <c r="H45" s="2"/>
      <c r="I45" s="2"/>
      <c r="J45" s="19">
        <f t="shared" si="9"/>
        <v>0</v>
      </c>
      <c r="K45" s="2"/>
      <c r="L45" s="2">
        <f t="shared" si="10"/>
        <v>0</v>
      </c>
      <c r="M45" s="2"/>
      <c r="N45" s="19">
        <f t="shared" si="11"/>
        <v>0</v>
      </c>
      <c r="O45" s="11"/>
      <c r="P45" s="2">
        <v>88.75</v>
      </c>
      <c r="Q45" s="2"/>
      <c r="R45" s="19">
        <f t="shared" si="12"/>
        <v>6.6310282210583848E-5</v>
      </c>
      <c r="S45" s="2"/>
      <c r="T45" s="2">
        <v>0</v>
      </c>
      <c r="U45" s="2"/>
      <c r="V45" s="19">
        <f t="shared" si="13"/>
        <v>0</v>
      </c>
      <c r="W45" s="2"/>
      <c r="X45" s="2">
        <f t="shared" si="14"/>
        <v>88.75</v>
      </c>
      <c r="Y45" s="2"/>
      <c r="Z45" s="19">
        <f t="shared" si="15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-134851</v>
      </c>
      <c r="E46" s="2"/>
      <c r="F46" s="19">
        <f t="shared" si="8"/>
        <v>-0.92220491576368513</v>
      </c>
      <c r="G46" s="2"/>
      <c r="H46" s="2">
        <v>-86057</v>
      </c>
      <c r="I46" s="2"/>
      <c r="J46" s="19">
        <f t="shared" si="9"/>
        <v>-0.46622745346529154</v>
      </c>
      <c r="K46" s="2"/>
      <c r="L46" s="2">
        <f t="shared" si="10"/>
        <v>-48794</v>
      </c>
      <c r="M46" s="2"/>
      <c r="N46" s="19">
        <f t="shared" si="11"/>
        <v>0.56699629315453715</v>
      </c>
      <c r="O46" s="11"/>
      <c r="P46" s="2">
        <v>-1134049</v>
      </c>
      <c r="Q46" s="2"/>
      <c r="R46" s="19">
        <f t="shared" si="12"/>
        <v>-0.84731390682400454</v>
      </c>
      <c r="S46" s="2"/>
      <c r="T46" s="2">
        <v>-847634</v>
      </c>
      <c r="U46" s="2"/>
      <c r="V46" s="19">
        <f t="shared" si="13"/>
        <v>-0.71658349130902632</v>
      </c>
      <c r="W46" s="2"/>
      <c r="X46" s="2">
        <f t="shared" si="14"/>
        <v>-286415</v>
      </c>
      <c r="Y46" s="2"/>
      <c r="Z46" s="19">
        <f t="shared" si="15"/>
        <v>0.33789937638178741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123920</v>
      </c>
      <c r="E47" s="2"/>
      <c r="F47" s="19">
        <f t="shared" si="8"/>
        <v>0.84745113615350176</v>
      </c>
      <c r="G47" s="2"/>
      <c r="H47" s="2">
        <v>150999</v>
      </c>
      <c r="I47" s="2"/>
      <c r="J47" s="19">
        <f t="shared" si="9"/>
        <v>0.81806104379429401</v>
      </c>
      <c r="K47" s="2"/>
      <c r="L47" s="2">
        <f t="shared" si="10"/>
        <v>-27079</v>
      </c>
      <c r="M47" s="2"/>
      <c r="N47" s="19">
        <f t="shared" si="11"/>
        <v>-0.17933231345902953</v>
      </c>
      <c r="O47" s="11"/>
      <c r="P47" s="2">
        <v>1200079</v>
      </c>
      <c r="Q47" s="2"/>
      <c r="R47" s="19">
        <f t="shared" si="12"/>
        <v>0.89664875678867884</v>
      </c>
      <c r="S47" s="2"/>
      <c r="T47" s="2">
        <v>1012055.0000000001</v>
      </c>
      <c r="U47" s="2"/>
      <c r="V47" s="19">
        <f t="shared" si="13"/>
        <v>0.85558378415301506</v>
      </c>
      <c r="W47" s="2"/>
      <c r="X47" s="2">
        <f t="shared" si="14"/>
        <v>188023.99999999988</v>
      </c>
      <c r="Y47" s="2"/>
      <c r="Z47" s="19">
        <f t="shared" si="15"/>
        <v>0.18578436942656265</v>
      </c>
    </row>
    <row r="48" spans="1:26" s="24" customFormat="1" hidden="1" outlineLevel="1" x14ac:dyDescent="0.25">
      <c r="A48" s="44"/>
      <c r="B48" s="11" t="str">
        <f>CONCATENATE("          ", "5581", " - ", "FREIGHT-IN-ELECTRONICS")</f>
        <v xml:space="preserve">          5581 - FREIGHT-IN-ELECTRONICS</v>
      </c>
      <c r="C48" s="11"/>
      <c r="D48" s="2">
        <v>12.8</v>
      </c>
      <c r="E48" s="2"/>
      <c r="F48" s="19">
        <f t="shared" si="8"/>
        <v>8.7535301345745823E-5</v>
      </c>
      <c r="G48" s="2"/>
      <c r="H48" s="2"/>
      <c r="I48" s="2"/>
      <c r="J48" s="19">
        <f t="shared" si="9"/>
        <v>0</v>
      </c>
      <c r="K48" s="2"/>
      <c r="L48" s="2">
        <f t="shared" si="10"/>
        <v>12.8</v>
      </c>
      <c r="M48" s="2"/>
      <c r="N48" s="19">
        <f t="shared" si="11"/>
        <v>0</v>
      </c>
      <c r="O48" s="11"/>
      <c r="P48" s="2">
        <v>105.75</v>
      </c>
      <c r="Q48" s="2"/>
      <c r="R48" s="19">
        <f t="shared" si="12"/>
        <v>7.9011970070639342E-5</v>
      </c>
      <c r="S48" s="2"/>
      <c r="T48" s="2"/>
      <c r="U48" s="2"/>
      <c r="V48" s="19">
        <f t="shared" si="13"/>
        <v>0</v>
      </c>
      <c r="W48" s="2"/>
      <c r="X48" s="2">
        <f t="shared" si="14"/>
        <v>105.75</v>
      </c>
      <c r="Y48" s="2"/>
      <c r="Z48" s="19">
        <f t="shared" si="15"/>
        <v>0</v>
      </c>
    </row>
    <row r="49" spans="1:26" s="24" customFormat="1" hidden="1" outlineLevel="1" x14ac:dyDescent="0.25">
      <c r="A49" s="44"/>
      <c r="B49" s="11" t="str">
        <f>CONCATENATE("          ", "5582", " - ", "FREIGHT-IN-COMPUTER HARDWARE")</f>
        <v xml:space="preserve">          5582 - FREIGHT-IN-COMPUTER HARDWARE</v>
      </c>
      <c r="C49" s="11"/>
      <c r="D49" s="2"/>
      <c r="E49" s="2"/>
      <c r="F49" s="19">
        <f t="shared" si="8"/>
        <v>0</v>
      </c>
      <c r="G49" s="2"/>
      <c r="H49" s="2"/>
      <c r="I49" s="2"/>
      <c r="J49" s="19">
        <f t="shared" si="9"/>
        <v>0</v>
      </c>
      <c r="K49" s="2"/>
      <c r="L49" s="2">
        <f t="shared" si="10"/>
        <v>0</v>
      </c>
      <c r="M49" s="2"/>
      <c r="N49" s="19">
        <f t="shared" si="11"/>
        <v>0</v>
      </c>
      <c r="O49" s="11"/>
      <c r="P49" s="2">
        <v>4.84</v>
      </c>
      <c r="Q49" s="2"/>
      <c r="R49" s="19">
        <f t="shared" si="12"/>
        <v>3.6162452495687415E-6</v>
      </c>
      <c r="S49" s="2"/>
      <c r="T49" s="2"/>
      <c r="U49" s="2"/>
      <c r="V49" s="19">
        <f t="shared" si="13"/>
        <v>0</v>
      </c>
      <c r="W49" s="2"/>
      <c r="X49" s="2">
        <f t="shared" si="14"/>
        <v>4.84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"5583", " - ", "FREIGHT-IN-COMPUTER EQUIPMENT")</f>
        <v xml:space="preserve">          5583 - FREIGHT-IN-COMPUTER EQUIPMENT</v>
      </c>
      <c r="C50" s="11"/>
      <c r="D50" s="2"/>
      <c r="E50" s="2"/>
      <c r="F50" s="19">
        <f t="shared" si="8"/>
        <v>0</v>
      </c>
      <c r="G50" s="2"/>
      <c r="H50" s="2">
        <v>14.63</v>
      </c>
      <c r="I50" s="2"/>
      <c r="J50" s="19">
        <f t="shared" si="9"/>
        <v>7.9260346563291963E-5</v>
      </c>
      <c r="K50" s="2"/>
      <c r="L50" s="2">
        <f t="shared" si="10"/>
        <v>-14.63</v>
      </c>
      <c r="M50" s="2"/>
      <c r="N50" s="19">
        <f t="shared" si="11"/>
        <v>-1</v>
      </c>
      <c r="O50" s="11"/>
      <c r="P50" s="2">
        <v>41</v>
      </c>
      <c r="Q50" s="2"/>
      <c r="R50" s="19">
        <f t="shared" si="12"/>
        <v>3.0633482486016197E-5</v>
      </c>
      <c r="S50" s="2"/>
      <c r="T50" s="2">
        <v>22.9</v>
      </c>
      <c r="U50" s="2"/>
      <c r="V50" s="19">
        <f t="shared" si="13"/>
        <v>1.9359490005092649E-5</v>
      </c>
      <c r="W50" s="2"/>
      <c r="X50" s="2">
        <f t="shared" si="14"/>
        <v>18.100000000000001</v>
      </c>
      <c r="Y50" s="2"/>
      <c r="Z50" s="19">
        <f t="shared" si="15"/>
        <v>0.79039301310043675</v>
      </c>
    </row>
    <row r="51" spans="1:26" s="24" customFormat="1" hidden="1" outlineLevel="1" x14ac:dyDescent="0.25">
      <c r="A51" s="44"/>
      <c r="B51" s="11" t="str">
        <f>CONCATENATE("          ", "5586", " - ", "FREIGHT-IN-COMPUTER SUPPLIES")</f>
        <v xml:space="preserve">          5586 - FREIGHT-IN-COMPUTER SUPPLIES</v>
      </c>
      <c r="C51" s="11"/>
      <c r="D51" s="2">
        <v>60.12</v>
      </c>
      <c r="E51" s="2"/>
      <c r="F51" s="19">
        <f t="shared" si="8"/>
        <v>4.1114236850829986E-4</v>
      </c>
      <c r="G51" s="2"/>
      <c r="H51" s="2">
        <v>27.23</v>
      </c>
      <c r="I51" s="2"/>
      <c r="J51" s="19">
        <f t="shared" si="9"/>
        <v>1.4752284599579219E-4</v>
      </c>
      <c r="K51" s="2"/>
      <c r="L51" s="2">
        <f t="shared" si="10"/>
        <v>32.89</v>
      </c>
      <c r="M51" s="2"/>
      <c r="N51" s="19">
        <f t="shared" si="11"/>
        <v>1.2078589790672052</v>
      </c>
      <c r="O51" s="11"/>
      <c r="P51" s="2">
        <v>162.51</v>
      </c>
      <c r="Q51" s="2"/>
      <c r="R51" s="19">
        <f t="shared" si="12"/>
        <v>1.214206643610364E-4</v>
      </c>
      <c r="S51" s="2"/>
      <c r="T51" s="2">
        <v>131.52000000000001</v>
      </c>
      <c r="U51" s="2"/>
      <c r="V51" s="19">
        <f t="shared" si="13"/>
        <v>1.111860316799033E-4</v>
      </c>
      <c r="W51" s="2"/>
      <c r="X51" s="2">
        <f t="shared" si="14"/>
        <v>30.989999999999981</v>
      </c>
      <c r="Y51" s="2"/>
      <c r="Z51" s="19">
        <f t="shared" si="15"/>
        <v>0.23562956204379545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6</v>
      </c>
      <c r="C53" s="28"/>
      <c r="D53" s="21">
        <f>D12-D38</f>
        <v>22305.870000000039</v>
      </c>
      <c r="E53" s="14"/>
      <c r="F53" s="22">
        <f>IF(D$12=0,0,D53/D$12)</f>
        <v>0.15254305095539333</v>
      </c>
      <c r="G53" s="14"/>
      <c r="H53" s="21">
        <f>H12-H38</f>
        <v>33583</v>
      </c>
      <c r="I53" s="14"/>
      <c r="J53" s="22">
        <f>IF(H$12=0,0,H53/H$12)</f>
        <v>0.18194123162235362</v>
      </c>
      <c r="K53" s="16"/>
      <c r="L53" s="21">
        <f>+D53-H53</f>
        <v>-11277.129999999961</v>
      </c>
      <c r="M53" s="16"/>
      <c r="N53" s="22">
        <f>IF(H53=0,0,L53/H53)</f>
        <v>-0.3357987672334205</v>
      </c>
      <c r="O53" s="29"/>
      <c r="P53" s="21">
        <f>P12-P38</f>
        <v>138323.79999999958</v>
      </c>
      <c r="Q53" s="14"/>
      <c r="R53" s="22">
        <f>IF(P$12=0,0,P53/P$12)</f>
        <v>0.1033497488951023</v>
      </c>
      <c r="S53" s="14"/>
      <c r="T53" s="21">
        <f>T12-T38</f>
        <v>170829.04999999958</v>
      </c>
      <c r="U53" s="14"/>
      <c r="V53" s="22">
        <f>IF(T$12=0,0,T53/T$12)</f>
        <v>0.14441761074473644</v>
      </c>
      <c r="W53" s="16"/>
      <c r="X53" s="21">
        <f>+P53-T53</f>
        <v>-32505.25</v>
      </c>
      <c r="Y53" s="16"/>
      <c r="Z53" s="22">
        <f>IF(T53=0,0,X53/T53)</f>
        <v>-0.19027940505435159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9" t="s">
        <v>9</v>
      </c>
      <c r="C55" s="10"/>
      <c r="D55" s="20">
        <f>SUM(OSRRefD22x_0)</f>
        <v>17525.629999999997</v>
      </c>
      <c r="E55" s="20"/>
      <c r="F55" s="35">
        <f t="shared" ref="F55:F65" si="16">IF(D$12=0,0,D55/D$12)</f>
        <v>0.11985244557219087</v>
      </c>
      <c r="G55" s="20"/>
      <c r="H55" s="20">
        <f>SUM(OSRRefH22x_0)</f>
        <v>20344.150000000001</v>
      </c>
      <c r="I55" s="20"/>
      <c r="J55" s="35">
        <f t="shared" ref="J55:J65" si="17">IF(H$12=0,0,H55/H$12)</f>
        <v>0.11021766093886508</v>
      </c>
      <c r="K55" s="4"/>
      <c r="L55" s="20">
        <f t="shared" ref="L55:L65" si="18">+D55-H55</f>
        <v>-2818.5200000000041</v>
      </c>
      <c r="M55" s="4"/>
      <c r="N55" s="35">
        <f t="shared" ref="N55:N65" si="19">IF(H55=0,0,L55/H55)</f>
        <v>-0.1385420378831263</v>
      </c>
      <c r="O55" s="10"/>
      <c r="P55" s="20">
        <f>SUM(OSRRefP22x_0)</f>
        <v>119718.84999999999</v>
      </c>
      <c r="Q55" s="20"/>
      <c r="R55" s="35">
        <f t="shared" ref="R55:R65" si="20">IF(P$12=0,0,P55/P$12)</f>
        <v>8.9448909627341464E-2</v>
      </c>
      <c r="S55" s="20"/>
      <c r="T55" s="20">
        <f>SUM(OSRRefT22x_0)</f>
        <v>133855.45000000001</v>
      </c>
      <c r="U55" s="20"/>
      <c r="V55" s="35">
        <f t="shared" ref="V55:V65" si="21">IF(T$12=0,0,T55/T$12)</f>
        <v>0.11316040377302093</v>
      </c>
      <c r="W55" s="4"/>
      <c r="X55" s="20">
        <f t="shared" ref="X55:X65" si="22">+P55-T55</f>
        <v>-14136.60000000002</v>
      </c>
      <c r="Y55" s="4"/>
      <c r="Z55" s="35">
        <f t="shared" ref="Z55:Z65" si="23">IF(T55=0,0,X55/T55)</f>
        <v>-0.10561094075736191</v>
      </c>
    </row>
    <row r="56" spans="1:26" s="27" customFormat="1" outlineLevel="1" collapsed="1" x14ac:dyDescent="0.25">
      <c r="A56" s="25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3367.3299999999995</v>
      </c>
      <c r="E56" s="1"/>
      <c r="F56" s="5">
        <f t="shared" si="16"/>
        <v>2.3028144240669551E-2</v>
      </c>
      <c r="G56" s="1"/>
      <c r="H56" s="1">
        <f>SUM(OSRRefH22_0x_0)</f>
        <v>3160.0399999999995</v>
      </c>
      <c r="I56" s="1"/>
      <c r="J56" s="5">
        <f t="shared" si="17"/>
        <v>1.7120018151323656E-2</v>
      </c>
      <c r="K56" s="1"/>
      <c r="L56" s="1">
        <f t="shared" si="18"/>
        <v>207.28999999999996</v>
      </c>
      <c r="M56" s="1"/>
      <c r="N56" s="5">
        <f t="shared" si="19"/>
        <v>6.5597270920621259E-2</v>
      </c>
      <c r="O56" s="13"/>
      <c r="P56" s="1">
        <f>SUM(OSRRefP22_0x_0)</f>
        <v>12276.279999999999</v>
      </c>
      <c r="Q56" s="1"/>
      <c r="R56" s="5">
        <f t="shared" si="20"/>
        <v>9.1723221554495336E-3</v>
      </c>
      <c r="S56" s="1"/>
      <c r="T56" s="1">
        <f>SUM(OSRRefT22_0x_0)</f>
        <v>10503.29</v>
      </c>
      <c r="U56" s="1"/>
      <c r="V56" s="5">
        <f t="shared" si="21"/>
        <v>8.8794033963139566E-3</v>
      </c>
      <c r="W56" s="1"/>
      <c r="X56" s="1">
        <f t="shared" si="22"/>
        <v>1772.989999999998</v>
      </c>
      <c r="Y56" s="1"/>
      <c r="Z56" s="5">
        <f t="shared" si="23"/>
        <v>0.16880329877590716</v>
      </c>
    </row>
    <row r="57" spans="1:26" s="24" customFormat="1" hidden="1" outlineLevel="2" x14ac:dyDescent="0.25">
      <c r="A57" s="26"/>
      <c r="B57" s="11" t="str">
        <f>CONCATENATE("          ", "6111", " - ", "F.I.C.A.")</f>
        <v xml:space="preserve">          6111 - F.I.C.A.</v>
      </c>
      <c r="C57" s="11"/>
      <c r="D57" s="6">
        <v>1360.46</v>
      </c>
      <c r="E57" s="2"/>
      <c r="F57" s="7">
        <f t="shared" si="16"/>
        <v>9.3037715678776067E-3</v>
      </c>
      <c r="G57" s="2"/>
      <c r="H57" s="6">
        <v>971.85</v>
      </c>
      <c r="I57" s="2"/>
      <c r="J57" s="7">
        <f t="shared" si="17"/>
        <v>5.2651515931329655E-3</v>
      </c>
      <c r="K57" s="2"/>
      <c r="L57" s="6">
        <f t="shared" si="18"/>
        <v>388.61</v>
      </c>
      <c r="M57" s="2"/>
      <c r="N57" s="7">
        <f t="shared" si="19"/>
        <v>0.39986623450120906</v>
      </c>
      <c r="O57" s="11"/>
      <c r="P57" s="6">
        <v>3135.16</v>
      </c>
      <c r="Q57" s="2"/>
      <c r="R57" s="7">
        <f t="shared" si="20"/>
        <v>2.342460218313623E-3</v>
      </c>
      <c r="S57" s="2"/>
      <c r="T57" s="6">
        <v>2768.55</v>
      </c>
      <c r="U57" s="2"/>
      <c r="V57" s="7">
        <f t="shared" si="21"/>
        <v>2.3405116180611031E-3</v>
      </c>
      <c r="W57" s="2"/>
      <c r="X57" s="6">
        <f t="shared" si="22"/>
        <v>366.60999999999967</v>
      </c>
      <c r="Y57" s="2"/>
      <c r="Z57" s="7">
        <f t="shared" si="23"/>
        <v>0.13241949757093049</v>
      </c>
    </row>
    <row r="58" spans="1:26" s="24" customFormat="1" hidden="1" outlineLevel="2" x14ac:dyDescent="0.25">
      <c r="A58" s="26"/>
      <c r="B58" s="11" t="str">
        <f>CONCATENATE("          ", "6112", " - ", "COMPENSATION INSURANCE")</f>
        <v xml:space="preserve">          6112 - COMPENSATION INSURANCE</v>
      </c>
      <c r="C58" s="11"/>
      <c r="D58" s="6">
        <v>47.99</v>
      </c>
      <c r="E58" s="2"/>
      <c r="F58" s="7">
        <f t="shared" si="16"/>
        <v>3.2818899309237047E-4</v>
      </c>
      <c r="G58" s="2"/>
      <c r="H58" s="6">
        <v>275.18</v>
      </c>
      <c r="I58" s="2"/>
      <c r="J58" s="7">
        <f t="shared" si="17"/>
        <v>1.490831316971065E-3</v>
      </c>
      <c r="K58" s="2"/>
      <c r="L58" s="6">
        <f t="shared" si="18"/>
        <v>-227.19</v>
      </c>
      <c r="M58" s="2"/>
      <c r="N58" s="7">
        <f t="shared" si="19"/>
        <v>-0.82560505850715893</v>
      </c>
      <c r="O58" s="11"/>
      <c r="P58" s="6">
        <v>511.56</v>
      </c>
      <c r="Q58" s="2"/>
      <c r="R58" s="7">
        <f t="shared" si="20"/>
        <v>3.8221620245235236E-4</v>
      </c>
      <c r="S58" s="2"/>
      <c r="T58" s="6">
        <v>536.38</v>
      </c>
      <c r="U58" s="2"/>
      <c r="V58" s="7">
        <f t="shared" si="21"/>
        <v>4.5345167025902163E-4</v>
      </c>
      <c r="W58" s="2"/>
      <c r="X58" s="6">
        <f t="shared" si="22"/>
        <v>-24.819999999999993</v>
      </c>
      <c r="Y58" s="2"/>
      <c r="Z58" s="7">
        <f t="shared" si="23"/>
        <v>-4.6273164547522269E-2</v>
      </c>
    </row>
    <row r="59" spans="1:26" s="24" customFormat="1" hidden="1" outlineLevel="2" x14ac:dyDescent="0.25">
      <c r="A59" s="26"/>
      <c r="B59" s="11" t="str">
        <f>CONCATENATE("          ", "6113", " - ", "GROUP INSURANCE")</f>
        <v xml:space="preserve">          6113 - GROUP INSURANCE</v>
      </c>
      <c r="C59" s="11"/>
      <c r="D59" s="6">
        <v>964.88</v>
      </c>
      <c r="E59" s="2"/>
      <c r="F59" s="7">
        <f t="shared" si="16"/>
        <v>6.5985204345690024E-3</v>
      </c>
      <c r="G59" s="2"/>
      <c r="H59" s="6">
        <v>1029.08</v>
      </c>
      <c r="I59" s="2"/>
      <c r="J59" s="7">
        <f t="shared" si="17"/>
        <v>5.5752041996823291E-3</v>
      </c>
      <c r="K59" s="2"/>
      <c r="L59" s="6">
        <f t="shared" si="18"/>
        <v>-64.199999999999932</v>
      </c>
      <c r="M59" s="2"/>
      <c r="N59" s="7">
        <f t="shared" si="19"/>
        <v>-6.2385820344385216E-2</v>
      </c>
      <c r="O59" s="11"/>
      <c r="P59" s="6">
        <v>3859.52</v>
      </c>
      <c r="Q59" s="2"/>
      <c r="R59" s="7">
        <f t="shared" si="20"/>
        <v>2.8836716664494937E-3</v>
      </c>
      <c r="S59" s="2"/>
      <c r="T59" s="6">
        <v>3480.5</v>
      </c>
      <c r="U59" s="2"/>
      <c r="V59" s="7">
        <f t="shared" si="21"/>
        <v>2.9423888630010905E-3</v>
      </c>
      <c r="W59" s="2"/>
      <c r="X59" s="6">
        <f t="shared" si="22"/>
        <v>379.02</v>
      </c>
      <c r="Y59" s="2"/>
      <c r="Z59" s="7">
        <f t="shared" si="23"/>
        <v>0.10889814681798592</v>
      </c>
    </row>
    <row r="60" spans="1:26" s="24" customFormat="1" hidden="1" outlineLevel="2" x14ac:dyDescent="0.25">
      <c r="A60" s="26"/>
      <c r="B60" s="11" t="str">
        <f>CONCATENATE("          ", "6114", " - ", "STATE UNEMPLOYMENT INSURANCE")</f>
        <v xml:space="preserve">          6114 - STATE UNEMPLOYMENT INSURANCE</v>
      </c>
      <c r="C60" s="11"/>
      <c r="D60" s="6">
        <v>32.96</v>
      </c>
      <c r="E60" s="2"/>
      <c r="F60" s="7">
        <f t="shared" si="16"/>
        <v>2.254034009652955E-4</v>
      </c>
      <c r="G60" s="2"/>
      <c r="H60" s="6">
        <v>31.31</v>
      </c>
      <c r="I60" s="2"/>
      <c r="J60" s="7">
        <f t="shared" si="17"/>
        <v>1.6962689343107799E-4</v>
      </c>
      <c r="K60" s="2"/>
      <c r="L60" s="6">
        <f t="shared" si="18"/>
        <v>1.6500000000000021</v>
      </c>
      <c r="M60" s="2"/>
      <c r="N60" s="7">
        <f t="shared" si="19"/>
        <v>5.2698818268923739E-2</v>
      </c>
      <c r="O60" s="11"/>
      <c r="P60" s="6">
        <v>96.4</v>
      </c>
      <c r="Q60" s="2"/>
      <c r="R60" s="7">
        <f t="shared" si="20"/>
        <v>7.202604174760882E-5</v>
      </c>
      <c r="S60" s="2"/>
      <c r="T60" s="6">
        <v>117.2</v>
      </c>
      <c r="U60" s="2"/>
      <c r="V60" s="7">
        <f t="shared" si="21"/>
        <v>9.9080009982395573E-5</v>
      </c>
      <c r="W60" s="2"/>
      <c r="X60" s="6">
        <f t="shared" si="22"/>
        <v>-20.799999999999997</v>
      </c>
      <c r="Y60" s="2"/>
      <c r="Z60" s="7">
        <f t="shared" si="23"/>
        <v>-0.1774744027303754</v>
      </c>
    </row>
    <row r="61" spans="1:26" s="24" customFormat="1" hidden="1" outlineLevel="2" x14ac:dyDescent="0.25">
      <c r="A61" s="26"/>
      <c r="B61" s="11" t="str">
        <f>CONCATENATE("          ", "6115", " - ", "P.E.R.S.")</f>
        <v xml:space="preserve">          6115 - P.E.R.S.</v>
      </c>
      <c r="C61" s="11"/>
      <c r="D61" s="6">
        <v>196.25</v>
      </c>
      <c r="E61" s="2"/>
      <c r="F61" s="7">
        <f t="shared" si="16"/>
        <v>1.342093975711142E-3</v>
      </c>
      <c r="G61" s="2"/>
      <c r="H61" s="6">
        <v>174.42</v>
      </c>
      <c r="I61" s="2"/>
      <c r="J61" s="7">
        <f t="shared" si="17"/>
        <v>9.4494802785846763E-4</v>
      </c>
      <c r="K61" s="2"/>
      <c r="L61" s="6">
        <f t="shared" si="18"/>
        <v>21.830000000000013</v>
      </c>
      <c r="M61" s="2"/>
      <c r="N61" s="7">
        <f t="shared" si="19"/>
        <v>0.12515766540534351</v>
      </c>
      <c r="O61" s="11"/>
      <c r="P61" s="6">
        <v>759.3</v>
      </c>
      <c r="Q61" s="2"/>
      <c r="R61" s="7">
        <f t="shared" si="20"/>
        <v>5.6731715247883166E-4</v>
      </c>
      <c r="S61" s="2"/>
      <c r="T61" s="6">
        <v>782.35</v>
      </c>
      <c r="U61" s="2"/>
      <c r="V61" s="7">
        <f t="shared" si="21"/>
        <v>6.6139288233555609E-4</v>
      </c>
      <c r="W61" s="2"/>
      <c r="X61" s="6">
        <f t="shared" si="22"/>
        <v>-23.050000000000068</v>
      </c>
      <c r="Y61" s="2"/>
      <c r="Z61" s="7">
        <f t="shared" si="23"/>
        <v>-2.9462516776378945E-2</v>
      </c>
    </row>
    <row r="62" spans="1:26" s="24" customFormat="1" hidden="1" outlineLevel="2" x14ac:dyDescent="0.25">
      <c r="A62" s="26"/>
      <c r="B62" s="11" t="str">
        <f>CONCATENATE("          ", "6117", " - ", "RETIREMENT STAFF HOURLY")</f>
        <v xml:space="preserve">          6117 - RETIREMENT STAFF HOURLY</v>
      </c>
      <c r="C62" s="11"/>
      <c r="D62" s="6">
        <v>146.69999999999999</v>
      </c>
      <c r="E62" s="2"/>
      <c r="F62" s="7">
        <f t="shared" si="16"/>
        <v>1.0032366177672586E-3</v>
      </c>
      <c r="G62" s="2"/>
      <c r="H62" s="6">
        <v>131.47999999999999</v>
      </c>
      <c r="I62" s="2"/>
      <c r="J62" s="7">
        <f t="shared" si="17"/>
        <v>7.1231376391945494E-4</v>
      </c>
      <c r="K62" s="2"/>
      <c r="L62" s="6">
        <f t="shared" si="18"/>
        <v>15.219999999999999</v>
      </c>
      <c r="M62" s="2"/>
      <c r="N62" s="7">
        <f t="shared" si="19"/>
        <v>0.11575905080620627</v>
      </c>
      <c r="O62" s="11"/>
      <c r="P62" s="6">
        <v>698.75</v>
      </c>
      <c r="Q62" s="2"/>
      <c r="R62" s="7">
        <f t="shared" si="20"/>
        <v>5.2207672895375164E-4</v>
      </c>
      <c r="S62" s="2"/>
      <c r="T62" s="6">
        <v>710.16</v>
      </c>
      <c r="U62" s="2"/>
      <c r="V62" s="7">
        <f t="shared" si="21"/>
        <v>6.0036399222779897E-4</v>
      </c>
      <c r="W62" s="2"/>
      <c r="X62" s="6">
        <f t="shared" si="22"/>
        <v>-11.409999999999968</v>
      </c>
      <c r="Y62" s="2"/>
      <c r="Z62" s="7">
        <f t="shared" si="23"/>
        <v>-1.606680184747095E-2</v>
      </c>
    </row>
    <row r="63" spans="1:26" s="24" customFormat="1" hidden="1" outlineLevel="2" x14ac:dyDescent="0.25">
      <c r="A63" s="26"/>
      <c r="B63" s="11" t="str">
        <f>CONCATENATE("          ", "6118", " - ", "VACATION")</f>
        <v xml:space="preserve">          6118 - VACATION</v>
      </c>
      <c r="C63" s="11"/>
      <c r="D63" s="6">
        <v>253.74</v>
      </c>
      <c r="E63" s="2"/>
      <c r="F63" s="7">
        <f t="shared" si="16"/>
        <v>1.7352505752710583E-3</v>
      </c>
      <c r="G63" s="2"/>
      <c r="H63" s="6">
        <v>220.35</v>
      </c>
      <c r="I63" s="2"/>
      <c r="J63" s="7">
        <f t="shared" si="17"/>
        <v>1.1937810912659864E-3</v>
      </c>
      <c r="K63" s="2"/>
      <c r="L63" s="6">
        <f t="shared" si="18"/>
        <v>33.390000000000015</v>
      </c>
      <c r="M63" s="2"/>
      <c r="N63" s="7">
        <f t="shared" si="19"/>
        <v>0.15153165418652151</v>
      </c>
      <c r="O63" s="11"/>
      <c r="P63" s="6">
        <v>1291.01</v>
      </c>
      <c r="Q63" s="2"/>
      <c r="R63" s="7">
        <f t="shared" si="20"/>
        <v>9.6458859083589686E-4</v>
      </c>
      <c r="S63" s="2"/>
      <c r="T63" s="6">
        <v>810.97</v>
      </c>
      <c r="U63" s="2"/>
      <c r="V63" s="7">
        <f t="shared" si="21"/>
        <v>6.8558801787903874E-4</v>
      </c>
      <c r="W63" s="2"/>
      <c r="X63" s="6">
        <f t="shared" si="22"/>
        <v>480.03999999999996</v>
      </c>
      <c r="Y63" s="2"/>
      <c r="Z63" s="7">
        <f t="shared" si="23"/>
        <v>0.59193311713133645</v>
      </c>
    </row>
    <row r="64" spans="1:26" s="24" customFormat="1" hidden="1" outlineLevel="2" x14ac:dyDescent="0.25">
      <c r="A64" s="26"/>
      <c r="B64" s="11" t="str">
        <f>CONCATENATE("          ", "6119", " - ", "SICK LEAVE")</f>
        <v xml:space="preserve">          6119 - SICK LEAVE</v>
      </c>
      <c r="C64" s="11"/>
      <c r="D64" s="6">
        <v>194.37</v>
      </c>
      <c r="E64" s="2"/>
      <c r="F64" s="7">
        <f t="shared" si="16"/>
        <v>1.3292372283259855E-3</v>
      </c>
      <c r="G64" s="2"/>
      <c r="H64" s="6">
        <v>176.37</v>
      </c>
      <c r="I64" s="2"/>
      <c r="J64" s="7">
        <f t="shared" si="17"/>
        <v>9.5551246229444995E-4</v>
      </c>
      <c r="K64" s="2"/>
      <c r="L64" s="6">
        <f t="shared" si="18"/>
        <v>18</v>
      </c>
      <c r="M64" s="2"/>
      <c r="N64" s="7">
        <f t="shared" si="19"/>
        <v>0.10205817315870046</v>
      </c>
      <c r="O64" s="11"/>
      <c r="P64" s="6">
        <v>1280.4000000000001</v>
      </c>
      <c r="Q64" s="2"/>
      <c r="R64" s="7">
        <f t="shared" si="20"/>
        <v>9.5666124329500354E-4</v>
      </c>
      <c r="S64" s="2"/>
      <c r="T64" s="6">
        <v>697.18</v>
      </c>
      <c r="U64" s="2"/>
      <c r="V64" s="7">
        <f t="shared" si="21"/>
        <v>5.8939079658299094E-4</v>
      </c>
      <c r="W64" s="2"/>
      <c r="X64" s="6">
        <f t="shared" si="22"/>
        <v>583.22000000000014</v>
      </c>
      <c r="Y64" s="2"/>
      <c r="Z64" s="7">
        <f t="shared" si="23"/>
        <v>0.83654149573998138</v>
      </c>
    </row>
    <row r="65" spans="1:26" s="24" customFormat="1" hidden="1" outlineLevel="2" x14ac:dyDescent="0.25">
      <c r="A65" s="26"/>
      <c r="B65" s="11" t="str">
        <f>CONCATENATE("          ", "6156", " - ", "EMPLOYEE MEALS")</f>
        <v xml:space="preserve">          6156 - EMPLOYEE MEALS</v>
      </c>
      <c r="C65" s="11"/>
      <c r="D65" s="6">
        <v>169.98</v>
      </c>
      <c r="E65" s="2"/>
      <c r="F65" s="7">
        <f t="shared" si="16"/>
        <v>1.1624414470898339E-3</v>
      </c>
      <c r="G65" s="2"/>
      <c r="H65" s="6">
        <v>150</v>
      </c>
      <c r="I65" s="2"/>
      <c r="J65" s="7">
        <f t="shared" si="17"/>
        <v>8.1264880276786012E-4</v>
      </c>
      <c r="K65" s="2"/>
      <c r="L65" s="6">
        <f t="shared" si="18"/>
        <v>19.97999999999999</v>
      </c>
      <c r="M65" s="2"/>
      <c r="N65" s="7">
        <f t="shared" si="19"/>
        <v>0.13319999999999993</v>
      </c>
      <c r="O65" s="11"/>
      <c r="P65" s="6">
        <v>644.17999999999995</v>
      </c>
      <c r="Q65" s="2"/>
      <c r="R65" s="7">
        <f t="shared" si="20"/>
        <v>4.8130431092297351E-4</v>
      </c>
      <c r="S65" s="2"/>
      <c r="T65" s="6">
        <v>600</v>
      </c>
      <c r="U65" s="2"/>
      <c r="V65" s="7">
        <f t="shared" si="21"/>
        <v>5.0723554598496024E-4</v>
      </c>
      <c r="W65" s="2"/>
      <c r="X65" s="6">
        <f t="shared" si="22"/>
        <v>44.17999999999995</v>
      </c>
      <c r="Y65" s="2"/>
      <c r="Z65" s="7">
        <f t="shared" si="23"/>
        <v>7.3633333333333245E-2</v>
      </c>
    </row>
    <row r="66" spans="1:26" s="27" customFormat="1" outlineLevel="1" collapsed="1" x14ac:dyDescent="0.25">
      <c r="A66" s="25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11582.32</v>
      </c>
      <c r="E66" s="1"/>
      <c r="F66" s="5">
        <f t="shared" ref="F66:F70" si="24">IF(D$12=0,0,D66/D$12)</f>
        <v>7.9207958709598333E-2</v>
      </c>
      <c r="G66" s="1"/>
      <c r="H66" s="1">
        <f>SUM(OSRRefH22_1x_0)</f>
        <v>11247.7</v>
      </c>
      <c r="I66" s="1"/>
      <c r="J66" s="5">
        <f t="shared" ref="J66:J70" si="25">IF(H$12=0,0,H66/H$12)</f>
        <v>6.0936199592613739E-2</v>
      </c>
      <c r="K66" s="1"/>
      <c r="L66" s="1">
        <f t="shared" ref="L66:L70" si="26">+D66-H66</f>
        <v>334.61999999999898</v>
      </c>
      <c r="M66" s="1"/>
      <c r="N66" s="5">
        <f t="shared" ref="N66:N70" si="27">IF(H66=0,0,L66/H66)</f>
        <v>2.9750082239035445E-2</v>
      </c>
      <c r="O66" s="13"/>
      <c r="P66" s="1">
        <f>SUM(OSRRefP22_1x_0)</f>
        <v>39094.380000000005</v>
      </c>
      <c r="Q66" s="1"/>
      <c r="R66" s="5">
        <f t="shared" ref="R66:R70" si="28">IF(P$12=0,0,P66/P$12)</f>
        <v>2.9209683049552734E-2</v>
      </c>
      <c r="S66" s="1"/>
      <c r="T66" s="1">
        <f>SUM(OSRRefT22_1x_0)</f>
        <v>41509.229999999996</v>
      </c>
      <c r="U66" s="1"/>
      <c r="V66" s="5">
        <f t="shared" ref="V66:V70" si="29">IF(T$12=0,0,T66/T$12)</f>
        <v>3.5091594904108819E-2</v>
      </c>
      <c r="W66" s="1"/>
      <c r="X66" s="1">
        <f t="shared" ref="X66:X70" si="30">+P66-T66</f>
        <v>-2414.8499999999913</v>
      </c>
      <c r="Y66" s="1"/>
      <c r="Z66" s="5">
        <f t="shared" ref="Z66:Z70" si="31">IF(T66=0,0,X66/T66)</f>
        <v>-5.8176217674960277E-2</v>
      </c>
    </row>
    <row r="67" spans="1:26" s="24" customFormat="1" hidden="1" outlineLevel="2" x14ac:dyDescent="0.25">
      <c r="A67" s="26"/>
      <c r="B67" s="11" t="str">
        <f>CONCATENATE("          ", "6002", " - ", "STAFF SALARIES")</f>
        <v xml:space="preserve">          6002 - STAFF SALARIES</v>
      </c>
      <c r="C67" s="11"/>
      <c r="D67" s="6">
        <v>3231.38</v>
      </c>
      <c r="E67" s="2"/>
      <c r="F67" s="7">
        <f t="shared" si="24"/>
        <v>2.2098423598641885E-2</v>
      </c>
      <c r="G67" s="2"/>
      <c r="H67" s="6">
        <v>3186.8</v>
      </c>
      <c r="I67" s="2"/>
      <c r="J67" s="7">
        <f t="shared" si="25"/>
        <v>1.7264994697737443E-2</v>
      </c>
      <c r="K67" s="2"/>
      <c r="L67" s="6">
        <f t="shared" si="26"/>
        <v>44.579999999999927</v>
      </c>
      <c r="M67" s="2"/>
      <c r="N67" s="7">
        <f t="shared" si="27"/>
        <v>1.3988954437052819E-2</v>
      </c>
      <c r="O67" s="11"/>
      <c r="P67" s="6">
        <v>11863.02</v>
      </c>
      <c r="Q67" s="2"/>
      <c r="R67" s="7">
        <f t="shared" si="28"/>
        <v>8.8635515951526796E-3</v>
      </c>
      <c r="S67" s="2"/>
      <c r="T67" s="6">
        <v>10834.1</v>
      </c>
      <c r="U67" s="2"/>
      <c r="V67" s="7">
        <f t="shared" si="29"/>
        <v>9.1590677145927633E-3</v>
      </c>
      <c r="W67" s="2"/>
      <c r="X67" s="6">
        <f t="shared" si="30"/>
        <v>1028.92</v>
      </c>
      <c r="Y67" s="2"/>
      <c r="Z67" s="7">
        <f t="shared" si="31"/>
        <v>9.4970509779307932E-2</v>
      </c>
    </row>
    <row r="68" spans="1:26" s="24" customFormat="1" hidden="1" outlineLevel="2" x14ac:dyDescent="0.25">
      <c r="A68" s="26"/>
      <c r="B68" s="11" t="str">
        <f>CONCATENATE("          ", "6005", " - ", "TEMPORARY WAGES-HOURLY")</f>
        <v xml:space="preserve">          6005 - TEMPORARY WAGES-HOURLY</v>
      </c>
      <c r="C68" s="11"/>
      <c r="D68" s="6">
        <v>4770.38</v>
      </c>
      <c r="E68" s="2"/>
      <c r="F68" s="7">
        <f t="shared" si="24"/>
        <v>3.2623175846384293E-2</v>
      </c>
      <c r="G68" s="2"/>
      <c r="H68" s="6">
        <v>3437.12</v>
      </c>
      <c r="I68" s="2"/>
      <c r="J68" s="7">
        <f t="shared" si="25"/>
        <v>1.8621143019796449E-2</v>
      </c>
      <c r="K68" s="2"/>
      <c r="L68" s="6">
        <f t="shared" si="26"/>
        <v>1333.2600000000002</v>
      </c>
      <c r="M68" s="2"/>
      <c r="N68" s="7">
        <f t="shared" si="27"/>
        <v>0.38790033516432371</v>
      </c>
      <c r="O68" s="11"/>
      <c r="P68" s="6">
        <v>14138.52</v>
      </c>
      <c r="Q68" s="2"/>
      <c r="R68" s="7">
        <f t="shared" si="28"/>
        <v>1.0563709873126579E-2</v>
      </c>
      <c r="S68" s="2"/>
      <c r="T68" s="6">
        <v>13393.63</v>
      </c>
      <c r="U68" s="2"/>
      <c r="V68" s="7">
        <f t="shared" si="29"/>
        <v>1.1322875376284238E-2</v>
      </c>
      <c r="W68" s="2"/>
      <c r="X68" s="6">
        <f t="shared" si="30"/>
        <v>744.89000000000124</v>
      </c>
      <c r="Y68" s="2"/>
      <c r="Z68" s="7">
        <f t="shared" si="31"/>
        <v>5.5615243962988468E-2</v>
      </c>
    </row>
    <row r="69" spans="1:26" s="24" customFormat="1" hidden="1" outlineLevel="2" x14ac:dyDescent="0.25">
      <c r="A69" s="26"/>
      <c r="B69" s="11" t="str">
        <f>CONCATENATE("          ", "6006", " - ", "TEMPORARY PART TIME")</f>
        <v xml:space="preserve">          6006 - TEMPORARY PART TIME</v>
      </c>
      <c r="C69" s="11"/>
      <c r="D69" s="6">
        <v>1494</v>
      </c>
      <c r="E69" s="2"/>
      <c r="F69" s="7">
        <f t="shared" si="24"/>
        <v>1.0217010953948769E-2</v>
      </c>
      <c r="G69" s="2"/>
      <c r="H69" s="6"/>
      <c r="I69" s="2"/>
      <c r="J69" s="7">
        <f t="shared" si="25"/>
        <v>0</v>
      </c>
      <c r="K69" s="2"/>
      <c r="L69" s="6">
        <f t="shared" si="26"/>
        <v>1494</v>
      </c>
      <c r="M69" s="2"/>
      <c r="N69" s="7">
        <f t="shared" si="27"/>
        <v>0</v>
      </c>
      <c r="O69" s="11"/>
      <c r="P69" s="6">
        <v>6548.16</v>
      </c>
      <c r="Q69" s="2"/>
      <c r="R69" s="7">
        <f t="shared" si="28"/>
        <v>4.8925108457471174E-3</v>
      </c>
      <c r="S69" s="2"/>
      <c r="T69" s="6"/>
      <c r="U69" s="2"/>
      <c r="V69" s="7">
        <f t="shared" si="29"/>
        <v>0</v>
      </c>
      <c r="W69" s="2"/>
      <c r="X69" s="6">
        <f t="shared" si="30"/>
        <v>6548.16</v>
      </c>
      <c r="Y69" s="2"/>
      <c r="Z69" s="7">
        <f t="shared" si="31"/>
        <v>0</v>
      </c>
    </row>
    <row r="70" spans="1:26" s="24" customFormat="1" hidden="1" outlineLevel="2" x14ac:dyDescent="0.25">
      <c r="A70" s="26"/>
      <c r="B70" s="11" t="str">
        <f>CONCATENATE("          ", "6007", " - ", "STUDENT HOURLY")</f>
        <v xml:space="preserve">          6007 - STUDENT HOURLY</v>
      </c>
      <c r="C70" s="11"/>
      <c r="D70" s="6">
        <v>2086.56</v>
      </c>
      <c r="E70" s="2"/>
      <c r="F70" s="7">
        <f t="shared" si="24"/>
        <v>1.4269348310623391E-2</v>
      </c>
      <c r="G70" s="2"/>
      <c r="H70" s="6">
        <v>4623.78</v>
      </c>
      <c r="I70" s="2"/>
      <c r="J70" s="7">
        <f t="shared" si="25"/>
        <v>2.505006187507984E-2</v>
      </c>
      <c r="K70" s="2"/>
      <c r="L70" s="6">
        <f t="shared" si="26"/>
        <v>-2537.2199999999998</v>
      </c>
      <c r="M70" s="2"/>
      <c r="N70" s="7">
        <f t="shared" si="27"/>
        <v>-0.54873285493686985</v>
      </c>
      <c r="O70" s="11"/>
      <c r="P70" s="6">
        <v>6544.68</v>
      </c>
      <c r="Q70" s="2"/>
      <c r="R70" s="7">
        <f t="shared" si="28"/>
        <v>4.8899107355263541E-3</v>
      </c>
      <c r="S70" s="2"/>
      <c r="T70" s="6">
        <v>17281.5</v>
      </c>
      <c r="U70" s="2"/>
      <c r="V70" s="7">
        <f t="shared" si="29"/>
        <v>1.4609651813231818E-2</v>
      </c>
      <c r="W70" s="2"/>
      <c r="X70" s="6">
        <f t="shared" si="30"/>
        <v>-10736.82</v>
      </c>
      <c r="Y70" s="2"/>
      <c r="Z70" s="7">
        <f t="shared" si="31"/>
        <v>-0.62128981859213606</v>
      </c>
    </row>
    <row r="71" spans="1:26" s="27" customFormat="1" outlineLevel="1" collapsed="1" x14ac:dyDescent="0.25">
      <c r="A71" s="25"/>
      <c r="B71" s="13" t="str">
        <f>CONCATENATE("     ","Advertising/Promo                                 ")</f>
        <v xml:space="preserve">     Advertising/Promo                                 </v>
      </c>
      <c r="C71" s="13"/>
      <c r="D71" s="1">
        <f>SUM(OSRRefD22_2x_0)</f>
        <v>419.39</v>
      </c>
      <c r="E71" s="1"/>
      <c r="F71" s="5">
        <f t="shared" ref="F71:F87" si="32">IF(D$12=0,0,D71/D$12)</f>
        <v>2.8680804712025265E-3</v>
      </c>
      <c r="G71" s="1"/>
      <c r="H71" s="1">
        <f>SUM(OSRRefH22_2x_0)</f>
        <v>-224.98</v>
      </c>
      <c r="I71" s="1"/>
      <c r="J71" s="5">
        <f t="shared" ref="J71:J87" si="33">IF(H$12=0,0,H71/H$12)</f>
        <v>-1.2188648509780878E-3</v>
      </c>
      <c r="K71" s="1"/>
      <c r="L71" s="1">
        <f t="shared" ref="L71:L87" si="34">+D71-H71</f>
        <v>644.37</v>
      </c>
      <c r="M71" s="1"/>
      <c r="N71" s="5">
        <f t="shared" ref="N71:N87" si="35">IF(H71=0,0,L71/H71)</f>
        <v>-2.8641212552226865</v>
      </c>
      <c r="O71" s="13"/>
      <c r="P71" s="1">
        <f>SUM(OSRRefP22_2x_0)</f>
        <v>1219.79</v>
      </c>
      <c r="Q71" s="1"/>
      <c r="R71" s="5">
        <f t="shared" ref="R71:R87" si="36">IF(P$12=0,0,P71/P$12)</f>
        <v>9.1137599028335843E-4</v>
      </c>
      <c r="S71" s="1"/>
      <c r="T71" s="1">
        <f>SUM(OSRRefT22_2x_0)</f>
        <v>242.09</v>
      </c>
      <c r="U71" s="1"/>
      <c r="V71" s="5">
        <f t="shared" ref="V71:V87" si="37">IF(T$12=0,0,T71/T$12)</f>
        <v>2.0466108887916507E-4</v>
      </c>
      <c r="W71" s="1"/>
      <c r="X71" s="1">
        <f t="shared" ref="X71:X87" si="38">+P71-T71</f>
        <v>977.69999999999993</v>
      </c>
      <c r="Y71" s="1"/>
      <c r="Z71" s="5">
        <f t="shared" ref="Z71:Z87" si="39">IF(T71=0,0,X71/T71)</f>
        <v>4.0385806931306538</v>
      </c>
    </row>
    <row r="72" spans="1:26" s="24" customFormat="1" hidden="1" outlineLevel="2" x14ac:dyDescent="0.25">
      <c r="A72" s="26"/>
      <c r="B72" s="11" t="str">
        <f>CONCATENATE("          ", "6362", " - ", "ADVERTISING EXPENSE")</f>
        <v xml:space="preserve">          6362 - ADVERTISING EXPENSE</v>
      </c>
      <c r="C72" s="11"/>
      <c r="D72" s="6">
        <v>419.39</v>
      </c>
      <c r="E72" s="2"/>
      <c r="F72" s="7">
        <f t="shared" si="32"/>
        <v>2.8680804712025265E-3</v>
      </c>
      <c r="G72" s="2"/>
      <c r="H72" s="6">
        <v>-224.98</v>
      </c>
      <c r="I72" s="2"/>
      <c r="J72" s="7">
        <f t="shared" si="33"/>
        <v>-1.2188648509780878E-3</v>
      </c>
      <c r="K72" s="2"/>
      <c r="L72" s="6">
        <f t="shared" si="34"/>
        <v>644.37</v>
      </c>
      <c r="M72" s="2"/>
      <c r="N72" s="7">
        <f t="shared" si="35"/>
        <v>-2.8641212552226865</v>
      </c>
      <c r="O72" s="11"/>
      <c r="P72" s="6">
        <v>1219.79</v>
      </c>
      <c r="Q72" s="2"/>
      <c r="R72" s="7">
        <f t="shared" si="36"/>
        <v>9.1137599028335843E-4</v>
      </c>
      <c r="S72" s="2"/>
      <c r="T72" s="6">
        <v>242.09</v>
      </c>
      <c r="U72" s="2"/>
      <c r="V72" s="7">
        <f t="shared" si="37"/>
        <v>2.0466108887916507E-4</v>
      </c>
      <c r="W72" s="2"/>
      <c r="X72" s="6">
        <f t="shared" si="38"/>
        <v>977.69999999999993</v>
      </c>
      <c r="Y72" s="2"/>
      <c r="Z72" s="7">
        <f t="shared" si="39"/>
        <v>4.0385806931306538</v>
      </c>
    </row>
    <row r="73" spans="1:26" s="27" customFormat="1" outlineLevel="1" collapsed="1" x14ac:dyDescent="0.25">
      <c r="A73" s="25"/>
      <c r="B73" s="13" t="str">
        <f>CONCATENATE("     ","Depreciation                                      ")</f>
        <v xml:space="preserve">     Depreciation                                      </v>
      </c>
      <c r="C73" s="13"/>
      <c r="D73" s="1">
        <f>SUM(OSRRefD22_3x_0)</f>
        <v>280.44</v>
      </c>
      <c r="E73" s="1"/>
      <c r="F73" s="5">
        <f t="shared" si="32"/>
        <v>1.9178437429219499E-3</v>
      </c>
      <c r="G73" s="1"/>
      <c r="H73" s="1">
        <f>SUM(OSRRefH22_3x_0)</f>
        <v>280.44</v>
      </c>
      <c r="I73" s="1"/>
      <c r="J73" s="5">
        <f t="shared" si="33"/>
        <v>1.5193282016547913E-3</v>
      </c>
      <c r="K73" s="1"/>
      <c r="L73" s="1">
        <f t="shared" si="34"/>
        <v>0</v>
      </c>
      <c r="M73" s="1"/>
      <c r="N73" s="5">
        <f t="shared" si="35"/>
        <v>0</v>
      </c>
      <c r="O73" s="13"/>
      <c r="P73" s="1">
        <f>SUM(OSRRefP22_3x_0)</f>
        <v>1121.76</v>
      </c>
      <c r="Q73" s="1"/>
      <c r="R73" s="5">
        <f t="shared" si="36"/>
        <v>8.3813208081740323E-4</v>
      </c>
      <c r="S73" s="1"/>
      <c r="T73" s="1">
        <f>SUM(OSRRefT22_3x_0)</f>
        <v>1121.76</v>
      </c>
      <c r="U73" s="1"/>
      <c r="V73" s="5">
        <f t="shared" si="37"/>
        <v>9.4832757677348173E-4</v>
      </c>
      <c r="W73" s="1"/>
      <c r="X73" s="1">
        <f t="shared" si="38"/>
        <v>0</v>
      </c>
      <c r="Y73" s="1"/>
      <c r="Z73" s="5">
        <f t="shared" si="39"/>
        <v>0</v>
      </c>
    </row>
    <row r="74" spans="1:26" s="24" customFormat="1" hidden="1" outlineLevel="2" x14ac:dyDescent="0.25">
      <c r="A74" s="26"/>
      <c r="B74" s="11" t="str">
        <f>CONCATENATE("          ", "6322", " - ", "EQUIPMENT DEPRECIATION EXPENSE")</f>
        <v xml:space="preserve">          6322 - EQUIPMENT DEPRECIATION EXPENSE</v>
      </c>
      <c r="C74" s="11"/>
      <c r="D74" s="6">
        <v>280.44</v>
      </c>
      <c r="E74" s="2"/>
      <c r="F74" s="7">
        <f t="shared" si="32"/>
        <v>1.9178437429219499E-3</v>
      </c>
      <c r="G74" s="2"/>
      <c r="H74" s="6">
        <v>280.44</v>
      </c>
      <c r="I74" s="2"/>
      <c r="J74" s="7">
        <f t="shared" si="33"/>
        <v>1.5193282016547913E-3</v>
      </c>
      <c r="K74" s="2"/>
      <c r="L74" s="6">
        <f t="shared" si="34"/>
        <v>0</v>
      </c>
      <c r="M74" s="2"/>
      <c r="N74" s="7">
        <f t="shared" si="35"/>
        <v>0</v>
      </c>
      <c r="O74" s="11"/>
      <c r="P74" s="6">
        <v>1121.76</v>
      </c>
      <c r="Q74" s="2"/>
      <c r="R74" s="7">
        <f t="shared" si="36"/>
        <v>8.3813208081740323E-4</v>
      </c>
      <c r="S74" s="2"/>
      <c r="T74" s="6">
        <v>1121.76</v>
      </c>
      <c r="U74" s="2"/>
      <c r="V74" s="7">
        <f t="shared" si="37"/>
        <v>9.4832757677348173E-4</v>
      </c>
      <c r="W74" s="2"/>
      <c r="X74" s="6">
        <f t="shared" si="38"/>
        <v>0</v>
      </c>
      <c r="Y74" s="2"/>
      <c r="Z74" s="7">
        <f t="shared" si="39"/>
        <v>0</v>
      </c>
    </row>
    <row r="75" spans="1:26" s="27" customFormat="1" outlineLevel="1" collapsed="1" x14ac:dyDescent="0.25">
      <c r="A75" s="25"/>
      <c r="B75" s="13" t="str">
        <f>CONCATENATE("     ","Discounts and Markdowns                           ")</f>
        <v xml:space="preserve">     Discounts and Markdowns                           </v>
      </c>
      <c r="C75" s="13"/>
      <c r="D75" s="1">
        <f>SUM(OSRRefD22_4x_0)</f>
        <v>1378.62</v>
      </c>
      <c r="E75" s="1"/>
      <c r="F75" s="5">
        <f t="shared" si="32"/>
        <v>9.4279622766618824E-3</v>
      </c>
      <c r="G75" s="1"/>
      <c r="H75" s="1">
        <f>SUM(OSRRefH22_4x_0)</f>
        <v>4138.42</v>
      </c>
      <c r="I75" s="1"/>
      <c r="J75" s="5">
        <f t="shared" si="33"/>
        <v>2.242054705567045E-2</v>
      </c>
      <c r="K75" s="1"/>
      <c r="L75" s="1">
        <f t="shared" si="34"/>
        <v>-2759.8</v>
      </c>
      <c r="M75" s="1"/>
      <c r="N75" s="5">
        <f t="shared" si="35"/>
        <v>-0.66687286452317551</v>
      </c>
      <c r="O75" s="13"/>
      <c r="P75" s="1">
        <f>SUM(OSRRefP22_4x_0)</f>
        <v>68378.13</v>
      </c>
      <c r="Q75" s="1"/>
      <c r="R75" s="5">
        <f t="shared" si="36"/>
        <v>5.1089274336135096E-2</v>
      </c>
      <c r="S75" s="1"/>
      <c r="T75" s="1">
        <f>SUM(OSRRefT22_4x_0)</f>
        <v>72651.180000000008</v>
      </c>
      <c r="U75" s="1"/>
      <c r="V75" s="5">
        <f t="shared" si="37"/>
        <v>6.1418768256252719E-2</v>
      </c>
      <c r="W75" s="1"/>
      <c r="X75" s="1">
        <f t="shared" si="38"/>
        <v>-4273.0500000000029</v>
      </c>
      <c r="Y75" s="1"/>
      <c r="Z75" s="5">
        <f t="shared" si="39"/>
        <v>-5.8815975184436133E-2</v>
      </c>
    </row>
    <row r="76" spans="1:26" s="24" customFormat="1" hidden="1" outlineLevel="2" x14ac:dyDescent="0.25">
      <c r="A76" s="26"/>
      <c r="B76" s="11" t="str">
        <f>CONCATENATE("          ", "6382", " - ", "DISCOUNTS/MARK DOWNS")</f>
        <v xml:space="preserve">          6382 - DISCOUNTS/MARK DOWNS</v>
      </c>
      <c r="C76" s="11"/>
      <c r="D76" s="6">
        <v>1378.62</v>
      </c>
      <c r="E76" s="2"/>
      <c r="F76" s="7">
        <f t="shared" si="32"/>
        <v>9.4279622766618824E-3</v>
      </c>
      <c r="G76" s="2"/>
      <c r="H76" s="6">
        <v>4138.42</v>
      </c>
      <c r="I76" s="2"/>
      <c r="J76" s="7">
        <f t="shared" si="33"/>
        <v>2.242054705567045E-2</v>
      </c>
      <c r="K76" s="2"/>
      <c r="L76" s="6">
        <f t="shared" si="34"/>
        <v>-2759.8</v>
      </c>
      <c r="M76" s="2"/>
      <c r="N76" s="7">
        <f t="shared" si="35"/>
        <v>-0.66687286452317551</v>
      </c>
      <c r="O76" s="11"/>
      <c r="P76" s="6">
        <v>68378.13</v>
      </c>
      <c r="Q76" s="2"/>
      <c r="R76" s="7">
        <f t="shared" si="36"/>
        <v>5.1089274336135096E-2</v>
      </c>
      <c r="S76" s="2"/>
      <c r="T76" s="6">
        <v>72651.180000000008</v>
      </c>
      <c r="U76" s="2"/>
      <c r="V76" s="7">
        <f t="shared" si="37"/>
        <v>6.1418768256252719E-2</v>
      </c>
      <c r="W76" s="2"/>
      <c r="X76" s="6">
        <f t="shared" si="38"/>
        <v>-4273.0500000000029</v>
      </c>
      <c r="Y76" s="2"/>
      <c r="Z76" s="7">
        <f t="shared" si="39"/>
        <v>-5.8815975184436133E-2</v>
      </c>
    </row>
    <row r="77" spans="1:26" s="27" customFormat="1" outlineLevel="1" collapsed="1" x14ac:dyDescent="0.25">
      <c r="A77" s="25"/>
      <c r="B77" s="13" t="str">
        <f>CONCATENATE("     ","Employees' Appreciation                           ")</f>
        <v xml:space="preserve">     Employees' Appreciation                           </v>
      </c>
      <c r="C77" s="13"/>
      <c r="D77" s="1">
        <f>SUM(OSRRefD22_5x_0)</f>
        <v>0</v>
      </c>
      <c r="E77" s="1"/>
      <c r="F77" s="5">
        <f t="shared" si="32"/>
        <v>0</v>
      </c>
      <c r="G77" s="1"/>
      <c r="H77" s="1">
        <f>SUM(OSRRefH22_5x_0)</f>
        <v>0</v>
      </c>
      <c r="I77" s="1"/>
      <c r="J77" s="5">
        <f t="shared" si="33"/>
        <v>0</v>
      </c>
      <c r="K77" s="1"/>
      <c r="L77" s="1">
        <f t="shared" si="34"/>
        <v>0</v>
      </c>
      <c r="M77" s="1"/>
      <c r="N77" s="5">
        <f t="shared" si="35"/>
        <v>0</v>
      </c>
      <c r="O77" s="13"/>
      <c r="P77" s="1">
        <f>SUM(OSRRefP22_5x_0)</f>
        <v>0</v>
      </c>
      <c r="Q77" s="1"/>
      <c r="R77" s="5">
        <f t="shared" si="36"/>
        <v>0</v>
      </c>
      <c r="S77" s="1"/>
      <c r="T77" s="1">
        <f>SUM(OSRRefT22_5x_0)</f>
        <v>84.31</v>
      </c>
      <c r="U77" s="1"/>
      <c r="V77" s="5">
        <f t="shared" si="37"/>
        <v>7.1275048136653339E-5</v>
      </c>
      <c r="W77" s="1"/>
      <c r="X77" s="1">
        <f t="shared" si="38"/>
        <v>-84.31</v>
      </c>
      <c r="Y77" s="1"/>
      <c r="Z77" s="5">
        <f t="shared" si="39"/>
        <v>-1</v>
      </c>
    </row>
    <row r="78" spans="1:26" s="24" customFormat="1" hidden="1" outlineLevel="2" x14ac:dyDescent="0.25">
      <c r="A78" s="26"/>
      <c r="B78" s="11" t="str">
        <f>CONCATENATE("          ", "6277", " - ", "EMPLOYEE APPRECIATION")</f>
        <v xml:space="preserve">          6277 - EMPLOYEE APPRECIATION</v>
      </c>
      <c r="C78" s="11"/>
      <c r="D78" s="6"/>
      <c r="E78" s="2"/>
      <c r="F78" s="7">
        <f t="shared" si="32"/>
        <v>0</v>
      </c>
      <c r="G78" s="2"/>
      <c r="H78" s="6"/>
      <c r="I78" s="2"/>
      <c r="J78" s="7">
        <f t="shared" si="33"/>
        <v>0</v>
      </c>
      <c r="K78" s="2"/>
      <c r="L78" s="6">
        <f t="shared" si="34"/>
        <v>0</v>
      </c>
      <c r="M78" s="2"/>
      <c r="N78" s="7">
        <f t="shared" si="35"/>
        <v>0</v>
      </c>
      <c r="O78" s="11"/>
      <c r="P78" s="6"/>
      <c r="Q78" s="2"/>
      <c r="R78" s="7">
        <f t="shared" si="36"/>
        <v>0</v>
      </c>
      <c r="S78" s="2"/>
      <c r="T78" s="6">
        <v>84.31</v>
      </c>
      <c r="U78" s="2"/>
      <c r="V78" s="7">
        <f t="shared" si="37"/>
        <v>7.1275048136653339E-5</v>
      </c>
      <c r="W78" s="2"/>
      <c r="X78" s="6">
        <f t="shared" si="38"/>
        <v>-84.31</v>
      </c>
      <c r="Y78" s="2"/>
      <c r="Z78" s="7">
        <f t="shared" si="39"/>
        <v>-1</v>
      </c>
    </row>
    <row r="79" spans="1:26" s="27" customFormat="1" outlineLevel="1" collapsed="1" x14ac:dyDescent="0.25">
      <c r="A79" s="25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SUM(OSRRefD22_6x_0)</f>
        <v>5.27</v>
      </c>
      <c r="E79" s="1"/>
      <c r="F79" s="5">
        <f t="shared" si="32"/>
        <v>3.6039924850943786E-5</v>
      </c>
      <c r="G79" s="1"/>
      <c r="H79" s="1">
        <f>SUM(OSRRefH22_6x_0)</f>
        <v>24.13</v>
      </c>
      <c r="I79" s="1"/>
      <c r="J79" s="5">
        <f t="shared" si="33"/>
        <v>1.3072810407192308E-4</v>
      </c>
      <c r="K79" s="1"/>
      <c r="L79" s="1">
        <f t="shared" si="34"/>
        <v>-18.86</v>
      </c>
      <c r="M79" s="1"/>
      <c r="N79" s="5">
        <f t="shared" si="35"/>
        <v>-0.78159966846249485</v>
      </c>
      <c r="O79" s="13"/>
      <c r="P79" s="1">
        <f>SUM(OSRRefP22_6x_0)</f>
        <v>10.76</v>
      </c>
      <c r="Q79" s="1"/>
      <c r="R79" s="5">
        <f t="shared" si="36"/>
        <v>8.0394212573057145E-6</v>
      </c>
      <c r="S79" s="1"/>
      <c r="T79" s="1">
        <f>SUM(OSRRefT22_6x_0)</f>
        <v>71.959999999999994</v>
      </c>
      <c r="U79" s="1"/>
      <c r="V79" s="5">
        <f t="shared" si="37"/>
        <v>6.0834449815129562E-5</v>
      </c>
      <c r="W79" s="1"/>
      <c r="X79" s="1">
        <f t="shared" si="38"/>
        <v>-61.199999999999996</v>
      </c>
      <c r="Y79" s="1"/>
      <c r="Z79" s="5">
        <f t="shared" si="39"/>
        <v>-0.85047248471372983</v>
      </c>
    </row>
    <row r="80" spans="1:26" s="24" customFormat="1" hidden="1" outlineLevel="2" x14ac:dyDescent="0.25">
      <c r="A80" s="26"/>
      <c r="B80" s="11" t="str">
        <f>CONCATENATE("          ", "6305", " - ", "FREIGHT OUT")</f>
        <v xml:space="preserve">          6305 - FREIGHT OUT</v>
      </c>
      <c r="C80" s="11"/>
      <c r="D80" s="6">
        <v>5.27</v>
      </c>
      <c r="E80" s="2"/>
      <c r="F80" s="7">
        <f t="shared" si="32"/>
        <v>3.6039924850943786E-5</v>
      </c>
      <c r="G80" s="2"/>
      <c r="H80" s="6">
        <v>24.13</v>
      </c>
      <c r="I80" s="2"/>
      <c r="J80" s="7">
        <f t="shared" si="33"/>
        <v>1.3072810407192308E-4</v>
      </c>
      <c r="K80" s="2"/>
      <c r="L80" s="6">
        <f t="shared" si="34"/>
        <v>-18.86</v>
      </c>
      <c r="M80" s="2"/>
      <c r="N80" s="7">
        <f t="shared" si="35"/>
        <v>-0.78159966846249485</v>
      </c>
      <c r="O80" s="11"/>
      <c r="P80" s="6">
        <v>10.76</v>
      </c>
      <c r="Q80" s="2"/>
      <c r="R80" s="7">
        <f t="shared" si="36"/>
        <v>8.0394212573057145E-6</v>
      </c>
      <c r="S80" s="2"/>
      <c r="T80" s="6">
        <v>71.959999999999994</v>
      </c>
      <c r="U80" s="2"/>
      <c r="V80" s="7">
        <f t="shared" si="37"/>
        <v>6.0834449815129562E-5</v>
      </c>
      <c r="W80" s="2"/>
      <c r="X80" s="6">
        <f t="shared" si="38"/>
        <v>-61.199999999999996</v>
      </c>
      <c r="Y80" s="2"/>
      <c r="Z80" s="7">
        <f t="shared" si="39"/>
        <v>-0.85047248471372983</v>
      </c>
    </row>
    <row r="81" spans="1:26" s="27" customFormat="1" outlineLevel="1" collapsed="1" x14ac:dyDescent="0.25">
      <c r="A81" s="25"/>
      <c r="B81" s="13" t="str">
        <f>CONCATENATE("     ","Inventory Adjustment                              ")</f>
        <v xml:space="preserve">     Inventory Adjustment                              </v>
      </c>
      <c r="C81" s="13"/>
      <c r="D81" s="1">
        <f>SUM(OSRRefD22_7x_0)</f>
        <v>0</v>
      </c>
      <c r="E81" s="1"/>
      <c r="F81" s="5">
        <f t="shared" si="32"/>
        <v>0</v>
      </c>
      <c r="G81" s="1"/>
      <c r="H81" s="1">
        <f>SUM(OSRRefH22_7x_0)</f>
        <v>1250</v>
      </c>
      <c r="I81" s="1"/>
      <c r="J81" s="5">
        <f t="shared" si="33"/>
        <v>6.772073356398834E-3</v>
      </c>
      <c r="K81" s="1"/>
      <c r="L81" s="1">
        <f t="shared" si="34"/>
        <v>-1250</v>
      </c>
      <c r="M81" s="1"/>
      <c r="N81" s="5">
        <f t="shared" si="35"/>
        <v>-1</v>
      </c>
      <c r="O81" s="13"/>
      <c r="P81" s="1">
        <f>SUM(OSRRefP22_7x_0)</f>
        <v>0</v>
      </c>
      <c r="Q81" s="1"/>
      <c r="R81" s="5">
        <f t="shared" si="36"/>
        <v>0</v>
      </c>
      <c r="S81" s="1"/>
      <c r="T81" s="1">
        <f>SUM(OSRRefT22_7x_0)</f>
        <v>5000</v>
      </c>
      <c r="U81" s="1"/>
      <c r="V81" s="5">
        <f t="shared" si="37"/>
        <v>4.2269628832080023E-3</v>
      </c>
      <c r="W81" s="1"/>
      <c r="X81" s="1">
        <f t="shared" si="38"/>
        <v>-5000</v>
      </c>
      <c r="Y81" s="1"/>
      <c r="Z81" s="5">
        <f t="shared" si="39"/>
        <v>-1</v>
      </c>
    </row>
    <row r="82" spans="1:26" s="24" customFormat="1" hidden="1" outlineLevel="2" x14ac:dyDescent="0.25">
      <c r="A82" s="26"/>
      <c r="B82" s="11" t="str">
        <f>CONCATENATE("          ", "6408", " - ", "INVENTORY ADJUSTMENT")</f>
        <v xml:space="preserve">          6408 - INVENTORY ADJUSTMENT</v>
      </c>
      <c r="C82" s="11"/>
      <c r="D82" s="6"/>
      <c r="E82" s="2"/>
      <c r="F82" s="7">
        <f t="shared" si="32"/>
        <v>0</v>
      </c>
      <c r="G82" s="2"/>
      <c r="H82" s="6">
        <v>1250</v>
      </c>
      <c r="I82" s="2"/>
      <c r="J82" s="7">
        <f t="shared" si="33"/>
        <v>6.772073356398834E-3</v>
      </c>
      <c r="K82" s="2"/>
      <c r="L82" s="6">
        <f t="shared" si="34"/>
        <v>-1250</v>
      </c>
      <c r="M82" s="2"/>
      <c r="N82" s="7">
        <f t="shared" si="35"/>
        <v>-1</v>
      </c>
      <c r="O82" s="11"/>
      <c r="P82" s="6"/>
      <c r="Q82" s="2"/>
      <c r="R82" s="7">
        <f t="shared" si="36"/>
        <v>0</v>
      </c>
      <c r="S82" s="2"/>
      <c r="T82" s="6">
        <v>5000</v>
      </c>
      <c r="U82" s="2"/>
      <c r="V82" s="7">
        <f t="shared" si="37"/>
        <v>4.2269628832080023E-3</v>
      </c>
      <c r="W82" s="2"/>
      <c r="X82" s="6">
        <f t="shared" si="38"/>
        <v>-5000</v>
      </c>
      <c r="Y82" s="2"/>
      <c r="Z82" s="7">
        <f t="shared" si="39"/>
        <v>-1</v>
      </c>
    </row>
    <row r="83" spans="1:26" s="27" customFormat="1" outlineLevel="1" collapsed="1" x14ac:dyDescent="0.25">
      <c r="A83" s="25"/>
      <c r="B83" s="13" t="str">
        <f>CONCATENATE("     ","Subscriptions &amp; Dues                              ")</f>
        <v xml:space="preserve">     Subscriptions &amp; Dues                              </v>
      </c>
      <c r="C83" s="13"/>
      <c r="D83" s="1">
        <f>SUM(OSRRefD22_8x_0)</f>
        <v>0</v>
      </c>
      <c r="E83" s="1"/>
      <c r="F83" s="5">
        <f t="shared" si="32"/>
        <v>0</v>
      </c>
      <c r="G83" s="1"/>
      <c r="H83" s="1">
        <f>SUM(OSRRefH22_8x_0)</f>
        <v>0</v>
      </c>
      <c r="I83" s="1"/>
      <c r="J83" s="5">
        <f t="shared" si="33"/>
        <v>0</v>
      </c>
      <c r="K83" s="1"/>
      <c r="L83" s="1">
        <f t="shared" si="34"/>
        <v>0</v>
      </c>
      <c r="M83" s="1"/>
      <c r="N83" s="5">
        <f t="shared" si="35"/>
        <v>0</v>
      </c>
      <c r="O83" s="13"/>
      <c r="P83" s="1">
        <f>SUM(OSRRefP22_8x_0)</f>
        <v>-5000</v>
      </c>
      <c r="Q83" s="1"/>
      <c r="R83" s="5">
        <f t="shared" si="36"/>
        <v>-3.7357905470751462E-3</v>
      </c>
      <c r="S83" s="1"/>
      <c r="T83" s="1">
        <f>SUM(OSRRefT22_8x_0)</f>
        <v>0</v>
      </c>
      <c r="U83" s="1"/>
      <c r="V83" s="5">
        <f t="shared" si="37"/>
        <v>0</v>
      </c>
      <c r="W83" s="1"/>
      <c r="X83" s="1">
        <f t="shared" si="38"/>
        <v>-5000</v>
      </c>
      <c r="Y83" s="1"/>
      <c r="Z83" s="5">
        <f t="shared" si="39"/>
        <v>0</v>
      </c>
    </row>
    <row r="84" spans="1:26" s="24" customFormat="1" hidden="1" outlineLevel="2" x14ac:dyDescent="0.25">
      <c r="A84" s="26"/>
      <c r="B84" s="11" t="str">
        <f>CONCATENATE("          ", "6258", " - ", "MEMBERSHIP DUES")</f>
        <v xml:space="preserve">          6258 - MEMBERSHIP DUES</v>
      </c>
      <c r="C84" s="11"/>
      <c r="D84" s="6"/>
      <c r="E84" s="2"/>
      <c r="F84" s="7">
        <f t="shared" si="32"/>
        <v>0</v>
      </c>
      <c r="G84" s="2"/>
      <c r="H84" s="6"/>
      <c r="I84" s="2"/>
      <c r="J84" s="7">
        <f t="shared" si="33"/>
        <v>0</v>
      </c>
      <c r="K84" s="2"/>
      <c r="L84" s="6">
        <f t="shared" si="34"/>
        <v>0</v>
      </c>
      <c r="M84" s="2"/>
      <c r="N84" s="7">
        <f t="shared" si="35"/>
        <v>0</v>
      </c>
      <c r="O84" s="11"/>
      <c r="P84" s="6">
        <v>-5000</v>
      </c>
      <c r="Q84" s="2"/>
      <c r="R84" s="7">
        <f t="shared" si="36"/>
        <v>-3.7357905470751462E-3</v>
      </c>
      <c r="S84" s="2"/>
      <c r="T84" s="6"/>
      <c r="U84" s="2"/>
      <c r="V84" s="7">
        <f t="shared" si="37"/>
        <v>0</v>
      </c>
      <c r="W84" s="2"/>
      <c r="X84" s="6">
        <f t="shared" si="38"/>
        <v>-5000</v>
      </c>
      <c r="Y84" s="2"/>
      <c r="Z84" s="7">
        <f t="shared" si="39"/>
        <v>0</v>
      </c>
    </row>
    <row r="85" spans="1:26" s="27" customFormat="1" outlineLevel="1" collapsed="1" x14ac:dyDescent="0.25">
      <c r="A85" s="25"/>
      <c r="B85" s="13" t="str">
        <f>CONCATENATE("     ","Supplies                                          ")</f>
        <v xml:space="preserve">     Supplies                                          </v>
      </c>
      <c r="C85" s="13"/>
      <c r="D85" s="1">
        <f>SUM(OSRRefD22_9x_0)</f>
        <v>192.76</v>
      </c>
      <c r="E85" s="1"/>
      <c r="F85" s="5">
        <f t="shared" si="32"/>
        <v>1.3182269287035908E-3</v>
      </c>
      <c r="G85" s="1"/>
      <c r="H85" s="1">
        <f>SUM(OSRRefH22_9x_0)</f>
        <v>113.6</v>
      </c>
      <c r="I85" s="1"/>
      <c r="J85" s="5">
        <f t="shared" si="33"/>
        <v>6.1544602662952602E-4</v>
      </c>
      <c r="K85" s="1"/>
      <c r="L85" s="1">
        <f t="shared" si="34"/>
        <v>79.16</v>
      </c>
      <c r="M85" s="1"/>
      <c r="N85" s="5">
        <f t="shared" si="35"/>
        <v>0.69683098591549297</v>
      </c>
      <c r="O85" s="13"/>
      <c r="P85" s="1">
        <f>SUM(OSRRefP22_9x_0)</f>
        <v>1556.9499999999998</v>
      </c>
      <c r="Q85" s="1"/>
      <c r="R85" s="5">
        <f t="shared" si="36"/>
        <v>1.1632878184537295E-3</v>
      </c>
      <c r="S85" s="1"/>
      <c r="T85" s="1">
        <f>SUM(OSRRefT22_9x_0)</f>
        <v>1024.28</v>
      </c>
      <c r="U85" s="1"/>
      <c r="V85" s="5">
        <f t="shared" si="37"/>
        <v>8.6591870840245846E-4</v>
      </c>
      <c r="W85" s="1"/>
      <c r="X85" s="1">
        <f t="shared" si="38"/>
        <v>532.66999999999985</v>
      </c>
      <c r="Y85" s="1"/>
      <c r="Z85" s="5">
        <f t="shared" si="39"/>
        <v>0.52004334752216175</v>
      </c>
    </row>
    <row r="86" spans="1:26" s="24" customFormat="1" hidden="1" outlineLevel="2" x14ac:dyDescent="0.25">
      <c r="A86" s="26"/>
      <c r="B86" s="11" t="str">
        <f>CONCATENATE("          ", "6241", " - ", "OFFICE EXPENSE")</f>
        <v xml:space="preserve">          6241 - OFFICE EXPENSE</v>
      </c>
      <c r="C86" s="11"/>
      <c r="D86" s="6">
        <v>192.76</v>
      </c>
      <c r="E86" s="2"/>
      <c r="F86" s="7">
        <f t="shared" si="32"/>
        <v>1.3182269287035908E-3</v>
      </c>
      <c r="G86" s="2"/>
      <c r="H86" s="6">
        <v>113.6</v>
      </c>
      <c r="I86" s="2"/>
      <c r="J86" s="7">
        <f t="shared" si="33"/>
        <v>6.1544602662952602E-4</v>
      </c>
      <c r="K86" s="2"/>
      <c r="L86" s="6">
        <f t="shared" si="34"/>
        <v>79.16</v>
      </c>
      <c r="M86" s="2"/>
      <c r="N86" s="7">
        <f t="shared" si="35"/>
        <v>0.69683098591549297</v>
      </c>
      <c r="O86" s="11"/>
      <c r="P86" s="6">
        <v>616.29999999999995</v>
      </c>
      <c r="Q86" s="2"/>
      <c r="R86" s="7">
        <f t="shared" si="36"/>
        <v>4.604735428324825E-4</v>
      </c>
      <c r="S86" s="2"/>
      <c r="T86" s="6">
        <v>838.41</v>
      </c>
      <c r="U86" s="2"/>
      <c r="V86" s="7">
        <f t="shared" si="37"/>
        <v>7.0878559018208416E-4</v>
      </c>
      <c r="W86" s="2"/>
      <c r="X86" s="6">
        <f t="shared" si="38"/>
        <v>-222.11</v>
      </c>
      <c r="Y86" s="2"/>
      <c r="Z86" s="7">
        <f t="shared" si="39"/>
        <v>-0.26491811882014771</v>
      </c>
    </row>
    <row r="87" spans="1:26" s="24" customFormat="1" hidden="1" outlineLevel="2" x14ac:dyDescent="0.25">
      <c r="A87" s="26"/>
      <c r="B87" s="11" t="str">
        <f>CONCATENATE("          ", "6247", " - ", "STORE SUPPLIES")</f>
        <v xml:space="preserve">          6247 - STORE SUPPLIES</v>
      </c>
      <c r="C87" s="11"/>
      <c r="D87" s="6"/>
      <c r="E87" s="2"/>
      <c r="F87" s="7">
        <f t="shared" si="32"/>
        <v>0</v>
      </c>
      <c r="G87" s="2"/>
      <c r="H87" s="6"/>
      <c r="I87" s="2"/>
      <c r="J87" s="7">
        <f t="shared" si="33"/>
        <v>0</v>
      </c>
      <c r="K87" s="2"/>
      <c r="L87" s="6">
        <f t="shared" si="34"/>
        <v>0</v>
      </c>
      <c r="M87" s="2"/>
      <c r="N87" s="7">
        <f t="shared" si="35"/>
        <v>0</v>
      </c>
      <c r="O87" s="11"/>
      <c r="P87" s="6">
        <v>940.65</v>
      </c>
      <c r="Q87" s="2"/>
      <c r="R87" s="7">
        <f t="shared" si="36"/>
        <v>7.0281427562124724E-4</v>
      </c>
      <c r="S87" s="2"/>
      <c r="T87" s="6">
        <v>185.87</v>
      </c>
      <c r="U87" s="2"/>
      <c r="V87" s="7">
        <f t="shared" si="37"/>
        <v>1.5713311822037427E-4</v>
      </c>
      <c r="W87" s="2"/>
      <c r="X87" s="6">
        <f t="shared" si="38"/>
        <v>754.78</v>
      </c>
      <c r="Y87" s="2"/>
      <c r="Z87" s="7">
        <f t="shared" si="39"/>
        <v>4.0607951794264805</v>
      </c>
    </row>
    <row r="88" spans="1:26" s="27" customFormat="1" outlineLevel="1" collapsed="1" x14ac:dyDescent="0.25">
      <c r="A88" s="25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SUM(OSRRefD22_10x_0)</f>
        <v>259.5</v>
      </c>
      <c r="E88" s="1"/>
      <c r="F88" s="5">
        <f t="shared" ref="F88:F93" si="40">IF(D$12=0,0,D88/D$12)</f>
        <v>1.7746414608766437E-3</v>
      </c>
      <c r="G88" s="1"/>
      <c r="H88" s="1">
        <f>SUM(OSRRefH22_10x_0)</f>
        <v>241.4</v>
      </c>
      <c r="I88" s="1"/>
      <c r="J88" s="5">
        <f t="shared" ref="J88:J93" si="41">IF(H$12=0,0,H88/H$12)</f>
        <v>1.3078228065877429E-3</v>
      </c>
      <c r="K88" s="1"/>
      <c r="L88" s="1">
        <f t="shared" ref="L88:L93" si="42">+D88-H88</f>
        <v>18.099999999999994</v>
      </c>
      <c r="M88" s="1"/>
      <c r="N88" s="5">
        <f t="shared" ref="N88:N93" si="43">IF(H88=0,0,L88/H88)</f>
        <v>7.497928748964372E-2</v>
      </c>
      <c r="O88" s="13"/>
      <c r="P88" s="1">
        <f>SUM(OSRRefP22_10x_0)</f>
        <v>1020.8</v>
      </c>
      <c r="Q88" s="1"/>
      <c r="R88" s="5">
        <f t="shared" ref="R88:R93" si="44">IF(P$12=0,0,P88/P$12)</f>
        <v>7.6269899809086183E-4</v>
      </c>
      <c r="S88" s="1"/>
      <c r="T88" s="1">
        <f>SUM(OSRRefT22_10x_0)</f>
        <v>1533.95</v>
      </c>
      <c r="U88" s="1"/>
      <c r="V88" s="5">
        <f t="shared" ref="V88:V93" si="45">IF(T$12=0,0,T88/T$12)</f>
        <v>1.2967899429393831E-3</v>
      </c>
      <c r="W88" s="1"/>
      <c r="X88" s="1">
        <f t="shared" ref="X88:X93" si="46">+P88-T88</f>
        <v>-513.15000000000009</v>
      </c>
      <c r="Y88" s="1"/>
      <c r="Z88" s="5">
        <f t="shared" ref="Z88:Z93" si="47">IF(T88=0,0,X88/T88)</f>
        <v>-0.33452850484044466</v>
      </c>
    </row>
    <row r="89" spans="1:26" s="24" customFormat="1" hidden="1" outlineLevel="2" x14ac:dyDescent="0.25">
      <c r="A89" s="26"/>
      <c r="B89" s="11" t="str">
        <f>CONCATENATE("          ", "6309", " - ", "TELEPHONE")</f>
        <v xml:space="preserve">          6309 - TELEPHONE</v>
      </c>
      <c r="C89" s="11"/>
      <c r="D89" s="6">
        <v>259.5</v>
      </c>
      <c r="E89" s="2"/>
      <c r="F89" s="7">
        <f t="shared" si="40"/>
        <v>1.7746414608766437E-3</v>
      </c>
      <c r="G89" s="2"/>
      <c r="H89" s="6">
        <v>241.4</v>
      </c>
      <c r="I89" s="2"/>
      <c r="J89" s="7">
        <f t="shared" si="41"/>
        <v>1.3078228065877429E-3</v>
      </c>
      <c r="K89" s="2"/>
      <c r="L89" s="6">
        <f t="shared" si="42"/>
        <v>18.099999999999994</v>
      </c>
      <c r="M89" s="2"/>
      <c r="N89" s="7">
        <f t="shared" si="43"/>
        <v>7.497928748964372E-2</v>
      </c>
      <c r="O89" s="11"/>
      <c r="P89" s="6">
        <v>1020.8</v>
      </c>
      <c r="Q89" s="2"/>
      <c r="R89" s="7">
        <f t="shared" si="44"/>
        <v>7.6269899809086183E-4</v>
      </c>
      <c r="S89" s="2"/>
      <c r="T89" s="6">
        <v>1533.95</v>
      </c>
      <c r="U89" s="2"/>
      <c r="V89" s="7">
        <f t="shared" si="45"/>
        <v>1.2967899429393831E-3</v>
      </c>
      <c r="W89" s="2"/>
      <c r="X89" s="6">
        <f t="shared" si="46"/>
        <v>-513.15000000000009</v>
      </c>
      <c r="Y89" s="2"/>
      <c r="Z89" s="7">
        <f t="shared" si="47"/>
        <v>-0.33452850484044466</v>
      </c>
    </row>
    <row r="90" spans="1:26" s="27" customFormat="1" outlineLevel="1" collapsed="1" x14ac:dyDescent="0.25">
      <c r="A90" s="25"/>
      <c r="B90" s="13" t="str">
        <f>CONCATENATE("     ","Training                                          ")</f>
        <v xml:space="preserve">     Training                                          </v>
      </c>
      <c r="C90" s="13"/>
      <c r="D90" s="1">
        <f>SUM(OSRRefD22_11x_0)</f>
        <v>40</v>
      </c>
      <c r="E90" s="1"/>
      <c r="F90" s="5">
        <f t="shared" si="40"/>
        <v>2.7354781670545567E-4</v>
      </c>
      <c r="G90" s="1"/>
      <c r="H90" s="1">
        <f>SUM(OSRRefH22_11x_0)</f>
        <v>0</v>
      </c>
      <c r="I90" s="1"/>
      <c r="J90" s="5">
        <f t="shared" si="41"/>
        <v>0</v>
      </c>
      <c r="K90" s="1"/>
      <c r="L90" s="1">
        <f t="shared" si="42"/>
        <v>40</v>
      </c>
      <c r="M90" s="1"/>
      <c r="N90" s="5">
        <f t="shared" si="43"/>
        <v>0</v>
      </c>
      <c r="O90" s="13"/>
      <c r="P90" s="1">
        <f>SUM(OSRRefP22_11x_0)</f>
        <v>40</v>
      </c>
      <c r="Q90" s="1"/>
      <c r="R90" s="5">
        <f t="shared" si="44"/>
        <v>2.988632437660117E-5</v>
      </c>
      <c r="S90" s="1"/>
      <c r="T90" s="1">
        <f>SUM(OSRRefT22_11x_0)</f>
        <v>0</v>
      </c>
      <c r="U90" s="1"/>
      <c r="V90" s="5">
        <f t="shared" si="45"/>
        <v>0</v>
      </c>
      <c r="W90" s="1"/>
      <c r="X90" s="1">
        <f t="shared" si="46"/>
        <v>40</v>
      </c>
      <c r="Y90" s="1"/>
      <c r="Z90" s="5">
        <f t="shared" si="47"/>
        <v>0</v>
      </c>
    </row>
    <row r="91" spans="1:26" s="24" customFormat="1" hidden="1" outlineLevel="2" x14ac:dyDescent="0.25">
      <c r="A91" s="26"/>
      <c r="B91" s="11" t="str">
        <f>CONCATENATE("          ", "6376", " - ", "TRAINING")</f>
        <v xml:space="preserve">          6376 - TRAINING</v>
      </c>
      <c r="C91" s="11"/>
      <c r="D91" s="6">
        <v>40</v>
      </c>
      <c r="E91" s="2"/>
      <c r="F91" s="7">
        <f t="shared" si="40"/>
        <v>2.7354781670545567E-4</v>
      </c>
      <c r="G91" s="2"/>
      <c r="H91" s="6"/>
      <c r="I91" s="2"/>
      <c r="J91" s="7">
        <f t="shared" si="41"/>
        <v>0</v>
      </c>
      <c r="K91" s="2"/>
      <c r="L91" s="6">
        <f t="shared" si="42"/>
        <v>40</v>
      </c>
      <c r="M91" s="2"/>
      <c r="N91" s="7">
        <f t="shared" si="43"/>
        <v>0</v>
      </c>
      <c r="O91" s="11"/>
      <c r="P91" s="6">
        <v>40</v>
      </c>
      <c r="Q91" s="2"/>
      <c r="R91" s="7">
        <f t="shared" si="44"/>
        <v>2.988632437660117E-5</v>
      </c>
      <c r="S91" s="2"/>
      <c r="T91" s="6"/>
      <c r="U91" s="2"/>
      <c r="V91" s="7">
        <f t="shared" si="45"/>
        <v>0</v>
      </c>
      <c r="W91" s="2"/>
      <c r="X91" s="6">
        <f t="shared" si="46"/>
        <v>40</v>
      </c>
      <c r="Y91" s="2"/>
      <c r="Z91" s="7">
        <f t="shared" si="47"/>
        <v>0</v>
      </c>
    </row>
    <row r="92" spans="1:26" s="27" customFormat="1" outlineLevel="1" collapsed="1" x14ac:dyDescent="0.25">
      <c r="A92" s="25"/>
      <c r="B92" s="13" t="str">
        <f>CONCATENATE("     ","Travel                                            ")</f>
        <v xml:space="preserve">     Travel                                            </v>
      </c>
      <c r="C92" s="13"/>
      <c r="D92" s="1">
        <f>SUM(OSRRefD22_12x_0)</f>
        <v>0</v>
      </c>
      <c r="E92" s="1"/>
      <c r="F92" s="5">
        <f t="shared" si="40"/>
        <v>0</v>
      </c>
      <c r="G92" s="1"/>
      <c r="H92" s="1">
        <f>SUM(OSRRefH22_12x_0)</f>
        <v>113.4</v>
      </c>
      <c r="I92" s="1"/>
      <c r="J92" s="5">
        <f t="shared" si="41"/>
        <v>6.1436249489250222E-4</v>
      </c>
      <c r="K92" s="1"/>
      <c r="L92" s="1">
        <f t="shared" si="42"/>
        <v>-113.4</v>
      </c>
      <c r="M92" s="1"/>
      <c r="N92" s="5">
        <f t="shared" si="43"/>
        <v>-1</v>
      </c>
      <c r="O92" s="13"/>
      <c r="P92" s="1">
        <f>SUM(OSRRefP22_12x_0)</f>
        <v>0</v>
      </c>
      <c r="Q92" s="1"/>
      <c r="R92" s="5">
        <f t="shared" si="44"/>
        <v>0</v>
      </c>
      <c r="S92" s="1"/>
      <c r="T92" s="1">
        <f>SUM(OSRRefT22_12x_0)</f>
        <v>113.4</v>
      </c>
      <c r="U92" s="1"/>
      <c r="V92" s="5">
        <f t="shared" si="45"/>
        <v>9.58675181911575E-5</v>
      </c>
      <c r="W92" s="1"/>
      <c r="X92" s="1">
        <f t="shared" si="46"/>
        <v>-113.4</v>
      </c>
      <c r="Y92" s="1"/>
      <c r="Z92" s="5">
        <f t="shared" si="47"/>
        <v>-1</v>
      </c>
    </row>
    <row r="93" spans="1:26" s="24" customFormat="1" hidden="1" outlineLevel="2" x14ac:dyDescent="0.25">
      <c r="A93" s="26"/>
      <c r="B93" s="11" t="str">
        <f>CONCATENATE("          ", "6292", " - ", "TRAVEL/CONFERENCE")</f>
        <v xml:space="preserve">          6292 - TRAVEL/CONFERENCE</v>
      </c>
      <c r="C93" s="11"/>
      <c r="D93" s="6"/>
      <c r="E93" s="2"/>
      <c r="F93" s="7">
        <f t="shared" si="40"/>
        <v>0</v>
      </c>
      <c r="G93" s="2"/>
      <c r="H93" s="6">
        <v>113.4</v>
      </c>
      <c r="I93" s="2"/>
      <c r="J93" s="7">
        <f t="shared" si="41"/>
        <v>6.1436249489250222E-4</v>
      </c>
      <c r="K93" s="2"/>
      <c r="L93" s="6">
        <f t="shared" si="42"/>
        <v>-113.4</v>
      </c>
      <c r="M93" s="2"/>
      <c r="N93" s="7">
        <f t="shared" si="43"/>
        <v>-1</v>
      </c>
      <c r="O93" s="11"/>
      <c r="P93" s="6"/>
      <c r="Q93" s="2"/>
      <c r="R93" s="7">
        <f t="shared" si="44"/>
        <v>0</v>
      </c>
      <c r="S93" s="2"/>
      <c r="T93" s="6">
        <v>113.4</v>
      </c>
      <c r="U93" s="2"/>
      <c r="V93" s="7">
        <f t="shared" si="45"/>
        <v>9.58675181911575E-5</v>
      </c>
      <c r="W93" s="2"/>
      <c r="X93" s="6">
        <f t="shared" si="46"/>
        <v>-113.4</v>
      </c>
      <c r="Y93" s="2"/>
      <c r="Z93" s="7">
        <f t="shared" si="47"/>
        <v>-1</v>
      </c>
    </row>
    <row r="94" spans="1:26" s="55" customFormat="1" x14ac:dyDescent="0.25">
      <c r="A94" s="37"/>
      <c r="B94" s="37"/>
      <c r="C94" s="37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7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25">
      <c r="A95" s="10"/>
      <c r="B95" s="29" t="s">
        <v>0</v>
      </c>
      <c r="C95" s="10"/>
      <c r="D95" s="4">
        <f>SUM(OSRRefD25x_0)</f>
        <v>4142.82</v>
      </c>
      <c r="E95" s="4"/>
      <c r="F95" s="12">
        <f t="shared" ref="F95:F98" si="48">IF(D$12=0,0,D95/D$12)</f>
        <v>2.8331484150092397E-2</v>
      </c>
      <c r="G95" s="4"/>
      <c r="H95" s="4">
        <f>SUM(OSRRefH25x_0)</f>
        <v>1275.28</v>
      </c>
      <c r="I95" s="4"/>
      <c r="J95" s="12">
        <f t="shared" ref="J95:J98" si="49">IF(H$12=0,0,H95/H$12)</f>
        <v>6.9090317679586441E-3</v>
      </c>
      <c r="K95" s="4"/>
      <c r="L95" s="4">
        <f t="shared" ref="L95:L98" si="50">+D95-H95</f>
        <v>2867.54</v>
      </c>
      <c r="M95" s="4"/>
      <c r="N95" s="12">
        <f t="shared" ref="N95:N98" si="51">IF(H95=0,0,L95/H95)</f>
        <v>2.2485571795997741</v>
      </c>
      <c r="O95" s="10"/>
      <c r="P95" s="4">
        <f>SUM(OSRRefP25x_0)</f>
        <v>6288.93</v>
      </c>
      <c r="Q95" s="4"/>
      <c r="R95" s="12">
        <f t="shared" ref="R95:R98" si="52">IF(P$12=0,0,P95/P$12)</f>
        <v>4.6988250490434596E-3</v>
      </c>
      <c r="S95" s="4"/>
      <c r="T95" s="4">
        <f>SUM(OSRRefT25x_0)</f>
        <v>4456.5300000000007</v>
      </c>
      <c r="U95" s="4"/>
      <c r="V95" s="12">
        <f t="shared" ref="V95:V98" si="53">IF(T$12=0,0,T95/T$12)</f>
        <v>3.7675173795805924E-3</v>
      </c>
      <c r="W95" s="4"/>
      <c r="X95" s="4">
        <f t="shared" ref="X95:X98" si="54">+P95-T95</f>
        <v>1832.3999999999996</v>
      </c>
      <c r="Y95" s="4"/>
      <c r="Z95" s="12">
        <f t="shared" ref="Z95:Z98" si="55">IF(T95=0,0,X95/T95)</f>
        <v>0.41117192075448822</v>
      </c>
    </row>
    <row r="96" spans="1:26" s="24" customFormat="1" hidden="1" outlineLevel="1" x14ac:dyDescent="0.25">
      <c r="A96" s="44"/>
      <c r="B96" s="11" t="str">
        <f>CONCATENATE("          ", "4187", " - ", "NON-TAXABLE SALES-COMPUTER REP")</f>
        <v xml:space="preserve">          4187 - NON-TAXABLE SALES-COMPUTER REP</v>
      </c>
      <c r="C96" s="11"/>
      <c r="D96" s="2">
        <f>--4407.89</f>
        <v>4407.8900000000003</v>
      </c>
      <c r="E96" s="2"/>
      <c r="F96" s="19">
        <f t="shared" si="48"/>
        <v>3.014421714444528E-2</v>
      </c>
      <c r="G96" s="2"/>
      <c r="H96" s="2">
        <f>--258.38</f>
        <v>258.38</v>
      </c>
      <c r="I96" s="2"/>
      <c r="J96" s="19">
        <f t="shared" si="49"/>
        <v>1.3998146510610645E-3</v>
      </c>
      <c r="K96" s="2"/>
      <c r="L96" s="2">
        <f t="shared" si="50"/>
        <v>4149.51</v>
      </c>
      <c r="M96" s="2"/>
      <c r="N96" s="19">
        <f t="shared" si="51"/>
        <v>16.059718244446167</v>
      </c>
      <c r="O96" s="11"/>
      <c r="P96" s="2">
        <f>--11782.69</f>
        <v>11782.69</v>
      </c>
      <c r="Q96" s="2"/>
      <c r="R96" s="19">
        <f t="shared" si="52"/>
        <v>8.8035323842233712E-3</v>
      </c>
      <c r="S96" s="2"/>
      <c r="T96" s="2">
        <f>--4259.72</f>
        <v>4259.72</v>
      </c>
      <c r="U96" s="2"/>
      <c r="V96" s="19">
        <f t="shared" si="53"/>
        <v>3.6011356665717584E-3</v>
      </c>
      <c r="W96" s="2"/>
      <c r="X96" s="2">
        <f t="shared" si="54"/>
        <v>7522.97</v>
      </c>
      <c r="Y96" s="2"/>
      <c r="Z96" s="19">
        <f t="shared" si="55"/>
        <v>1.7660714788765459</v>
      </c>
    </row>
    <row r="97" spans="1:26" s="24" customFormat="1" hidden="1" outlineLevel="1" x14ac:dyDescent="0.25">
      <c r="A97" s="44"/>
      <c r="B97" s="11" t="str">
        <f>CONCATENATE("          ", "4387", " - ", "SALES RETURN NON TAXABLE-COMPU")</f>
        <v xml:space="preserve">          4387 - SALES RETURN NON TAXABLE-COMPU</v>
      </c>
      <c r="C97" s="11"/>
      <c r="D97" s="2">
        <f>-350.05</f>
        <v>-350.05</v>
      </c>
      <c r="E97" s="2"/>
      <c r="F97" s="19">
        <f t="shared" si="48"/>
        <v>-2.393885330943619E-3</v>
      </c>
      <c r="G97" s="2"/>
      <c r="H97" s="2">
        <f>0</f>
        <v>0</v>
      </c>
      <c r="I97" s="2"/>
      <c r="J97" s="19">
        <f t="shared" si="49"/>
        <v>0</v>
      </c>
      <c r="K97" s="2"/>
      <c r="L97" s="2">
        <f t="shared" si="50"/>
        <v>-350.05</v>
      </c>
      <c r="M97" s="2"/>
      <c r="N97" s="19">
        <f t="shared" si="51"/>
        <v>0</v>
      </c>
      <c r="O97" s="11"/>
      <c r="P97" s="2">
        <f>-6790.75</f>
        <v>-6790.75</v>
      </c>
      <c r="Q97" s="2"/>
      <c r="R97" s="19">
        <f t="shared" si="52"/>
        <v>-5.0737639315101097E-3</v>
      </c>
      <c r="S97" s="2"/>
      <c r="T97" s="2">
        <f>0</f>
        <v>0</v>
      </c>
      <c r="U97" s="2"/>
      <c r="V97" s="19">
        <f t="shared" si="53"/>
        <v>0</v>
      </c>
      <c r="W97" s="2"/>
      <c r="X97" s="2">
        <f t="shared" si="54"/>
        <v>-6790.75</v>
      </c>
      <c r="Y97" s="2"/>
      <c r="Z97" s="19">
        <f t="shared" si="55"/>
        <v>0</v>
      </c>
    </row>
    <row r="98" spans="1:26" s="24" customFormat="1" hidden="1" outlineLevel="1" x14ac:dyDescent="0.25">
      <c r="A98" s="44"/>
      <c r="B98" s="11" t="str">
        <f>CONCATENATE("          ", "9150", " - ", "MISC. INCOME")</f>
        <v xml:space="preserve">          9150 - MISC. INCOME</v>
      </c>
      <c r="C98" s="11"/>
      <c r="D98" s="2">
        <f>--84.98</f>
        <v>84.98</v>
      </c>
      <c r="E98" s="2"/>
      <c r="F98" s="19">
        <f t="shared" si="48"/>
        <v>5.8115233659074067E-4</v>
      </c>
      <c r="G98" s="2"/>
      <c r="H98" s="2">
        <f>--1016.9</f>
        <v>1016.9</v>
      </c>
      <c r="I98" s="2"/>
      <c r="J98" s="19">
        <f t="shared" si="49"/>
        <v>5.5092171168975796E-3</v>
      </c>
      <c r="K98" s="2"/>
      <c r="L98" s="2">
        <f t="shared" si="50"/>
        <v>-931.92</v>
      </c>
      <c r="M98" s="2"/>
      <c r="N98" s="19">
        <f t="shared" si="51"/>
        <v>-0.91643229422755434</v>
      </c>
      <c r="O98" s="11"/>
      <c r="P98" s="2">
        <f>--1296.99</f>
        <v>1296.99</v>
      </c>
      <c r="Q98" s="2"/>
      <c r="R98" s="19">
        <f t="shared" si="52"/>
        <v>9.690565963301988E-4</v>
      </c>
      <c r="S98" s="2"/>
      <c r="T98" s="2">
        <f>--196.81</f>
        <v>196.81</v>
      </c>
      <c r="U98" s="2"/>
      <c r="V98" s="19">
        <f t="shared" si="53"/>
        <v>1.6638171300883338E-4</v>
      </c>
      <c r="W98" s="2"/>
      <c r="X98" s="2">
        <f t="shared" si="54"/>
        <v>1100.18</v>
      </c>
      <c r="Y98" s="2"/>
      <c r="Z98" s="19">
        <f t="shared" si="55"/>
        <v>5.5900614806158222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3</v>
      </c>
      <c r="C100" s="28"/>
      <c r="D100" s="21">
        <f>+D53-D55+D95</f>
        <v>8923.0600000000413</v>
      </c>
      <c r="E100" s="14"/>
      <c r="F100" s="22">
        <f>IF(D$12=0,0,D100/D$12)</f>
        <v>6.1022089533294868E-2</v>
      </c>
      <c r="G100" s="14"/>
      <c r="H100" s="21">
        <f>+H53-H55+H95</f>
        <v>14514.13</v>
      </c>
      <c r="I100" s="14"/>
      <c r="J100" s="22">
        <f>IF(H$12=0,0,H100/H$12)</f>
        <v>7.8632602451447209E-2</v>
      </c>
      <c r="K100" s="16"/>
      <c r="L100" s="21">
        <f>+D100-H100</f>
        <v>-5591.0699999999579</v>
      </c>
      <c r="M100" s="16"/>
      <c r="N100" s="22">
        <f>IF(H100=0,0,L100/H100)</f>
        <v>-0.38521564847496598</v>
      </c>
      <c r="O100" s="29"/>
      <c r="P100" s="21">
        <f>+P53-P55+P95</f>
        <v>24893.87999999959</v>
      </c>
      <c r="Q100" s="14"/>
      <c r="R100" s="22">
        <f>IF(P$12=0,0,P100/P$12)</f>
        <v>1.85996643168043E-2</v>
      </c>
      <c r="S100" s="14"/>
      <c r="T100" s="21">
        <f>+T53-T55+T95</f>
        <v>41430.129999999568</v>
      </c>
      <c r="U100" s="14"/>
      <c r="V100" s="22">
        <f>IF(T$12=0,0,T100/T$12)</f>
        <v>3.5024724351296103E-2</v>
      </c>
      <c r="W100" s="16"/>
      <c r="X100" s="21">
        <f>+P100-T100</f>
        <v>-16536.249999999978</v>
      </c>
      <c r="Y100" s="16"/>
      <c r="Z100" s="22">
        <f>IF(T100=0,0,X100/T100)</f>
        <v>-0.39913584630316512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>
        <v>6671.52</v>
      </c>
      <c r="E102" s="4"/>
      <c r="F102" s="12">
        <f>IF(D$12=0,0,D102/D$12)</f>
        <v>4.5624493252669547E-2</v>
      </c>
      <c r="G102" s="4"/>
      <c r="H102" s="4">
        <v>19939.53</v>
      </c>
      <c r="I102" s="4"/>
      <c r="J102" s="12">
        <f>IF(H$12=0,0,H102/H$12)</f>
        <v>0.10802556788169219</v>
      </c>
      <c r="K102" s="4"/>
      <c r="L102" s="4">
        <f>+D102-H102</f>
        <v>-13268.009999999998</v>
      </c>
      <c r="M102" s="4"/>
      <c r="N102" s="12">
        <f>IF(H102=0,0,L102/H102)</f>
        <v>-0.66541237431373756</v>
      </c>
      <c r="O102" s="10"/>
      <c r="P102" s="4">
        <v>134727.24</v>
      </c>
      <c r="Q102" s="4"/>
      <c r="R102" s="12">
        <f>IF(P$12=0,0,P102/P$12)</f>
        <v>0.1006625499251049</v>
      </c>
      <c r="S102" s="4"/>
      <c r="T102" s="4">
        <v>108635.67</v>
      </c>
      <c r="U102" s="4"/>
      <c r="V102" s="12">
        <f>IF(T$12=0,0,T102/T$12)</f>
        <v>9.1839788976486619E-2</v>
      </c>
      <c r="W102" s="4"/>
      <c r="X102" s="4">
        <f>+P102-T102</f>
        <v>26091.569999999992</v>
      </c>
      <c r="Y102" s="4"/>
      <c r="Z102" s="12">
        <f>IF(T102=0,0,X102/T102)</f>
        <v>0.24017498120092592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4</v>
      </c>
      <c r="C104" s="28"/>
      <c r="D104" s="31">
        <f>+D100-D102</f>
        <v>2251.5400000000409</v>
      </c>
      <c r="E104" s="14"/>
      <c r="F104" s="34">
        <f>IF(D$12=0,0,D104/D$12)</f>
        <v>1.5397596280625323E-2</v>
      </c>
      <c r="G104" s="14"/>
      <c r="H104" s="31">
        <f>+H100-H102</f>
        <v>-5425.4</v>
      </c>
      <c r="I104" s="14"/>
      <c r="J104" s="34">
        <f>IF(H$12=0,0,H104/H$12)</f>
        <v>-2.9392965430244986E-2</v>
      </c>
      <c r="K104" s="16"/>
      <c r="L104" s="31">
        <f>D104-H104</f>
        <v>7676.9400000000405</v>
      </c>
      <c r="M104" s="16"/>
      <c r="N104" s="34">
        <f>IF(H104=0,0,L104/H104)</f>
        <v>-1.4149998156818007</v>
      </c>
      <c r="O104" s="29"/>
      <c r="P104" s="31">
        <f>+P100-P102</f>
        <v>-109833.36000000039</v>
      </c>
      <c r="Q104" s="14"/>
      <c r="R104" s="34">
        <f>IF(P$12=0,0,P104/P$12)</f>
        <v>-8.2062885608300593E-2</v>
      </c>
      <c r="S104" s="14"/>
      <c r="T104" s="31">
        <f>+T100-T102</f>
        <v>-67205.54000000043</v>
      </c>
      <c r="U104" s="14"/>
      <c r="V104" s="34">
        <f>IF(T$12=0,0,T104/T$12)</f>
        <v>-5.6815064625190509E-2</v>
      </c>
      <c r="W104" s="16"/>
      <c r="X104" s="31">
        <f>P104-T104</f>
        <v>-42627.819999999963</v>
      </c>
      <c r="Y104" s="16"/>
      <c r="Z104" s="34">
        <f>IF(T104=0,0,X104/T104)</f>
        <v>0.63429026833204061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5</v>
      </c>
      <c r="C107" s="28"/>
      <c r="D107" s="36">
        <f>SUM(D104:D106)</f>
        <v>2251.5400000000409</v>
      </c>
      <c r="E107" s="14"/>
      <c r="F107" s="33">
        <f>IF(D$12=0,0,D107/D$12)</f>
        <v>1.5397596280625323E-2</v>
      </c>
      <c r="G107" s="14"/>
      <c r="H107" s="36">
        <f>SUM(H104:H106)</f>
        <v>-5425.4</v>
      </c>
      <c r="I107" s="14"/>
      <c r="J107" s="33">
        <f>IF(H$12=0,0,H107/H$12)</f>
        <v>-2.9392965430244986E-2</v>
      </c>
      <c r="K107" s="16"/>
      <c r="L107" s="36">
        <f>+D107-H107</f>
        <v>7676.9400000000405</v>
      </c>
      <c r="M107" s="16"/>
      <c r="N107" s="33">
        <f>IF(H107=0,0,L107/H107)</f>
        <v>-1.4149998156818007</v>
      </c>
      <c r="O107" s="29"/>
      <c r="P107" s="36">
        <f>SUM(P104:P106)</f>
        <v>-109833.36000000039</v>
      </c>
      <c r="Q107" s="14"/>
      <c r="R107" s="33">
        <f>IF(P$12=0,0,P107/P$12)</f>
        <v>-8.2062885608300593E-2</v>
      </c>
      <c r="S107" s="14"/>
      <c r="T107" s="36">
        <f>SUM(T104:T106)</f>
        <v>-67205.54000000043</v>
      </c>
      <c r="U107" s="14"/>
      <c r="V107" s="33">
        <f>IF(T$12=0,0,T107/T$12)</f>
        <v>-5.6815064625190509E-2</v>
      </c>
      <c r="W107" s="16"/>
      <c r="X107" s="36">
        <f>+P107-T107</f>
        <v>-42627.819999999963</v>
      </c>
      <c r="Y107" s="16"/>
      <c r="Z107" s="33">
        <f>IF(T107=0,0,X107/T107)</f>
        <v>0.63429026833204061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61">
        <v>43791.355363425922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56" t="s">
        <v>313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57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529586.6</v>
      </c>
      <c r="E12" s="4"/>
      <c r="F12" s="12"/>
      <c r="G12" s="4"/>
      <c r="H12" s="4">
        <f>SUM(OSRRefH13x_0)</f>
        <v>491531.77</v>
      </c>
      <c r="I12" s="4"/>
      <c r="J12" s="12"/>
      <c r="K12" s="4"/>
      <c r="L12" s="4">
        <f t="shared" ref="L12:L22" si="0">+D12-H12</f>
        <v>38054.829999999958</v>
      </c>
      <c r="M12" s="4"/>
      <c r="N12" s="12">
        <f t="shared" ref="N12:N22" si="1">IF(H12=0,0,L12/H12)</f>
        <v>7.7420895906687687E-2</v>
      </c>
      <c r="O12" s="10"/>
      <c r="P12" s="4">
        <f>SUM(OSRRefP13x_0)</f>
        <v>1118072.44</v>
      </c>
      <c r="Q12" s="4"/>
      <c r="R12" s="12"/>
      <c r="S12" s="4"/>
      <c r="T12" s="4">
        <f>SUM(OSRRefT13x_0)</f>
        <v>1071509.79</v>
      </c>
      <c r="U12" s="4"/>
      <c r="V12" s="12"/>
      <c r="W12" s="4"/>
      <c r="X12" s="4">
        <f t="shared" ref="X12:X22" si="2">+P12-T12</f>
        <v>46562.649999999907</v>
      </c>
      <c r="Y12" s="4"/>
      <c r="Z12" s="12">
        <f t="shared" ref="Z12:Z22" si="3">IF(T12=0,0,X12/T12)</f>
        <v>4.3455179256924853E-2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--59158.53</f>
        <v>59158.53</v>
      </c>
      <c r="E13" s="2"/>
      <c r="F13" s="19"/>
      <c r="G13" s="2"/>
      <c r="H13" s="2">
        <f>--59730.3</f>
        <v>59730.3</v>
      </c>
      <c r="I13" s="2"/>
      <c r="J13" s="19"/>
      <c r="K13" s="2"/>
      <c r="L13" s="2">
        <f t="shared" si="0"/>
        <v>-571.77000000000407</v>
      </c>
      <c r="M13" s="2"/>
      <c r="N13" s="19">
        <f t="shared" si="1"/>
        <v>-9.5725285156780405E-3</v>
      </c>
      <c r="O13" s="11"/>
      <c r="P13" s="2">
        <f>--131814.87</f>
        <v>131814.87</v>
      </c>
      <c r="Q13" s="2"/>
      <c r="R13" s="19"/>
      <c r="S13" s="2"/>
      <c r="T13" s="2">
        <f>--136271.42</f>
        <v>136271.42000000001</v>
      </c>
      <c r="U13" s="2"/>
      <c r="V13" s="19"/>
      <c r="W13" s="2"/>
      <c r="X13" s="2">
        <f t="shared" si="2"/>
        <v>-4456.5500000000175</v>
      </c>
      <c r="Y13" s="2"/>
      <c r="Z13" s="19">
        <f t="shared" si="3"/>
        <v>-3.2703482505722893E-2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--19.99</f>
        <v>19.989999999999998</v>
      </c>
      <c r="I14" s="2"/>
      <c r="J14" s="19"/>
      <c r="K14" s="2"/>
      <c r="L14" s="2">
        <f t="shared" si="0"/>
        <v>-19.989999999999998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--531.75</f>
        <v>531.75</v>
      </c>
      <c r="E15" s="2"/>
      <c r="F15" s="19"/>
      <c r="G15" s="2"/>
      <c r="H15" s="2">
        <f>--251.94</f>
        <v>251.94</v>
      </c>
      <c r="I15" s="2"/>
      <c r="J15" s="19"/>
      <c r="K15" s="2"/>
      <c r="L15" s="2">
        <f t="shared" si="0"/>
        <v>279.81</v>
      </c>
      <c r="M15" s="2"/>
      <c r="N15" s="19">
        <f t="shared" si="1"/>
        <v>1.1106215765658489</v>
      </c>
      <c r="O15" s="11"/>
      <c r="P15" s="2">
        <f>--1682.08</f>
        <v>1682.08</v>
      </c>
      <c r="Q15" s="2"/>
      <c r="R15" s="19"/>
      <c r="S15" s="2"/>
      <c r="T15" s="2">
        <f>--1001.31</f>
        <v>1001.31</v>
      </c>
      <c r="U15" s="2"/>
      <c r="V15" s="19"/>
      <c r="W15" s="2"/>
      <c r="X15" s="2">
        <f t="shared" si="2"/>
        <v>680.77</v>
      </c>
      <c r="Y15" s="2"/>
      <c r="Z15" s="19">
        <f t="shared" si="3"/>
        <v>0.67987935804096633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--35500.4</f>
        <v>35500.400000000001</v>
      </c>
      <c r="E16" s="2"/>
      <c r="F16" s="19"/>
      <c r="G16" s="2"/>
      <c r="H16" s="2">
        <f>--38797.47</f>
        <v>38797.47</v>
      </c>
      <c r="I16" s="2"/>
      <c r="J16" s="19"/>
      <c r="K16" s="2"/>
      <c r="L16" s="2">
        <f t="shared" si="0"/>
        <v>-3297.0699999999997</v>
      </c>
      <c r="M16" s="2"/>
      <c r="N16" s="19">
        <f t="shared" si="1"/>
        <v>-8.4981572252005089E-2</v>
      </c>
      <c r="O16" s="11"/>
      <c r="P16" s="2">
        <f>--74419.27</f>
        <v>74419.27</v>
      </c>
      <c r="Q16" s="2"/>
      <c r="R16" s="19"/>
      <c r="S16" s="2"/>
      <c r="T16" s="2">
        <f>--85623.45</f>
        <v>85623.45</v>
      </c>
      <c r="U16" s="2"/>
      <c r="V16" s="19"/>
      <c r="W16" s="2"/>
      <c r="X16" s="2">
        <f t="shared" si="2"/>
        <v>-11204.179999999993</v>
      </c>
      <c r="Y16" s="2"/>
      <c r="Z16" s="19">
        <f t="shared" si="3"/>
        <v>-0.13085410597213723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>--239161.66</f>
        <v>239161.66</v>
      </c>
      <c r="E17" s="2"/>
      <c r="F17" s="19"/>
      <c r="G17" s="2"/>
      <c r="H17" s="2">
        <f>--213837.94</f>
        <v>213837.94</v>
      </c>
      <c r="I17" s="2"/>
      <c r="J17" s="19"/>
      <c r="K17" s="2"/>
      <c r="L17" s="2">
        <f t="shared" si="0"/>
        <v>25323.72</v>
      </c>
      <c r="M17" s="2"/>
      <c r="N17" s="19">
        <f t="shared" si="1"/>
        <v>0.11842482208723111</v>
      </c>
      <c r="O17" s="11"/>
      <c r="P17" s="2">
        <f>--515103.65</f>
        <v>515103.65</v>
      </c>
      <c r="Q17" s="2"/>
      <c r="R17" s="19"/>
      <c r="S17" s="2"/>
      <c r="T17" s="2">
        <f>--479092.24</f>
        <v>479092.24</v>
      </c>
      <c r="U17" s="2"/>
      <c r="V17" s="19"/>
      <c r="W17" s="2"/>
      <c r="X17" s="2">
        <f t="shared" si="2"/>
        <v>36011.410000000033</v>
      </c>
      <c r="Y17" s="2"/>
      <c r="Z17" s="19">
        <f t="shared" si="3"/>
        <v>7.516592211971547E-2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--0.39</f>
        <v>0.39</v>
      </c>
      <c r="Q18" s="2"/>
      <c r="R18" s="19"/>
      <c r="S18" s="2"/>
      <c r="T18" s="2">
        <f>--53.94</f>
        <v>53.94</v>
      </c>
      <c r="U18" s="2"/>
      <c r="V18" s="19"/>
      <c r="W18" s="2"/>
      <c r="X18" s="2">
        <f t="shared" si="2"/>
        <v>-53.55</v>
      </c>
      <c r="Y18" s="2"/>
      <c r="Z18" s="19">
        <f t="shared" si="3"/>
        <v>-0.99276974416017794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>--227.76</f>
        <v>227.76</v>
      </c>
      <c r="E19" s="2"/>
      <c r="F19" s="19"/>
      <c r="G19" s="2"/>
      <c r="H19" s="2">
        <f>--329.56</f>
        <v>329.56</v>
      </c>
      <c r="I19" s="2"/>
      <c r="J19" s="19"/>
      <c r="K19" s="2"/>
      <c r="L19" s="2">
        <f t="shared" si="0"/>
        <v>-101.80000000000001</v>
      </c>
      <c r="M19" s="2"/>
      <c r="N19" s="19">
        <f t="shared" si="1"/>
        <v>-0.30889671076586966</v>
      </c>
      <c r="O19" s="11"/>
      <c r="P19" s="2">
        <f>--848.85</f>
        <v>848.85</v>
      </c>
      <c r="Q19" s="2"/>
      <c r="R19" s="19"/>
      <c r="S19" s="2"/>
      <c r="T19" s="2">
        <f>--1107.27</f>
        <v>1107.27</v>
      </c>
      <c r="U19" s="2"/>
      <c r="V19" s="19"/>
      <c r="W19" s="2"/>
      <c r="X19" s="2">
        <f t="shared" si="2"/>
        <v>-258.41999999999996</v>
      </c>
      <c r="Y19" s="2"/>
      <c r="Z19" s="19">
        <f t="shared" si="3"/>
        <v>-0.23338481129263861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--192132.5</f>
        <v>192132.5</v>
      </c>
      <c r="E20" s="2"/>
      <c r="F20" s="19"/>
      <c r="G20" s="2"/>
      <c r="H20" s="2">
        <f>--176065.32</f>
        <v>176065.32</v>
      </c>
      <c r="I20" s="2"/>
      <c r="J20" s="19"/>
      <c r="K20" s="2"/>
      <c r="L20" s="2">
        <f t="shared" si="0"/>
        <v>16067.179999999993</v>
      </c>
      <c r="M20" s="2"/>
      <c r="N20" s="19">
        <f t="shared" si="1"/>
        <v>9.125692669061683E-2</v>
      </c>
      <c r="O20" s="11"/>
      <c r="P20" s="2">
        <f>--388922.83</f>
        <v>388922.83</v>
      </c>
      <c r="Q20" s="2"/>
      <c r="R20" s="19"/>
      <c r="S20" s="2"/>
      <c r="T20" s="2">
        <f>--363856.61</f>
        <v>363856.61</v>
      </c>
      <c r="U20" s="2"/>
      <c r="V20" s="19"/>
      <c r="W20" s="2"/>
      <c r="X20" s="2">
        <f t="shared" si="2"/>
        <v>25066.22000000003</v>
      </c>
      <c r="Y20" s="2"/>
      <c r="Z20" s="19">
        <f t="shared" si="3"/>
        <v>6.889037964708139E-2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--2874</f>
        <v>2874</v>
      </c>
      <c r="E21" s="2"/>
      <c r="F21" s="19"/>
      <c r="G21" s="2"/>
      <c r="H21" s="2">
        <f>--2499.25</f>
        <v>2499.25</v>
      </c>
      <c r="I21" s="2"/>
      <c r="J21" s="19"/>
      <c r="K21" s="2"/>
      <c r="L21" s="2">
        <f t="shared" si="0"/>
        <v>374.75</v>
      </c>
      <c r="M21" s="2"/>
      <c r="N21" s="19">
        <f t="shared" si="1"/>
        <v>0.14994498349504851</v>
      </c>
      <c r="O21" s="11"/>
      <c r="P21" s="2">
        <f>--5280.5</f>
        <v>5280.5</v>
      </c>
      <c r="Q21" s="2"/>
      <c r="R21" s="19"/>
      <c r="S21" s="2"/>
      <c r="T21" s="2">
        <f>--4485.25</f>
        <v>4485.25</v>
      </c>
      <c r="U21" s="2"/>
      <c r="V21" s="19"/>
      <c r="W21" s="2"/>
      <c r="X21" s="2">
        <f t="shared" si="2"/>
        <v>795.25</v>
      </c>
      <c r="Y21" s="2"/>
      <c r="Z21" s="19">
        <f t="shared" si="3"/>
        <v>0.17730338331196702</v>
      </c>
    </row>
    <row r="22" spans="1:26" s="24" customFormat="1" hidden="1" outlineLevel="1" x14ac:dyDescent="0.25">
      <c r="A22" s="44"/>
      <c r="B22" s="11" t="str">
        <f>CONCATENATE("          ", "4233", " - ", "SALES RETURN TAXABLE-CANDY")</f>
        <v xml:space="preserve">          4233 - SALES RETURN TAXABLE-CANDY</v>
      </c>
      <c r="C22" s="11"/>
      <c r="D22" s="2">
        <f>0</f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0</f>
        <v>0</v>
      </c>
      <c r="Q22" s="2"/>
      <c r="R22" s="19"/>
      <c r="S22" s="2"/>
      <c r="T22" s="2">
        <f>-1.69</f>
        <v>-1.69</v>
      </c>
      <c r="U22" s="2"/>
      <c r="V22" s="19"/>
      <c r="W22" s="2"/>
      <c r="X22" s="2">
        <f t="shared" si="2"/>
        <v>1.69</v>
      </c>
      <c r="Y22" s="2"/>
      <c r="Z22" s="19">
        <f t="shared" si="3"/>
        <v>-1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9" t="s">
        <v>8</v>
      </c>
      <c r="C24" s="10"/>
      <c r="D24" s="4">
        <f>SUM(OSRRefD16x_0)</f>
        <v>259501.11</v>
      </c>
      <c r="E24" s="4"/>
      <c r="F24" s="12">
        <f t="shared" ref="F24:F26" si="4">IF(D$12=0,0,D24/D$12)</f>
        <v>0.4900069412632419</v>
      </c>
      <c r="G24" s="4"/>
      <c r="H24" s="4">
        <f>SUM(OSRRefH16x_0)</f>
        <v>236364.93</v>
      </c>
      <c r="I24" s="4"/>
      <c r="J24" s="12">
        <f t="shared" ref="J24:J26" si="5">IF(H$12=0,0,H24/H$12)</f>
        <v>0.48087416607882738</v>
      </c>
      <c r="K24" s="4"/>
      <c r="L24" s="4">
        <f t="shared" ref="L24:L26" si="6">+D24-H24</f>
        <v>23136.179999999993</v>
      </c>
      <c r="M24" s="4"/>
      <c r="N24" s="12">
        <f t="shared" ref="N24:N26" si="7">IF(H24=0,0,L24/H24)</f>
        <v>9.7883302738693057E-2</v>
      </c>
      <c r="O24" s="10"/>
      <c r="P24" s="4">
        <f>SUM(OSRRefP16x_0)</f>
        <v>533538.60000000009</v>
      </c>
      <c r="Q24" s="4"/>
      <c r="R24" s="12">
        <f t="shared" ref="R24:R26" si="8">IF(P$12=0,0,P24/P$12)</f>
        <v>0.4771950196715341</v>
      </c>
      <c r="S24" s="4"/>
      <c r="T24" s="4">
        <f>SUM(OSRRefT16x_0)</f>
        <v>501508.91000000003</v>
      </c>
      <c r="U24" s="4"/>
      <c r="V24" s="12">
        <f t="shared" ref="V24:V26" si="9">IF(T$12=0,0,T24/T$12)</f>
        <v>0.46803950340015094</v>
      </c>
      <c r="W24" s="4"/>
      <c r="X24" s="4">
        <f t="shared" ref="X24:X26" si="10">+P24-T24</f>
        <v>32029.690000000061</v>
      </c>
      <c r="Y24" s="4"/>
      <c r="Z24" s="12">
        <f t="shared" ref="Z24:Z26" si="11">IF(T24=0,0,X24/T24)</f>
        <v>6.3866641970528618E-2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244395.69999999998</v>
      </c>
      <c r="E25" s="2"/>
      <c r="F25" s="19">
        <f t="shared" si="4"/>
        <v>0.46148391972153374</v>
      </c>
      <c r="G25" s="2"/>
      <c r="H25" s="2">
        <v>213715.34999999998</v>
      </c>
      <c r="I25" s="2"/>
      <c r="J25" s="19">
        <f t="shared" si="5"/>
        <v>0.43479458102982838</v>
      </c>
      <c r="K25" s="2"/>
      <c r="L25" s="2">
        <f t="shared" si="6"/>
        <v>30680.350000000006</v>
      </c>
      <c r="M25" s="2"/>
      <c r="N25" s="19">
        <f t="shared" si="7"/>
        <v>0.14355707252661079</v>
      </c>
      <c r="O25" s="11"/>
      <c r="P25" s="2">
        <v>577184.57000000007</v>
      </c>
      <c r="Q25" s="2"/>
      <c r="R25" s="19">
        <f t="shared" si="8"/>
        <v>0.51623181946958652</v>
      </c>
      <c r="S25" s="2"/>
      <c r="T25" s="2">
        <v>531722.65</v>
      </c>
      <c r="U25" s="2"/>
      <c r="V25" s="19">
        <f t="shared" si="9"/>
        <v>0.49623685659465605</v>
      </c>
      <c r="W25" s="2"/>
      <c r="X25" s="2">
        <f t="shared" si="10"/>
        <v>45461.920000000042</v>
      </c>
      <c r="Y25" s="2"/>
      <c r="Z25" s="19">
        <f t="shared" si="11"/>
        <v>8.5499310589834829E-2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15105.409999999998</v>
      </c>
      <c r="E26" s="2"/>
      <c r="F26" s="19">
        <f t="shared" si="4"/>
        <v>2.8523021541708191E-2</v>
      </c>
      <c r="G26" s="2"/>
      <c r="H26" s="2">
        <v>22649.58</v>
      </c>
      <c r="I26" s="2"/>
      <c r="J26" s="19">
        <f t="shared" si="5"/>
        <v>4.6079585048998971E-2</v>
      </c>
      <c r="K26" s="2"/>
      <c r="L26" s="2">
        <f t="shared" si="6"/>
        <v>-7544.1700000000037</v>
      </c>
      <c r="M26" s="2"/>
      <c r="N26" s="19">
        <f t="shared" si="7"/>
        <v>-0.33308211454693654</v>
      </c>
      <c r="O26" s="11"/>
      <c r="P26" s="2">
        <v>-43645.97</v>
      </c>
      <c r="Q26" s="2"/>
      <c r="R26" s="19">
        <f t="shared" si="8"/>
        <v>-3.9036799798052441E-2</v>
      </c>
      <c r="S26" s="2"/>
      <c r="T26" s="2">
        <v>-30213.74</v>
      </c>
      <c r="U26" s="2"/>
      <c r="V26" s="19">
        <f t="shared" si="9"/>
        <v>-2.8197353194505111E-2</v>
      </c>
      <c r="W26" s="2"/>
      <c r="X26" s="2">
        <f t="shared" si="10"/>
        <v>-13432.23</v>
      </c>
      <c r="Y26" s="2"/>
      <c r="Z26" s="19">
        <f t="shared" si="11"/>
        <v>0.44457356156503625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6</v>
      </c>
      <c r="C28" s="28"/>
      <c r="D28" s="21">
        <f>D12-D24</f>
        <v>270085.49</v>
      </c>
      <c r="E28" s="14"/>
      <c r="F28" s="22">
        <f>IF(D$12=0,0,D28/D$12)</f>
        <v>0.50999305873675804</v>
      </c>
      <c r="G28" s="14"/>
      <c r="H28" s="21">
        <f>H12-H24</f>
        <v>255166.84000000003</v>
      </c>
      <c r="I28" s="14"/>
      <c r="J28" s="22">
        <f>IF(H$12=0,0,H28/H$12)</f>
        <v>0.51912583392117262</v>
      </c>
      <c r="K28" s="16"/>
      <c r="L28" s="21">
        <f>+D28-H28</f>
        <v>14918.649999999965</v>
      </c>
      <c r="M28" s="16"/>
      <c r="N28" s="22">
        <f>IF(H28=0,0,L28/H28)</f>
        <v>5.8466256822398879E-2</v>
      </c>
      <c r="O28" s="29"/>
      <c r="P28" s="21">
        <f>P12-P24</f>
        <v>584533.83999999985</v>
      </c>
      <c r="Q28" s="14"/>
      <c r="R28" s="22">
        <f>IF(P$12=0,0,P28/P$12)</f>
        <v>0.5228049803284659</v>
      </c>
      <c r="S28" s="14"/>
      <c r="T28" s="21">
        <f>T12-T24</f>
        <v>570000.88</v>
      </c>
      <c r="U28" s="14"/>
      <c r="V28" s="22">
        <f>IF(T$12=0,0,T28/T$12)</f>
        <v>0.53196049659984912</v>
      </c>
      <c r="W28" s="16"/>
      <c r="X28" s="21">
        <f>+P28-T28</f>
        <v>14532.959999999846</v>
      </c>
      <c r="Y28" s="16"/>
      <c r="Z28" s="22">
        <f>IF(T28=0,0,X28/T28)</f>
        <v>2.549638168979642E-2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9</v>
      </c>
      <c r="C30" s="10"/>
      <c r="D30" s="20">
        <f>SUM(OSRRefD22x_0)</f>
        <v>139552.00999999998</v>
      </c>
      <c r="E30" s="20"/>
      <c r="F30" s="35">
        <f t="shared" ref="F30:F39" si="12">IF(D$12=0,0,D30/D$12)</f>
        <v>0.26351121799531935</v>
      </c>
      <c r="G30" s="20"/>
      <c r="H30" s="20">
        <f>SUM(OSRRefH22x_0)</f>
        <v>136221.36999999997</v>
      </c>
      <c r="I30" s="20"/>
      <c r="J30" s="35">
        <f t="shared" ref="J30:J39" si="13">IF(H$12=0,0,H30/H$12)</f>
        <v>0.27713645040685764</v>
      </c>
      <c r="K30" s="4"/>
      <c r="L30" s="20">
        <f t="shared" ref="L30:L39" si="14">+D30-H30</f>
        <v>3330.640000000014</v>
      </c>
      <c r="M30" s="4"/>
      <c r="N30" s="35">
        <f t="shared" ref="N30:N39" si="15">IF(H30=0,0,L30/H30)</f>
        <v>2.4450201902976126E-2</v>
      </c>
      <c r="O30" s="10"/>
      <c r="P30" s="20">
        <f>SUM(OSRRefP22x_0)</f>
        <v>437176.1399999999</v>
      </c>
      <c r="Q30" s="20"/>
      <c r="R30" s="35">
        <f t="shared" ref="R30:R39" si="16">IF(P$12=0,0,P30/P$12)</f>
        <v>0.39100877935959133</v>
      </c>
      <c r="S30" s="20"/>
      <c r="T30" s="20">
        <f>SUM(OSRRefT22x_0)</f>
        <v>411110.00000000017</v>
      </c>
      <c r="U30" s="20"/>
      <c r="V30" s="35">
        <f t="shared" ref="V30:V39" si="17">IF(T$12=0,0,T30/T$12)</f>
        <v>0.38367358267440577</v>
      </c>
      <c r="W30" s="4"/>
      <c r="X30" s="20">
        <f t="shared" ref="X30:X39" si="18">+P30-T30</f>
        <v>26066.139999999723</v>
      </c>
      <c r="Y30" s="4"/>
      <c r="Z30" s="35">
        <f t="shared" ref="Z30:Z39" si="19">IF(T30=0,0,X30/T30)</f>
        <v>6.3404295687284937E-2</v>
      </c>
    </row>
    <row r="31" spans="1:26" s="27" customFormat="1" outlineLevel="1" collapsed="1" x14ac:dyDescent="0.25">
      <c r="A31" s="25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16641.18</v>
      </c>
      <c r="E31" s="1"/>
      <c r="F31" s="5">
        <f t="shared" si="12"/>
        <v>3.1422962741126763E-2</v>
      </c>
      <c r="G31" s="1"/>
      <c r="H31" s="1">
        <f>SUM(OSRRefH22_0x_0)</f>
        <v>18175.229999999996</v>
      </c>
      <c r="I31" s="1"/>
      <c r="J31" s="5">
        <f t="shared" si="13"/>
        <v>3.6976714648577026E-2</v>
      </c>
      <c r="K31" s="1"/>
      <c r="L31" s="1">
        <f t="shared" si="14"/>
        <v>-1534.0499999999956</v>
      </c>
      <c r="M31" s="1"/>
      <c r="N31" s="5">
        <f t="shared" si="15"/>
        <v>-8.4403333547910867E-2</v>
      </c>
      <c r="O31" s="13"/>
      <c r="P31" s="1">
        <f>SUM(OSRRefP22_0x_0)</f>
        <v>58576.37</v>
      </c>
      <c r="Q31" s="1"/>
      <c r="R31" s="5">
        <f t="shared" si="16"/>
        <v>5.2390496272316671E-2</v>
      </c>
      <c r="S31" s="1"/>
      <c r="T31" s="1">
        <f>SUM(OSRRefT22_0x_0)</f>
        <v>54243.360000000008</v>
      </c>
      <c r="U31" s="1"/>
      <c r="V31" s="5">
        <f t="shared" si="17"/>
        <v>5.0623298551476612E-2</v>
      </c>
      <c r="W31" s="1"/>
      <c r="X31" s="1">
        <f t="shared" si="18"/>
        <v>4333.0099999999948</v>
      </c>
      <c r="Y31" s="1"/>
      <c r="Z31" s="5">
        <f t="shared" si="19"/>
        <v>7.9880929204975401E-2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6">
        <v>4094.42</v>
      </c>
      <c r="E32" s="2"/>
      <c r="F32" s="7">
        <f t="shared" si="12"/>
        <v>7.7313512086597362E-3</v>
      </c>
      <c r="G32" s="2"/>
      <c r="H32" s="6">
        <v>4114.55</v>
      </c>
      <c r="I32" s="2"/>
      <c r="J32" s="7">
        <f t="shared" si="13"/>
        <v>8.3708729549668778E-3</v>
      </c>
      <c r="K32" s="2"/>
      <c r="L32" s="6">
        <f t="shared" si="14"/>
        <v>-20.130000000000109</v>
      </c>
      <c r="M32" s="2"/>
      <c r="N32" s="7">
        <f t="shared" si="15"/>
        <v>-4.8923940649646036E-3</v>
      </c>
      <c r="O32" s="11"/>
      <c r="P32" s="6">
        <v>10841.96</v>
      </c>
      <c r="Q32" s="2"/>
      <c r="R32" s="7">
        <f t="shared" si="16"/>
        <v>9.6970103296705884E-3</v>
      </c>
      <c r="S32" s="2"/>
      <c r="T32" s="6">
        <v>10637.36</v>
      </c>
      <c r="U32" s="2"/>
      <c r="V32" s="7">
        <f t="shared" si="17"/>
        <v>9.9274501262372975E-3</v>
      </c>
      <c r="W32" s="2"/>
      <c r="X32" s="6">
        <f t="shared" si="18"/>
        <v>204.59999999999854</v>
      </c>
      <c r="Y32" s="2"/>
      <c r="Z32" s="7">
        <f t="shared" si="19"/>
        <v>1.9234095677874822E-2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6">
        <v>207.49</v>
      </c>
      <c r="E33" s="2"/>
      <c r="F33" s="7">
        <f t="shared" si="12"/>
        <v>3.9179616704803337E-4</v>
      </c>
      <c r="G33" s="2"/>
      <c r="H33" s="6">
        <v>1825.73</v>
      </c>
      <c r="I33" s="2"/>
      <c r="J33" s="7">
        <f t="shared" si="13"/>
        <v>3.7143682492791867E-3</v>
      </c>
      <c r="K33" s="2"/>
      <c r="L33" s="6">
        <f t="shared" si="14"/>
        <v>-1618.24</v>
      </c>
      <c r="M33" s="2"/>
      <c r="N33" s="7">
        <f t="shared" si="15"/>
        <v>-0.88635230839171175</v>
      </c>
      <c r="O33" s="11"/>
      <c r="P33" s="6">
        <v>2867.76</v>
      </c>
      <c r="Q33" s="2"/>
      <c r="R33" s="7">
        <f t="shared" si="16"/>
        <v>2.5649143091300958E-3</v>
      </c>
      <c r="S33" s="2"/>
      <c r="T33" s="6">
        <v>2949.03</v>
      </c>
      <c r="U33" s="2"/>
      <c r="V33" s="7">
        <f t="shared" si="17"/>
        <v>2.7522193707628186E-3</v>
      </c>
      <c r="W33" s="2"/>
      <c r="X33" s="6">
        <f t="shared" si="18"/>
        <v>-81.269999999999982</v>
      </c>
      <c r="Y33" s="2"/>
      <c r="Z33" s="7">
        <f t="shared" si="19"/>
        <v>-2.7558214056825455E-2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6">
        <v>6378.17</v>
      </c>
      <c r="E34" s="2"/>
      <c r="F34" s="7">
        <f t="shared" si="12"/>
        <v>1.2043677086995781E-2</v>
      </c>
      <c r="G34" s="2"/>
      <c r="H34" s="6">
        <v>6724.22</v>
      </c>
      <c r="I34" s="2"/>
      <c r="J34" s="7">
        <f t="shared" si="13"/>
        <v>1.3680133025785902E-2</v>
      </c>
      <c r="K34" s="2"/>
      <c r="L34" s="6">
        <f t="shared" si="14"/>
        <v>-346.05000000000018</v>
      </c>
      <c r="M34" s="2"/>
      <c r="N34" s="7">
        <f t="shared" si="15"/>
        <v>-5.1463218038672168E-2</v>
      </c>
      <c r="O34" s="11"/>
      <c r="P34" s="6">
        <v>25980.329999999998</v>
      </c>
      <c r="Q34" s="2"/>
      <c r="R34" s="7">
        <f t="shared" si="16"/>
        <v>2.3236714429701887E-2</v>
      </c>
      <c r="S34" s="2"/>
      <c r="T34" s="6">
        <v>22660.58</v>
      </c>
      <c r="U34" s="2"/>
      <c r="V34" s="7">
        <f t="shared" si="17"/>
        <v>2.1148271543090614E-2</v>
      </c>
      <c r="W34" s="2"/>
      <c r="X34" s="6">
        <f t="shared" si="18"/>
        <v>3319.7499999999964</v>
      </c>
      <c r="Y34" s="2"/>
      <c r="Z34" s="7">
        <f t="shared" si="19"/>
        <v>0.14649889808645658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6">
        <v>204.24</v>
      </c>
      <c r="E35" s="2"/>
      <c r="F35" s="7">
        <f t="shared" si="12"/>
        <v>3.8565930482380032E-4</v>
      </c>
      <c r="G35" s="2"/>
      <c r="H35" s="6">
        <v>196.48</v>
      </c>
      <c r="I35" s="2"/>
      <c r="J35" s="7">
        <f t="shared" si="13"/>
        <v>3.9973001134799481E-4</v>
      </c>
      <c r="K35" s="2"/>
      <c r="L35" s="6">
        <f t="shared" si="14"/>
        <v>7.7600000000000193</v>
      </c>
      <c r="M35" s="2"/>
      <c r="N35" s="7">
        <f t="shared" si="15"/>
        <v>3.9495114006514759E-2</v>
      </c>
      <c r="O35" s="11"/>
      <c r="P35" s="6">
        <v>530.89</v>
      </c>
      <c r="Q35" s="2"/>
      <c r="R35" s="7">
        <f t="shared" si="16"/>
        <v>4.7482612128423452E-4</v>
      </c>
      <c r="S35" s="2"/>
      <c r="T35" s="6">
        <v>568.82000000000005</v>
      </c>
      <c r="U35" s="2"/>
      <c r="V35" s="7">
        <f t="shared" si="17"/>
        <v>5.3085842547458204E-4</v>
      </c>
      <c r="W35" s="2"/>
      <c r="X35" s="6">
        <f t="shared" si="18"/>
        <v>-37.930000000000064</v>
      </c>
      <c r="Y35" s="2"/>
      <c r="Z35" s="7">
        <f t="shared" si="19"/>
        <v>-6.6681902886677788E-2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6">
        <v>2296.2800000000002</v>
      </c>
      <c r="E36" s="2"/>
      <c r="F36" s="7">
        <f t="shared" si="12"/>
        <v>4.3359858425420887E-3</v>
      </c>
      <c r="G36" s="2"/>
      <c r="H36" s="6">
        <v>2206.3000000000002</v>
      </c>
      <c r="I36" s="2"/>
      <c r="J36" s="7">
        <f t="shared" si="13"/>
        <v>4.4886213560519196E-3</v>
      </c>
      <c r="K36" s="2"/>
      <c r="L36" s="6">
        <f t="shared" si="14"/>
        <v>89.980000000000018</v>
      </c>
      <c r="M36" s="2"/>
      <c r="N36" s="7">
        <f t="shared" si="15"/>
        <v>4.078321171191588E-2</v>
      </c>
      <c r="O36" s="11"/>
      <c r="P36" s="6">
        <v>6789.98</v>
      </c>
      <c r="Q36" s="2"/>
      <c r="R36" s="7">
        <f t="shared" si="16"/>
        <v>6.0729338789533172E-3</v>
      </c>
      <c r="S36" s="2"/>
      <c r="T36" s="6">
        <v>6936.48</v>
      </c>
      <c r="U36" s="2"/>
      <c r="V36" s="7">
        <f t="shared" si="17"/>
        <v>6.473557278464063E-3</v>
      </c>
      <c r="W36" s="2"/>
      <c r="X36" s="6">
        <f t="shared" si="18"/>
        <v>-146.5</v>
      </c>
      <c r="Y36" s="2"/>
      <c r="Z36" s="7">
        <f t="shared" si="19"/>
        <v>-2.1120222360620951E-2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6">
        <v>1585.47</v>
      </c>
      <c r="E37" s="2"/>
      <c r="F37" s="7">
        <f t="shared" si="12"/>
        <v>2.9937879848168365E-3</v>
      </c>
      <c r="G37" s="2"/>
      <c r="H37" s="6">
        <v>1524.78</v>
      </c>
      <c r="I37" s="2"/>
      <c r="J37" s="7">
        <f t="shared" si="13"/>
        <v>3.1020985683183813E-3</v>
      </c>
      <c r="K37" s="2"/>
      <c r="L37" s="6">
        <f t="shared" si="14"/>
        <v>60.690000000000055</v>
      </c>
      <c r="M37" s="2"/>
      <c r="N37" s="7">
        <f t="shared" si="15"/>
        <v>3.9802463306181909E-2</v>
      </c>
      <c r="O37" s="11"/>
      <c r="P37" s="6">
        <v>5065.3</v>
      </c>
      <c r="Q37" s="2"/>
      <c r="R37" s="7">
        <f t="shared" si="16"/>
        <v>4.5303862422366838E-3</v>
      </c>
      <c r="S37" s="2"/>
      <c r="T37" s="6">
        <v>4856.33</v>
      </c>
      <c r="U37" s="2"/>
      <c r="V37" s="7">
        <f t="shared" si="17"/>
        <v>4.5322311054199508E-3</v>
      </c>
      <c r="W37" s="2"/>
      <c r="X37" s="6">
        <f t="shared" si="18"/>
        <v>208.97000000000025</v>
      </c>
      <c r="Y37" s="2"/>
      <c r="Z37" s="7">
        <f t="shared" si="19"/>
        <v>4.3030436564236836E-2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6">
        <v>1182.18</v>
      </c>
      <c r="E38" s="2"/>
      <c r="F38" s="7">
        <f t="shared" si="12"/>
        <v>2.2322694720750113E-3</v>
      </c>
      <c r="G38" s="2"/>
      <c r="H38" s="6">
        <v>1133.76</v>
      </c>
      <c r="I38" s="2"/>
      <c r="J38" s="7">
        <f t="shared" si="13"/>
        <v>2.3065853912148954E-3</v>
      </c>
      <c r="K38" s="2"/>
      <c r="L38" s="6">
        <f t="shared" si="14"/>
        <v>48.420000000000073</v>
      </c>
      <c r="M38" s="2"/>
      <c r="N38" s="7">
        <f t="shared" si="15"/>
        <v>4.2707451312447145E-2</v>
      </c>
      <c r="O38" s="11"/>
      <c r="P38" s="6">
        <v>3950.96</v>
      </c>
      <c r="Q38" s="2"/>
      <c r="R38" s="7">
        <f t="shared" si="16"/>
        <v>3.533724523251821E-3</v>
      </c>
      <c r="S38" s="2"/>
      <c r="T38" s="6">
        <v>3840.35</v>
      </c>
      <c r="U38" s="2"/>
      <c r="V38" s="7">
        <f t="shared" si="17"/>
        <v>3.5840549809628896E-3</v>
      </c>
      <c r="W38" s="2"/>
      <c r="X38" s="6">
        <f t="shared" si="18"/>
        <v>110.61000000000013</v>
      </c>
      <c r="Y38" s="2"/>
      <c r="Z38" s="7">
        <f t="shared" si="19"/>
        <v>2.8802062312028885E-2</v>
      </c>
    </row>
    <row r="39" spans="1:26" s="24" customFormat="1" hidden="1" outlineLevel="2" x14ac:dyDescent="0.25">
      <c r="A39" s="26"/>
      <c r="B39" s="11" t="str">
        <f>CONCATENATE("          ", "6156", " - ", "EMPLOYEE MEALS")</f>
        <v xml:space="preserve">          6156 - EMPLOYEE MEALS</v>
      </c>
      <c r="C39" s="11"/>
      <c r="D39" s="6">
        <v>692.93</v>
      </c>
      <c r="E39" s="2"/>
      <c r="F39" s="7">
        <f t="shared" si="12"/>
        <v>1.3084356741654716E-3</v>
      </c>
      <c r="G39" s="2"/>
      <c r="H39" s="6">
        <v>449.41</v>
      </c>
      <c r="I39" s="2"/>
      <c r="J39" s="7">
        <f t="shared" si="13"/>
        <v>9.1430509161188097E-4</v>
      </c>
      <c r="K39" s="2"/>
      <c r="L39" s="6">
        <f t="shared" si="14"/>
        <v>243.51999999999992</v>
      </c>
      <c r="M39" s="2"/>
      <c r="N39" s="7">
        <f t="shared" si="15"/>
        <v>0.54186600209163105</v>
      </c>
      <c r="O39" s="11"/>
      <c r="P39" s="6">
        <v>2549.19</v>
      </c>
      <c r="Q39" s="2"/>
      <c r="R39" s="7">
        <f t="shared" si="16"/>
        <v>2.2799864380880367E-3</v>
      </c>
      <c r="S39" s="2"/>
      <c r="T39" s="6">
        <v>1794.41</v>
      </c>
      <c r="U39" s="2"/>
      <c r="V39" s="7">
        <f t="shared" si="17"/>
        <v>1.6746557210643872E-3</v>
      </c>
      <c r="W39" s="2"/>
      <c r="X39" s="6">
        <f t="shared" si="18"/>
        <v>754.78</v>
      </c>
      <c r="Y39" s="2"/>
      <c r="Z39" s="7">
        <f t="shared" si="19"/>
        <v>0.42062850742026625</v>
      </c>
    </row>
    <row r="40" spans="1:26" s="27" customFormat="1" outlineLevel="1" collapsed="1" x14ac:dyDescent="0.25">
      <c r="A40" s="25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79026.5</v>
      </c>
      <c r="E40" s="1"/>
      <c r="F40" s="5">
        <f t="shared" ref="F40:F46" si="20">IF(D$12=0,0,D40/D$12)</f>
        <v>0.14922299771180011</v>
      </c>
      <c r="G40" s="1"/>
      <c r="H40" s="1">
        <f>SUM(OSRRefH22_1x_0)</f>
        <v>78493.72</v>
      </c>
      <c r="I40" s="1"/>
      <c r="J40" s="5">
        <f t="shared" ref="J40:J46" si="21">IF(H$12=0,0,H40/H$12)</f>
        <v>0.1596920581552643</v>
      </c>
      <c r="K40" s="1"/>
      <c r="L40" s="1">
        <f t="shared" ref="L40:L46" si="22">+D40-H40</f>
        <v>532.77999999999884</v>
      </c>
      <c r="M40" s="1"/>
      <c r="N40" s="5">
        <f t="shared" ref="N40:N46" si="23">IF(H40=0,0,L40/H40)</f>
        <v>6.7875493733766069E-3</v>
      </c>
      <c r="O40" s="13"/>
      <c r="P40" s="1">
        <f>SUM(OSRRefP22_1x_0)</f>
        <v>220271.55000000002</v>
      </c>
      <c r="Q40" s="1"/>
      <c r="R40" s="5">
        <f t="shared" ref="R40:R46" si="24">IF(P$12=0,0,P40/P$12)</f>
        <v>0.19701008818355278</v>
      </c>
      <c r="S40" s="1"/>
      <c r="T40" s="1">
        <f>SUM(OSRRefT22_1x_0)</f>
        <v>212692.68</v>
      </c>
      <c r="U40" s="1"/>
      <c r="V40" s="5">
        <f t="shared" ref="V40:V46" si="25">IF(T$12=0,0,T40/T$12)</f>
        <v>0.19849812104843204</v>
      </c>
      <c r="W40" s="1"/>
      <c r="X40" s="1">
        <f t="shared" ref="X40:X46" si="26">+P40-T40</f>
        <v>7578.8700000000244</v>
      </c>
      <c r="Y40" s="1"/>
      <c r="Z40" s="5">
        <f t="shared" ref="Z40:Z46" si="27">IF(T40=0,0,X40/T40)</f>
        <v>3.5632961134346629E-2</v>
      </c>
    </row>
    <row r="41" spans="1:26" s="24" customFormat="1" hidden="1" outlineLevel="2" x14ac:dyDescent="0.25">
      <c r="A41" s="26"/>
      <c r="B41" s="11" t="str">
        <f>CONCATENATE("          ", "6002", " - ", "STAFF SALARIES")</f>
        <v xml:space="preserve">          6002 - STAFF SALARIES</v>
      </c>
      <c r="C41" s="11"/>
      <c r="D41" s="6">
        <v>19893.990000000002</v>
      </c>
      <c r="E41" s="2"/>
      <c r="F41" s="7">
        <f t="shared" si="20"/>
        <v>3.7565130990852118E-2</v>
      </c>
      <c r="G41" s="2"/>
      <c r="H41" s="6">
        <v>18457.759999999998</v>
      </c>
      <c r="I41" s="2"/>
      <c r="J41" s="7">
        <f t="shared" si="21"/>
        <v>3.7551509640973965E-2</v>
      </c>
      <c r="K41" s="2"/>
      <c r="L41" s="6">
        <f t="shared" si="22"/>
        <v>1436.2300000000032</v>
      </c>
      <c r="M41" s="2"/>
      <c r="N41" s="7">
        <f t="shared" si="23"/>
        <v>7.781171713143975E-2</v>
      </c>
      <c r="O41" s="11"/>
      <c r="P41" s="6">
        <v>71066.680000000008</v>
      </c>
      <c r="Q41" s="2"/>
      <c r="R41" s="7">
        <f t="shared" si="24"/>
        <v>6.3561784959121265E-2</v>
      </c>
      <c r="S41" s="2"/>
      <c r="T41" s="6">
        <v>67276.97</v>
      </c>
      <c r="U41" s="2"/>
      <c r="V41" s="7">
        <f t="shared" si="25"/>
        <v>6.2787079154918407E-2</v>
      </c>
      <c r="W41" s="2"/>
      <c r="X41" s="6">
        <f t="shared" si="26"/>
        <v>3789.7100000000064</v>
      </c>
      <c r="Y41" s="2"/>
      <c r="Z41" s="7">
        <f t="shared" si="27"/>
        <v>5.6329974432558515E-2</v>
      </c>
    </row>
    <row r="42" spans="1:26" s="24" customFormat="1" hidden="1" outlineLevel="2" x14ac:dyDescent="0.25">
      <c r="A42" s="26"/>
      <c r="B42" s="11" t="str">
        <f>CONCATENATE("          ", "6004", " - ", "STAFF HOURLY")</f>
        <v xml:space="preserve">          6004 - STAFF HOURLY</v>
      </c>
      <c r="C42" s="11"/>
      <c r="D42" s="6"/>
      <c r="E42" s="2"/>
      <c r="F42" s="7">
        <f t="shared" si="20"/>
        <v>0</v>
      </c>
      <c r="G42" s="2"/>
      <c r="H42" s="6"/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254.64</v>
      </c>
      <c r="Q42" s="2"/>
      <c r="R42" s="7">
        <f t="shared" si="24"/>
        <v>2.2774910720453856E-4</v>
      </c>
      <c r="S42" s="2"/>
      <c r="T42" s="6"/>
      <c r="U42" s="2"/>
      <c r="V42" s="7">
        <f t="shared" si="25"/>
        <v>0</v>
      </c>
      <c r="W42" s="2"/>
      <c r="X42" s="6">
        <f t="shared" si="26"/>
        <v>254.64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"6005", " - ", "TEMPORARY WAGES-HOURLY")</f>
        <v xml:space="preserve">          6005 - TEMPORARY WAGES-HOURLY</v>
      </c>
      <c r="C43" s="11"/>
      <c r="D43" s="6">
        <v>10771.75</v>
      </c>
      <c r="E43" s="2"/>
      <c r="F43" s="7">
        <f t="shared" si="20"/>
        <v>2.0339921742732917E-2</v>
      </c>
      <c r="G43" s="2"/>
      <c r="H43" s="6">
        <v>9116.2000000000007</v>
      </c>
      <c r="I43" s="2"/>
      <c r="J43" s="7">
        <f t="shared" si="21"/>
        <v>1.854651226308322E-2</v>
      </c>
      <c r="K43" s="2"/>
      <c r="L43" s="6">
        <f t="shared" si="22"/>
        <v>1655.5499999999993</v>
      </c>
      <c r="M43" s="2"/>
      <c r="N43" s="7">
        <f t="shared" si="23"/>
        <v>0.18160527412737754</v>
      </c>
      <c r="O43" s="11"/>
      <c r="P43" s="6">
        <v>27163.06</v>
      </c>
      <c r="Q43" s="2"/>
      <c r="R43" s="7">
        <f t="shared" si="24"/>
        <v>2.4294543920606794E-2</v>
      </c>
      <c r="S43" s="2"/>
      <c r="T43" s="6">
        <v>24918.89</v>
      </c>
      <c r="U43" s="2"/>
      <c r="V43" s="7">
        <f t="shared" si="25"/>
        <v>2.3255867778865555E-2</v>
      </c>
      <c r="W43" s="2"/>
      <c r="X43" s="6">
        <f t="shared" si="26"/>
        <v>2244.1700000000019</v>
      </c>
      <c r="Y43" s="2"/>
      <c r="Z43" s="7">
        <f t="shared" si="27"/>
        <v>9.0058987378651381E-2</v>
      </c>
    </row>
    <row r="44" spans="1:26" s="24" customFormat="1" hidden="1" outlineLevel="2" x14ac:dyDescent="0.25">
      <c r="A44" s="26"/>
      <c r="B44" s="11" t="str">
        <f>CONCATENATE("          ", "6006", " - ", "TEMPORARY PART TIME")</f>
        <v xml:space="preserve">          6006 - TEMPORARY PART TIME</v>
      </c>
      <c r="C44" s="11"/>
      <c r="D44" s="6">
        <v>3345.47</v>
      </c>
      <c r="E44" s="2"/>
      <c r="F44" s="7">
        <f t="shared" si="20"/>
        <v>6.3171349124014845E-3</v>
      </c>
      <c r="G44" s="2"/>
      <c r="H44" s="6">
        <v>6138.61</v>
      </c>
      <c r="I44" s="2"/>
      <c r="J44" s="7">
        <f t="shared" si="21"/>
        <v>1.2488734960102374E-2</v>
      </c>
      <c r="K44" s="2"/>
      <c r="L44" s="6">
        <f t="shared" si="22"/>
        <v>-2793.14</v>
      </c>
      <c r="M44" s="2"/>
      <c r="N44" s="7">
        <f t="shared" si="23"/>
        <v>-0.45501180234613375</v>
      </c>
      <c r="O44" s="11"/>
      <c r="P44" s="6">
        <v>6689.07</v>
      </c>
      <c r="Q44" s="2"/>
      <c r="R44" s="7">
        <f t="shared" si="24"/>
        <v>5.982680335095282E-3</v>
      </c>
      <c r="S44" s="2"/>
      <c r="T44" s="6">
        <v>14471.32</v>
      </c>
      <c r="U44" s="2"/>
      <c r="V44" s="7">
        <f t="shared" si="25"/>
        <v>1.3505541559260974E-2</v>
      </c>
      <c r="W44" s="2"/>
      <c r="X44" s="6">
        <f t="shared" si="26"/>
        <v>-7782.25</v>
      </c>
      <c r="Y44" s="2"/>
      <c r="Z44" s="7">
        <f t="shared" si="27"/>
        <v>-0.53777056965086811</v>
      </c>
    </row>
    <row r="45" spans="1:26" s="24" customFormat="1" hidden="1" outlineLevel="2" x14ac:dyDescent="0.25">
      <c r="A45" s="26"/>
      <c r="B45" s="11" t="str">
        <f>CONCATENATE("          ", "6007", " - ", "STUDENT HOURLY")</f>
        <v xml:space="preserve">          6007 - STUDENT HOURLY</v>
      </c>
      <c r="C45" s="11"/>
      <c r="D45" s="6">
        <v>43455.29</v>
      </c>
      <c r="E45" s="2"/>
      <c r="F45" s="7">
        <f t="shared" si="20"/>
        <v>8.205511619818176E-2</v>
      </c>
      <c r="G45" s="2"/>
      <c r="H45" s="6">
        <v>41623.020000000004</v>
      </c>
      <c r="I45" s="2"/>
      <c r="J45" s="7">
        <f t="shared" si="21"/>
        <v>8.4680223213242159E-2</v>
      </c>
      <c r="K45" s="2"/>
      <c r="L45" s="6">
        <f t="shared" si="22"/>
        <v>1832.2699999999968</v>
      </c>
      <c r="M45" s="2"/>
      <c r="N45" s="7">
        <f t="shared" si="23"/>
        <v>4.4020592451004197E-2</v>
      </c>
      <c r="O45" s="11"/>
      <c r="P45" s="6">
        <v>108250.31</v>
      </c>
      <c r="Q45" s="2"/>
      <c r="R45" s="7">
        <f t="shared" si="24"/>
        <v>9.6818690924892134E-2</v>
      </c>
      <c r="S45" s="2"/>
      <c r="T45" s="6">
        <v>97331.3</v>
      </c>
      <c r="U45" s="2"/>
      <c r="V45" s="7">
        <f t="shared" si="25"/>
        <v>9.0835660960223233E-2</v>
      </c>
      <c r="W45" s="2"/>
      <c r="X45" s="6">
        <f t="shared" si="26"/>
        <v>10919.009999999995</v>
      </c>
      <c r="Y45" s="2"/>
      <c r="Z45" s="7">
        <f t="shared" si="27"/>
        <v>0.11218395315792551</v>
      </c>
    </row>
    <row r="46" spans="1:26" s="24" customFormat="1" hidden="1" outlineLevel="2" x14ac:dyDescent="0.25">
      <c r="A46" s="26"/>
      <c r="B46" s="11" t="str">
        <f>CONCATENATE("          ", "6008", " - ", "STUDENT HOURLY-FICA EXEMPT")</f>
        <v xml:space="preserve">          6008 - STUDENT HOURLY-FICA EXEMPT</v>
      </c>
      <c r="C46" s="11"/>
      <c r="D46" s="6">
        <v>1560</v>
      </c>
      <c r="E46" s="2"/>
      <c r="F46" s="7">
        <f t="shared" si="20"/>
        <v>2.9456938676318471E-3</v>
      </c>
      <c r="G46" s="2"/>
      <c r="H46" s="6">
        <v>3158.13</v>
      </c>
      <c r="I46" s="2"/>
      <c r="J46" s="7">
        <f t="shared" si="21"/>
        <v>6.4250780778625964E-3</v>
      </c>
      <c r="K46" s="2"/>
      <c r="L46" s="6">
        <f t="shared" si="22"/>
        <v>-1598.13</v>
      </c>
      <c r="M46" s="2"/>
      <c r="N46" s="7">
        <f t="shared" si="23"/>
        <v>-0.50603680025838071</v>
      </c>
      <c r="O46" s="11"/>
      <c r="P46" s="6">
        <v>6847.79</v>
      </c>
      <c r="Q46" s="2"/>
      <c r="R46" s="7">
        <f t="shared" si="24"/>
        <v>6.1246389366327644E-3</v>
      </c>
      <c r="S46" s="2"/>
      <c r="T46" s="6">
        <v>8694.2000000000007</v>
      </c>
      <c r="U46" s="2"/>
      <c r="V46" s="7">
        <f t="shared" si="25"/>
        <v>8.1139715951638672E-3</v>
      </c>
      <c r="W46" s="2"/>
      <c r="X46" s="6">
        <f t="shared" si="26"/>
        <v>-1846.4100000000008</v>
      </c>
      <c r="Y46" s="2"/>
      <c r="Z46" s="7">
        <f t="shared" si="27"/>
        <v>-0.21237261622690998</v>
      </c>
    </row>
    <row r="47" spans="1:26" s="27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434.42</v>
      </c>
      <c r="E47" s="1"/>
      <c r="F47" s="5">
        <f t="shared" ref="F47:F55" si="28">IF(D$12=0,0,D47/D$12)</f>
        <v>8.203002115234789E-4</v>
      </c>
      <c r="G47" s="1"/>
      <c r="H47" s="1">
        <f>SUM(OSRRefH22_2x_0)</f>
        <v>145.34</v>
      </c>
      <c r="I47" s="1"/>
      <c r="J47" s="5">
        <f t="shared" ref="J47:J55" si="29">IF(H$12=0,0,H47/H$12)</f>
        <v>2.9568790639921403E-4</v>
      </c>
      <c r="K47" s="1"/>
      <c r="L47" s="1">
        <f t="shared" ref="L47:L55" si="30">+D47-H47</f>
        <v>289.08000000000004</v>
      </c>
      <c r="M47" s="1"/>
      <c r="N47" s="5">
        <f t="shared" ref="N47:N55" si="31">IF(H47=0,0,L47/H47)</f>
        <v>1.9889913306729052</v>
      </c>
      <c r="O47" s="13"/>
      <c r="P47" s="1">
        <f>SUM(OSRRefP22_2x_0)</f>
        <v>1052.94</v>
      </c>
      <c r="Q47" s="1"/>
      <c r="R47" s="5">
        <f t="shared" ref="R47:R55" si="32">IF(P$12=0,0,P47/P$12)</f>
        <v>9.4174577811791886E-4</v>
      </c>
      <c r="S47" s="1"/>
      <c r="T47" s="1">
        <f>SUM(OSRRefT22_2x_0)</f>
        <v>1169.3399999999999</v>
      </c>
      <c r="U47" s="1"/>
      <c r="V47" s="5">
        <f t="shared" ref="V47:V55" si="33">IF(T$12=0,0,T47/T$12)</f>
        <v>1.0913012749981499E-3</v>
      </c>
      <c r="W47" s="1"/>
      <c r="X47" s="1">
        <f t="shared" ref="X47:X55" si="34">+P47-T47</f>
        <v>-116.39999999999986</v>
      </c>
      <c r="Y47" s="1"/>
      <c r="Z47" s="5">
        <f t="shared" ref="Z47:Z55" si="35">IF(T47=0,0,X47/T47)</f>
        <v>-9.9543332136076648E-2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6">
        <v>434.42</v>
      </c>
      <c r="E48" s="2"/>
      <c r="F48" s="7">
        <f t="shared" si="28"/>
        <v>8.203002115234789E-4</v>
      </c>
      <c r="G48" s="2"/>
      <c r="H48" s="6">
        <v>145.34</v>
      </c>
      <c r="I48" s="2"/>
      <c r="J48" s="7">
        <f t="shared" si="29"/>
        <v>2.9568790639921403E-4</v>
      </c>
      <c r="K48" s="2"/>
      <c r="L48" s="6">
        <f t="shared" si="30"/>
        <v>289.08000000000004</v>
      </c>
      <c r="M48" s="2"/>
      <c r="N48" s="7">
        <f t="shared" si="31"/>
        <v>1.9889913306729052</v>
      </c>
      <c r="O48" s="11"/>
      <c r="P48" s="6">
        <v>1052.94</v>
      </c>
      <c r="Q48" s="2"/>
      <c r="R48" s="7">
        <f t="shared" si="32"/>
        <v>9.4174577811791886E-4</v>
      </c>
      <c r="S48" s="2"/>
      <c r="T48" s="6">
        <v>1169.3399999999999</v>
      </c>
      <c r="U48" s="2"/>
      <c r="V48" s="7">
        <f t="shared" si="33"/>
        <v>1.0913012749981499E-3</v>
      </c>
      <c r="W48" s="2"/>
      <c r="X48" s="6">
        <f t="shared" si="34"/>
        <v>-116.39999999999986</v>
      </c>
      <c r="Y48" s="2"/>
      <c r="Z48" s="7">
        <f t="shared" si="35"/>
        <v>-9.9543332136076648E-2</v>
      </c>
    </row>
    <row r="49" spans="1:26" s="27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-54.11</v>
      </c>
      <c r="E49" s="1"/>
      <c r="F49" s="5">
        <f t="shared" si="28"/>
        <v>-1.0217403537023029E-4</v>
      </c>
      <c r="G49" s="1"/>
      <c r="H49" s="1">
        <f>SUM(OSRRefH22_3x_0)</f>
        <v>-123.24</v>
      </c>
      <c r="I49" s="1"/>
      <c r="J49" s="5">
        <f t="shared" si="29"/>
        <v>-2.5072641794852854E-4</v>
      </c>
      <c r="K49" s="1"/>
      <c r="L49" s="1">
        <f t="shared" si="30"/>
        <v>69.13</v>
      </c>
      <c r="M49" s="1"/>
      <c r="N49" s="5">
        <f t="shared" si="31"/>
        <v>-0.56093800714053876</v>
      </c>
      <c r="O49" s="13"/>
      <c r="P49" s="1">
        <f>SUM(OSRRefP22_3x_0)</f>
        <v>-190.95</v>
      </c>
      <c r="Q49" s="1"/>
      <c r="R49" s="5">
        <f t="shared" si="32"/>
        <v>-1.7078499851047219E-4</v>
      </c>
      <c r="S49" s="1"/>
      <c r="T49" s="1">
        <f>SUM(OSRRefT22_3x_0)</f>
        <v>-458.72</v>
      </c>
      <c r="U49" s="1"/>
      <c r="V49" s="5">
        <f t="shared" si="33"/>
        <v>-4.2810621450318245E-4</v>
      </c>
      <c r="W49" s="1"/>
      <c r="X49" s="1">
        <f t="shared" si="34"/>
        <v>267.77000000000004</v>
      </c>
      <c r="Y49" s="1"/>
      <c r="Z49" s="5">
        <f t="shared" si="35"/>
        <v>-0.58373299616323693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6">
        <v>-54.11</v>
      </c>
      <c r="E50" s="2"/>
      <c r="F50" s="7">
        <f t="shared" si="28"/>
        <v>-1.0217403537023029E-4</v>
      </c>
      <c r="G50" s="2"/>
      <c r="H50" s="6">
        <v>-123.24</v>
      </c>
      <c r="I50" s="2"/>
      <c r="J50" s="7">
        <f t="shared" si="29"/>
        <v>-2.5072641794852854E-4</v>
      </c>
      <c r="K50" s="2"/>
      <c r="L50" s="6">
        <f t="shared" si="30"/>
        <v>69.13</v>
      </c>
      <c r="M50" s="2"/>
      <c r="N50" s="7">
        <f t="shared" si="31"/>
        <v>-0.56093800714053876</v>
      </c>
      <c r="O50" s="11"/>
      <c r="P50" s="6">
        <v>-190.95</v>
      </c>
      <c r="Q50" s="2"/>
      <c r="R50" s="7">
        <f t="shared" si="32"/>
        <v>-1.7078499851047219E-4</v>
      </c>
      <c r="S50" s="2"/>
      <c r="T50" s="6">
        <v>-458.72</v>
      </c>
      <c r="U50" s="2"/>
      <c r="V50" s="7">
        <f t="shared" si="33"/>
        <v>-4.2810621450318245E-4</v>
      </c>
      <c r="W50" s="2"/>
      <c r="X50" s="6">
        <f t="shared" si="34"/>
        <v>267.77000000000004</v>
      </c>
      <c r="Y50" s="2"/>
      <c r="Z50" s="7">
        <f t="shared" si="35"/>
        <v>-0.58373299616323693</v>
      </c>
    </row>
    <row r="51" spans="1:26" s="27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17899.3</v>
      </c>
      <c r="E51" s="1"/>
      <c r="F51" s="5">
        <f t="shared" si="28"/>
        <v>3.3798627080065848E-2</v>
      </c>
      <c r="G51" s="1"/>
      <c r="H51" s="1">
        <f>SUM(OSRRefH22_4x_0)</f>
        <v>15328.009999999998</v>
      </c>
      <c r="I51" s="1"/>
      <c r="J51" s="5">
        <f t="shared" si="29"/>
        <v>3.1184169438325415E-2</v>
      </c>
      <c r="K51" s="1"/>
      <c r="L51" s="1">
        <f t="shared" si="30"/>
        <v>2571.2900000000009</v>
      </c>
      <c r="M51" s="1"/>
      <c r="N51" s="5">
        <f t="shared" si="31"/>
        <v>0.1677510648805684</v>
      </c>
      <c r="O51" s="13"/>
      <c r="P51" s="1">
        <f>SUM(OSRRefP22_4x_0)</f>
        <v>37759.35</v>
      </c>
      <c r="Q51" s="1"/>
      <c r="R51" s="5">
        <f t="shared" si="32"/>
        <v>3.3771827879059427E-2</v>
      </c>
      <c r="S51" s="1"/>
      <c r="T51" s="1">
        <f>SUM(OSRRefT22_4x_0)</f>
        <v>34019.39</v>
      </c>
      <c r="U51" s="1"/>
      <c r="V51" s="5">
        <f t="shared" si="33"/>
        <v>3.1749023963654123E-2</v>
      </c>
      <c r="W51" s="1"/>
      <c r="X51" s="1">
        <f t="shared" si="34"/>
        <v>3739.9599999999991</v>
      </c>
      <c r="Y51" s="1"/>
      <c r="Z51" s="5">
        <f t="shared" si="35"/>
        <v>0.10993612760252312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6">
        <v>17899.3</v>
      </c>
      <c r="E52" s="2"/>
      <c r="F52" s="7">
        <f t="shared" si="28"/>
        <v>3.3798627080065848E-2</v>
      </c>
      <c r="G52" s="2"/>
      <c r="H52" s="6">
        <v>15328.009999999998</v>
      </c>
      <c r="I52" s="2"/>
      <c r="J52" s="7">
        <f t="shared" si="29"/>
        <v>3.1184169438325415E-2</v>
      </c>
      <c r="K52" s="2"/>
      <c r="L52" s="6">
        <f t="shared" si="30"/>
        <v>2571.2900000000009</v>
      </c>
      <c r="M52" s="2"/>
      <c r="N52" s="7">
        <f t="shared" si="31"/>
        <v>0.1677510648805684</v>
      </c>
      <c r="O52" s="11"/>
      <c r="P52" s="6">
        <v>37759.35</v>
      </c>
      <c r="Q52" s="2"/>
      <c r="R52" s="7">
        <f t="shared" si="32"/>
        <v>3.3771827879059427E-2</v>
      </c>
      <c r="S52" s="2"/>
      <c r="T52" s="6">
        <v>34019.39</v>
      </c>
      <c r="U52" s="2"/>
      <c r="V52" s="7">
        <f t="shared" si="33"/>
        <v>3.1749023963654123E-2</v>
      </c>
      <c r="W52" s="2"/>
      <c r="X52" s="6">
        <f t="shared" si="34"/>
        <v>3739.9599999999991</v>
      </c>
      <c r="Y52" s="2"/>
      <c r="Z52" s="7">
        <f t="shared" si="35"/>
        <v>0.10993612760252312</v>
      </c>
    </row>
    <row r="53" spans="1:26" s="27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8403.48</v>
      </c>
      <c r="E53" s="1"/>
      <c r="F53" s="5">
        <f t="shared" si="28"/>
        <v>1.5867999681260816E-2</v>
      </c>
      <c r="G53" s="1"/>
      <c r="H53" s="1">
        <f>SUM(OSRRefH22_5x_0)</f>
        <v>8364.08</v>
      </c>
      <c r="I53" s="1"/>
      <c r="J53" s="5">
        <f t="shared" si="29"/>
        <v>1.7016356847086404E-2</v>
      </c>
      <c r="K53" s="1"/>
      <c r="L53" s="1">
        <f t="shared" si="30"/>
        <v>39.399999999999636</v>
      </c>
      <c r="M53" s="1"/>
      <c r="N53" s="5">
        <f t="shared" si="31"/>
        <v>4.7106196975638245E-3</v>
      </c>
      <c r="O53" s="13"/>
      <c r="P53" s="1">
        <f>SUM(OSRRefP22_5x_0)</f>
        <v>33613.919999999998</v>
      </c>
      <c r="Q53" s="1"/>
      <c r="R53" s="5">
        <f t="shared" si="32"/>
        <v>3.0064170081859812E-2</v>
      </c>
      <c r="S53" s="1"/>
      <c r="T53" s="1">
        <f>SUM(OSRRefT22_5x_0)</f>
        <v>33456.32</v>
      </c>
      <c r="U53" s="1"/>
      <c r="V53" s="5">
        <f t="shared" si="33"/>
        <v>3.1223531798062244E-2</v>
      </c>
      <c r="W53" s="1"/>
      <c r="X53" s="1">
        <f t="shared" si="34"/>
        <v>157.59999999999854</v>
      </c>
      <c r="Y53" s="1"/>
      <c r="Z53" s="5">
        <f t="shared" si="35"/>
        <v>4.7106196975638245E-3</v>
      </c>
    </row>
    <row r="54" spans="1:26" s="24" customFormat="1" hidden="1" outlineLevel="2" x14ac:dyDescent="0.25">
      <c r="A54" s="26"/>
      <c r="B54" s="11" t="str">
        <f>CONCATENATE("          ", "6321", " - ", "BUILDING DEPRECIATION")</f>
        <v xml:space="preserve">          6321 - BUILDING DEPRECIATION</v>
      </c>
      <c r="C54" s="11"/>
      <c r="D54" s="6">
        <v>5080.51</v>
      </c>
      <c r="E54" s="2"/>
      <c r="F54" s="7">
        <f t="shared" si="28"/>
        <v>9.5933507381040246E-3</v>
      </c>
      <c r="G54" s="2"/>
      <c r="H54" s="6">
        <v>5080.51</v>
      </c>
      <c r="I54" s="2"/>
      <c r="J54" s="7">
        <f t="shared" si="29"/>
        <v>1.0336076546995121E-2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20322.04</v>
      </c>
      <c r="Q54" s="2"/>
      <c r="R54" s="7">
        <f t="shared" si="32"/>
        <v>1.8175960047812287E-2</v>
      </c>
      <c r="S54" s="2"/>
      <c r="T54" s="6">
        <v>20322.04</v>
      </c>
      <c r="U54" s="2"/>
      <c r="V54" s="7">
        <f t="shared" si="33"/>
        <v>1.8965799649856677E-2</v>
      </c>
      <c r="W54" s="2"/>
      <c r="X54" s="6">
        <f t="shared" si="34"/>
        <v>0</v>
      </c>
      <c r="Y54" s="2"/>
      <c r="Z54" s="7">
        <f t="shared" si="35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3322.97</v>
      </c>
      <c r="E55" s="2"/>
      <c r="F55" s="7">
        <f t="shared" si="28"/>
        <v>6.2746489431567938E-3</v>
      </c>
      <c r="G55" s="2"/>
      <c r="H55" s="6">
        <v>3283.57</v>
      </c>
      <c r="I55" s="2"/>
      <c r="J55" s="7">
        <f t="shared" si="29"/>
        <v>6.6802803000912845E-3</v>
      </c>
      <c r="K55" s="2"/>
      <c r="L55" s="6">
        <f t="shared" si="30"/>
        <v>39.399999999999636</v>
      </c>
      <c r="M55" s="2"/>
      <c r="N55" s="7">
        <f t="shared" si="31"/>
        <v>1.199913508772453E-2</v>
      </c>
      <c r="O55" s="11"/>
      <c r="P55" s="6">
        <v>13291.88</v>
      </c>
      <c r="Q55" s="2"/>
      <c r="R55" s="7">
        <f t="shared" si="32"/>
        <v>1.1888210034047525E-2</v>
      </c>
      <c r="S55" s="2"/>
      <c r="T55" s="6">
        <v>13134.28</v>
      </c>
      <c r="U55" s="2"/>
      <c r="V55" s="7">
        <f t="shared" si="33"/>
        <v>1.2257732148205571E-2</v>
      </c>
      <c r="W55" s="2"/>
      <c r="X55" s="6">
        <f t="shared" si="34"/>
        <v>157.59999999999854</v>
      </c>
      <c r="Y55" s="2"/>
      <c r="Z55" s="7">
        <f t="shared" si="35"/>
        <v>1.199913508772453E-2</v>
      </c>
    </row>
    <row r="56" spans="1:26" s="27" customFormat="1" outlineLevel="1" collapsed="1" x14ac:dyDescent="0.25">
      <c r="A56" s="25"/>
      <c r="B56" s="13" t="str">
        <f>CONCATENATE("     ","Discounts and Markdowns                           ")</f>
        <v xml:space="preserve">     Discounts and Markdowns                           </v>
      </c>
      <c r="C56" s="13"/>
      <c r="D56" s="1">
        <f>SUM(OSRRefD22_6x_0)</f>
        <v>17.260000000000002</v>
      </c>
      <c r="E56" s="1"/>
      <c r="F56" s="5">
        <f t="shared" ref="F56:F75" si="36">IF(D$12=0,0,D56/D$12)</f>
        <v>3.2591459073926721E-5</v>
      </c>
      <c r="G56" s="1"/>
      <c r="H56" s="1">
        <f>SUM(OSRRefH22_6x_0)</f>
        <v>23.76</v>
      </c>
      <c r="I56" s="1"/>
      <c r="J56" s="5">
        <f t="shared" ref="J56:J75" si="37">IF(H$12=0,0,H56/H$12)</f>
        <v>4.8338686225714365E-5</v>
      </c>
      <c r="K56" s="1"/>
      <c r="L56" s="1">
        <f t="shared" ref="L56:L75" si="38">+D56-H56</f>
        <v>-6.5</v>
      </c>
      <c r="M56" s="1"/>
      <c r="N56" s="5">
        <f t="shared" ref="N56:N75" si="39">IF(H56=0,0,L56/H56)</f>
        <v>-0.27356902356902357</v>
      </c>
      <c r="O56" s="13"/>
      <c r="P56" s="1">
        <f>SUM(OSRRefP22_6x_0)</f>
        <v>49.16</v>
      </c>
      <c r="Q56" s="1"/>
      <c r="R56" s="5">
        <f t="shared" ref="R56:R75" si="40">IF(P$12=0,0,P56/P$12)</f>
        <v>4.3968528550797656E-5</v>
      </c>
      <c r="S56" s="1"/>
      <c r="T56" s="1">
        <f>SUM(OSRRefT22_6x_0)</f>
        <v>54.57</v>
      </c>
      <c r="U56" s="1"/>
      <c r="V56" s="5">
        <f t="shared" ref="V56:V75" si="41">IF(T$12=0,0,T56/T$12)</f>
        <v>5.0928139443317635E-5</v>
      </c>
      <c r="W56" s="1"/>
      <c r="X56" s="1">
        <f t="shared" ref="X56:X75" si="42">+P56-T56</f>
        <v>-5.4100000000000037</v>
      </c>
      <c r="Y56" s="1"/>
      <c r="Z56" s="5">
        <f t="shared" ref="Z56:Z75" si="43">IF(T56=0,0,X56/T56)</f>
        <v>-9.913872090892438E-2</v>
      </c>
    </row>
    <row r="57" spans="1:26" s="24" customFormat="1" hidden="1" outlineLevel="2" x14ac:dyDescent="0.25">
      <c r="A57" s="26"/>
      <c r="B57" s="11" t="str">
        <f>CONCATENATE("          ", "6382", " - ", "DISCOUNTS/MARK DOWNS")</f>
        <v xml:space="preserve">          6382 - DISCOUNTS/MARK DOWNS</v>
      </c>
      <c r="C57" s="11"/>
      <c r="D57" s="6">
        <v>17.260000000000002</v>
      </c>
      <c r="E57" s="2"/>
      <c r="F57" s="7">
        <f t="shared" si="36"/>
        <v>3.2591459073926721E-5</v>
      </c>
      <c r="G57" s="2"/>
      <c r="H57" s="6">
        <v>23.76</v>
      </c>
      <c r="I57" s="2"/>
      <c r="J57" s="7">
        <f t="shared" si="37"/>
        <v>4.8338686225714365E-5</v>
      </c>
      <c r="K57" s="2"/>
      <c r="L57" s="6">
        <f t="shared" si="38"/>
        <v>-6.5</v>
      </c>
      <c r="M57" s="2"/>
      <c r="N57" s="7">
        <f t="shared" si="39"/>
        <v>-0.27356902356902357</v>
      </c>
      <c r="O57" s="11"/>
      <c r="P57" s="6">
        <v>49.16</v>
      </c>
      <c r="Q57" s="2"/>
      <c r="R57" s="7">
        <f t="shared" si="40"/>
        <v>4.3968528550797656E-5</v>
      </c>
      <c r="S57" s="2"/>
      <c r="T57" s="6">
        <v>54.57</v>
      </c>
      <c r="U57" s="2"/>
      <c r="V57" s="7">
        <f t="shared" si="41"/>
        <v>5.0928139443317635E-5</v>
      </c>
      <c r="W57" s="2"/>
      <c r="X57" s="6">
        <f t="shared" si="42"/>
        <v>-5.4100000000000037</v>
      </c>
      <c r="Y57" s="2"/>
      <c r="Z57" s="7">
        <f t="shared" si="43"/>
        <v>-9.913872090892438E-2</v>
      </c>
    </row>
    <row r="58" spans="1:26" s="27" customFormat="1" outlineLevel="1" collapsed="1" x14ac:dyDescent="0.25">
      <c r="A58" s="25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33.28</v>
      </c>
      <c r="E58" s="1"/>
      <c r="F58" s="5">
        <f t="shared" si="36"/>
        <v>6.2841469176146085E-5</v>
      </c>
      <c r="G58" s="1"/>
      <c r="H58" s="1">
        <f>SUM(OSRRefH22_7x_0)</f>
        <v>42.98</v>
      </c>
      <c r="I58" s="1"/>
      <c r="J58" s="5">
        <f t="shared" si="37"/>
        <v>8.7440939982373869E-5</v>
      </c>
      <c r="K58" s="1"/>
      <c r="L58" s="1">
        <f t="shared" si="38"/>
        <v>-9.6999999999999957</v>
      </c>
      <c r="M58" s="1"/>
      <c r="N58" s="5">
        <f t="shared" si="39"/>
        <v>-0.22568636575151224</v>
      </c>
      <c r="O58" s="13"/>
      <c r="P58" s="1">
        <f>SUM(OSRRefP22_7x_0)</f>
        <v>33.28</v>
      </c>
      <c r="Q58" s="1"/>
      <c r="R58" s="5">
        <f t="shared" si="40"/>
        <v>2.9765513225601019E-5</v>
      </c>
      <c r="S58" s="1"/>
      <c r="T58" s="1">
        <f>SUM(OSRRefT22_7x_0)</f>
        <v>119.16</v>
      </c>
      <c r="U58" s="1"/>
      <c r="V58" s="5">
        <f t="shared" si="41"/>
        <v>1.112075700213621E-4</v>
      </c>
      <c r="W58" s="1"/>
      <c r="X58" s="1">
        <f t="shared" si="42"/>
        <v>-85.88</v>
      </c>
      <c r="Y58" s="1"/>
      <c r="Z58" s="5">
        <f t="shared" si="43"/>
        <v>-0.72071164820409528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6">
        <v>33.28</v>
      </c>
      <c r="E59" s="2"/>
      <c r="F59" s="7">
        <f t="shared" si="36"/>
        <v>6.2841469176146085E-5</v>
      </c>
      <c r="G59" s="2"/>
      <c r="H59" s="6">
        <v>42.98</v>
      </c>
      <c r="I59" s="2"/>
      <c r="J59" s="7">
        <f t="shared" si="37"/>
        <v>8.7440939982373869E-5</v>
      </c>
      <c r="K59" s="2"/>
      <c r="L59" s="6">
        <f t="shared" si="38"/>
        <v>-9.6999999999999957</v>
      </c>
      <c r="M59" s="2"/>
      <c r="N59" s="7">
        <f t="shared" si="39"/>
        <v>-0.22568636575151224</v>
      </c>
      <c r="O59" s="11"/>
      <c r="P59" s="6">
        <v>33.28</v>
      </c>
      <c r="Q59" s="2"/>
      <c r="R59" s="7">
        <f t="shared" si="40"/>
        <v>2.9765513225601019E-5</v>
      </c>
      <c r="S59" s="2"/>
      <c r="T59" s="6">
        <v>119.16</v>
      </c>
      <c r="U59" s="2"/>
      <c r="V59" s="7">
        <f t="shared" si="41"/>
        <v>1.112075700213621E-4</v>
      </c>
      <c r="W59" s="2"/>
      <c r="X59" s="6">
        <f t="shared" si="42"/>
        <v>-85.88</v>
      </c>
      <c r="Y59" s="2"/>
      <c r="Z59" s="7">
        <f t="shared" si="43"/>
        <v>-0.72071164820409528</v>
      </c>
    </row>
    <row r="60" spans="1:26" s="27" customFormat="1" outlineLevel="1" collapsed="1" x14ac:dyDescent="0.25">
      <c r="A60" s="25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123.73</v>
      </c>
      <c r="E60" s="1"/>
      <c r="F60" s="5">
        <f t="shared" si="36"/>
        <v>2.3363506553980031E-4</v>
      </c>
      <c r="G60" s="1"/>
      <c r="H60" s="1">
        <f>SUM(OSRRefH22_8x_0)</f>
        <v>113.78</v>
      </c>
      <c r="I60" s="1"/>
      <c r="J60" s="5">
        <f t="shared" si="37"/>
        <v>2.3148045954384596E-4</v>
      </c>
      <c r="K60" s="1"/>
      <c r="L60" s="1">
        <f t="shared" si="38"/>
        <v>9.9500000000000028</v>
      </c>
      <c r="M60" s="1"/>
      <c r="N60" s="5">
        <f t="shared" si="39"/>
        <v>8.7449463877658659E-2</v>
      </c>
      <c r="O60" s="13"/>
      <c r="P60" s="1">
        <f>SUM(OSRRefP22_8x_0)</f>
        <v>472.94</v>
      </c>
      <c r="Q60" s="1"/>
      <c r="R60" s="5">
        <f t="shared" si="40"/>
        <v>4.229958481044395E-4</v>
      </c>
      <c r="S60" s="1"/>
      <c r="T60" s="1">
        <f>SUM(OSRRefT22_8x_0)</f>
        <v>469.21</v>
      </c>
      <c r="U60" s="1"/>
      <c r="V60" s="5">
        <f t="shared" si="41"/>
        <v>4.3789613905440841E-4</v>
      </c>
      <c r="W60" s="1"/>
      <c r="X60" s="1">
        <f t="shared" si="42"/>
        <v>3.7300000000000182</v>
      </c>
      <c r="Y60" s="1"/>
      <c r="Z60" s="5">
        <f t="shared" si="43"/>
        <v>7.9495321924085548E-3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6">
        <v>123.73</v>
      </c>
      <c r="E61" s="2"/>
      <c r="F61" s="7">
        <f t="shared" si="36"/>
        <v>2.3363506553980031E-4</v>
      </c>
      <c r="G61" s="2"/>
      <c r="H61" s="6">
        <v>113.78</v>
      </c>
      <c r="I61" s="2"/>
      <c r="J61" s="7">
        <f t="shared" si="37"/>
        <v>2.3148045954384596E-4</v>
      </c>
      <c r="K61" s="2"/>
      <c r="L61" s="6">
        <f t="shared" si="38"/>
        <v>9.9500000000000028</v>
      </c>
      <c r="M61" s="2"/>
      <c r="N61" s="7">
        <f t="shared" si="39"/>
        <v>8.7449463877658659E-2</v>
      </c>
      <c r="O61" s="11"/>
      <c r="P61" s="6">
        <v>472.94</v>
      </c>
      <c r="Q61" s="2"/>
      <c r="R61" s="7">
        <f t="shared" si="40"/>
        <v>4.229958481044395E-4</v>
      </c>
      <c r="S61" s="2"/>
      <c r="T61" s="6">
        <v>469.21</v>
      </c>
      <c r="U61" s="2"/>
      <c r="V61" s="7">
        <f t="shared" si="41"/>
        <v>4.3789613905440841E-4</v>
      </c>
      <c r="W61" s="2"/>
      <c r="X61" s="6">
        <f t="shared" si="42"/>
        <v>3.7300000000000182</v>
      </c>
      <c r="Y61" s="2"/>
      <c r="Z61" s="7">
        <f t="shared" si="43"/>
        <v>7.9495321924085548E-3</v>
      </c>
    </row>
    <row r="62" spans="1:26" s="27" customFormat="1" outlineLevel="1" collapsed="1" x14ac:dyDescent="0.25">
      <c r="A62" s="25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SUM(OSRRefD22_9x_0)</f>
        <v>25.76</v>
      </c>
      <c r="E62" s="1"/>
      <c r="F62" s="5">
        <f t="shared" si="36"/>
        <v>4.8641714121920761E-5</v>
      </c>
      <c r="G62" s="1"/>
      <c r="H62" s="1">
        <f>SUM(OSRRefH22_9x_0)</f>
        <v>54.23</v>
      </c>
      <c r="I62" s="1"/>
      <c r="J62" s="5">
        <f t="shared" si="37"/>
        <v>1.1032857550591287E-4</v>
      </c>
      <c r="K62" s="1"/>
      <c r="L62" s="1">
        <f t="shared" si="38"/>
        <v>-28.469999999999995</v>
      </c>
      <c r="M62" s="1"/>
      <c r="N62" s="5">
        <f t="shared" si="39"/>
        <v>-0.52498617001659598</v>
      </c>
      <c r="O62" s="13"/>
      <c r="P62" s="1">
        <f>SUM(OSRRefP22_9x_0)</f>
        <v>171.28</v>
      </c>
      <c r="Q62" s="1"/>
      <c r="R62" s="5">
        <f t="shared" si="40"/>
        <v>1.5319222071156677E-4</v>
      </c>
      <c r="S62" s="1"/>
      <c r="T62" s="1">
        <f>SUM(OSRRefT22_9x_0)</f>
        <v>149.37</v>
      </c>
      <c r="U62" s="1"/>
      <c r="V62" s="5">
        <f t="shared" si="41"/>
        <v>1.39401432813787E-4</v>
      </c>
      <c r="W62" s="1"/>
      <c r="X62" s="1">
        <f t="shared" si="42"/>
        <v>21.909999999999997</v>
      </c>
      <c r="Y62" s="1"/>
      <c r="Z62" s="5">
        <f t="shared" si="43"/>
        <v>0.14668273415009705</v>
      </c>
    </row>
    <row r="63" spans="1:26" s="24" customFormat="1" hidden="1" outlineLevel="2" x14ac:dyDescent="0.25">
      <c r="A63" s="26"/>
      <c r="B63" s="11" t="str">
        <f>CONCATENATE("          ", "6305", " - ", "FREIGHT OUT")</f>
        <v xml:space="preserve">          6305 - FREIGHT OUT</v>
      </c>
      <c r="C63" s="11"/>
      <c r="D63" s="6">
        <v>25.76</v>
      </c>
      <c r="E63" s="2"/>
      <c r="F63" s="7">
        <f t="shared" si="36"/>
        <v>4.8641714121920761E-5</v>
      </c>
      <c r="G63" s="2"/>
      <c r="H63" s="6">
        <v>54.23</v>
      </c>
      <c r="I63" s="2"/>
      <c r="J63" s="7">
        <f t="shared" si="37"/>
        <v>1.1032857550591287E-4</v>
      </c>
      <c r="K63" s="2"/>
      <c r="L63" s="6">
        <f t="shared" si="38"/>
        <v>-28.469999999999995</v>
      </c>
      <c r="M63" s="2"/>
      <c r="N63" s="7">
        <f t="shared" si="39"/>
        <v>-0.52498617001659598</v>
      </c>
      <c r="O63" s="11"/>
      <c r="P63" s="6">
        <v>171.28</v>
      </c>
      <c r="Q63" s="2"/>
      <c r="R63" s="7">
        <f t="shared" si="40"/>
        <v>1.5319222071156677E-4</v>
      </c>
      <c r="S63" s="2"/>
      <c r="T63" s="6">
        <v>149.37</v>
      </c>
      <c r="U63" s="2"/>
      <c r="V63" s="7">
        <f t="shared" si="41"/>
        <v>1.39401432813787E-4</v>
      </c>
      <c r="W63" s="2"/>
      <c r="X63" s="6">
        <f t="shared" si="42"/>
        <v>21.909999999999997</v>
      </c>
      <c r="Y63" s="2"/>
      <c r="Z63" s="7">
        <f t="shared" si="43"/>
        <v>0.14668273415009705</v>
      </c>
    </row>
    <row r="64" spans="1:26" s="27" customFormat="1" outlineLevel="1" collapsed="1" x14ac:dyDescent="0.25">
      <c r="A64" s="25"/>
      <c r="B64" s="13" t="str">
        <f>CONCATENATE("     ","General                                           ")</f>
        <v xml:space="preserve">     General                                           </v>
      </c>
      <c r="C64" s="13"/>
      <c r="D64" s="1">
        <f>SUM(OSRRefD22_10x_0)</f>
        <v>649.34</v>
      </c>
      <c r="E64" s="1"/>
      <c r="F64" s="5">
        <f t="shared" si="36"/>
        <v>1.2261261897487589E-3</v>
      </c>
      <c r="G64" s="1"/>
      <c r="H64" s="1">
        <f>SUM(OSRRefH22_10x_0)</f>
        <v>949.05</v>
      </c>
      <c r="I64" s="1"/>
      <c r="J64" s="5">
        <f t="shared" si="37"/>
        <v>1.9308009327657497E-3</v>
      </c>
      <c r="K64" s="1"/>
      <c r="L64" s="1">
        <f t="shared" si="38"/>
        <v>-299.70999999999992</v>
      </c>
      <c r="M64" s="1"/>
      <c r="N64" s="5">
        <f t="shared" si="39"/>
        <v>-0.31580001053685258</v>
      </c>
      <c r="O64" s="13"/>
      <c r="P64" s="1">
        <f>SUM(OSRRefP22_10x_0)</f>
        <v>5413.86</v>
      </c>
      <c r="Q64" s="1"/>
      <c r="R64" s="5">
        <f t="shared" si="40"/>
        <v>4.8421370622461638E-3</v>
      </c>
      <c r="S64" s="1"/>
      <c r="T64" s="1">
        <f>SUM(OSRRefT22_10x_0)</f>
        <v>5966.2</v>
      </c>
      <c r="U64" s="1"/>
      <c r="V64" s="5">
        <f t="shared" si="41"/>
        <v>5.5680312542921327E-3</v>
      </c>
      <c r="W64" s="1"/>
      <c r="X64" s="1">
        <f t="shared" si="42"/>
        <v>-552.34000000000015</v>
      </c>
      <c r="Y64" s="1"/>
      <c r="Z64" s="5">
        <f t="shared" si="43"/>
        <v>-9.2578190472997909E-2</v>
      </c>
    </row>
    <row r="65" spans="1:26" s="24" customFormat="1" hidden="1" outlineLevel="2" x14ac:dyDescent="0.25">
      <c r="A65" s="26"/>
      <c r="B65" s="11" t="str">
        <f>CONCATENATE("          ", "6279", " - ", "GENERAL EXPENSE")</f>
        <v xml:space="preserve">          6279 - GENERAL EXPENSE</v>
      </c>
      <c r="C65" s="11"/>
      <c r="D65" s="6">
        <v>649.34</v>
      </c>
      <c r="E65" s="2"/>
      <c r="F65" s="7">
        <f t="shared" si="36"/>
        <v>1.2261261897487589E-3</v>
      </c>
      <c r="G65" s="2"/>
      <c r="H65" s="6">
        <v>949.05</v>
      </c>
      <c r="I65" s="2"/>
      <c r="J65" s="7">
        <f t="shared" si="37"/>
        <v>1.9308009327657497E-3</v>
      </c>
      <c r="K65" s="2"/>
      <c r="L65" s="6">
        <f t="shared" si="38"/>
        <v>-299.70999999999992</v>
      </c>
      <c r="M65" s="2"/>
      <c r="N65" s="7">
        <f t="shared" si="39"/>
        <v>-0.31580001053685258</v>
      </c>
      <c r="O65" s="11"/>
      <c r="P65" s="6">
        <v>5413.86</v>
      </c>
      <c r="Q65" s="2"/>
      <c r="R65" s="7">
        <f t="shared" si="40"/>
        <v>4.8421370622461638E-3</v>
      </c>
      <c r="S65" s="2"/>
      <c r="T65" s="6">
        <v>5966.2</v>
      </c>
      <c r="U65" s="2"/>
      <c r="V65" s="7">
        <f t="shared" si="41"/>
        <v>5.5680312542921327E-3</v>
      </c>
      <c r="W65" s="2"/>
      <c r="X65" s="6">
        <f t="shared" si="42"/>
        <v>-552.34000000000015</v>
      </c>
      <c r="Y65" s="2"/>
      <c r="Z65" s="7">
        <f t="shared" si="43"/>
        <v>-9.2578190472997909E-2</v>
      </c>
    </row>
    <row r="66" spans="1:26" s="27" customFormat="1" outlineLevel="1" collapsed="1" x14ac:dyDescent="0.25">
      <c r="A66" s="25"/>
      <c r="B66" s="13" t="str">
        <f>CONCATENATE("     ","Insurance                                         ")</f>
        <v xml:space="preserve">     Insurance                                         </v>
      </c>
      <c r="C66" s="13"/>
      <c r="D66" s="1">
        <f>SUM(OSRRefD22_11x_0)</f>
        <v>243.54</v>
      </c>
      <c r="E66" s="1"/>
      <c r="F66" s="5">
        <f t="shared" si="36"/>
        <v>4.5986813110452567E-4</v>
      </c>
      <c r="G66" s="1"/>
      <c r="H66" s="1">
        <f>SUM(OSRRefH22_11x_0)</f>
        <v>229.44</v>
      </c>
      <c r="I66" s="1"/>
      <c r="J66" s="5">
        <f t="shared" si="37"/>
        <v>4.6678569729073665E-4</v>
      </c>
      <c r="K66" s="1"/>
      <c r="L66" s="1">
        <f t="shared" si="38"/>
        <v>14.099999999999994</v>
      </c>
      <c r="M66" s="1"/>
      <c r="N66" s="5">
        <f t="shared" si="39"/>
        <v>6.1453974895397466E-2</v>
      </c>
      <c r="O66" s="13"/>
      <c r="P66" s="1">
        <f>SUM(OSRRefP22_11x_0)</f>
        <v>974.16</v>
      </c>
      <c r="Q66" s="1"/>
      <c r="R66" s="5">
        <f t="shared" si="40"/>
        <v>8.7128522727919131E-4</v>
      </c>
      <c r="S66" s="1"/>
      <c r="T66" s="1">
        <f>SUM(OSRRefT22_11x_0)</f>
        <v>917.76</v>
      </c>
      <c r="U66" s="1"/>
      <c r="V66" s="5">
        <f t="shared" si="41"/>
        <v>8.565110730346196E-4</v>
      </c>
      <c r="W66" s="1"/>
      <c r="X66" s="1">
        <f t="shared" si="42"/>
        <v>56.399999999999977</v>
      </c>
      <c r="Y66" s="1"/>
      <c r="Z66" s="5">
        <f t="shared" si="43"/>
        <v>6.1453974895397466E-2</v>
      </c>
    </row>
    <row r="67" spans="1:26" s="24" customFormat="1" hidden="1" outlineLevel="2" x14ac:dyDescent="0.25">
      <c r="A67" s="26"/>
      <c r="B67" s="11" t="str">
        <f>CONCATENATE("          ", "6314", " - ", "LIABILITY INSURANCE")</f>
        <v xml:space="preserve">          6314 - LIABILITY INSURANCE</v>
      </c>
      <c r="C67" s="11"/>
      <c r="D67" s="6">
        <v>243.54</v>
      </c>
      <c r="E67" s="2"/>
      <c r="F67" s="7">
        <f t="shared" si="36"/>
        <v>4.5986813110452567E-4</v>
      </c>
      <c r="G67" s="2"/>
      <c r="H67" s="6">
        <v>229.44</v>
      </c>
      <c r="I67" s="2"/>
      <c r="J67" s="7">
        <f t="shared" si="37"/>
        <v>4.6678569729073665E-4</v>
      </c>
      <c r="K67" s="2"/>
      <c r="L67" s="6">
        <f t="shared" si="38"/>
        <v>14.099999999999994</v>
      </c>
      <c r="M67" s="2"/>
      <c r="N67" s="7">
        <f t="shared" si="39"/>
        <v>6.1453974895397466E-2</v>
      </c>
      <c r="O67" s="11"/>
      <c r="P67" s="6">
        <v>974.16</v>
      </c>
      <c r="Q67" s="2"/>
      <c r="R67" s="7">
        <f t="shared" si="40"/>
        <v>8.7128522727919131E-4</v>
      </c>
      <c r="S67" s="2"/>
      <c r="T67" s="6">
        <v>917.76</v>
      </c>
      <c r="U67" s="2"/>
      <c r="V67" s="7">
        <f t="shared" si="41"/>
        <v>8.565110730346196E-4</v>
      </c>
      <c r="W67" s="2"/>
      <c r="X67" s="6">
        <f t="shared" si="42"/>
        <v>56.399999999999977</v>
      </c>
      <c r="Y67" s="2"/>
      <c r="Z67" s="7">
        <f t="shared" si="43"/>
        <v>6.1453974895397466E-2</v>
      </c>
    </row>
    <row r="68" spans="1:26" s="27" customFormat="1" outlineLevel="1" collapsed="1" x14ac:dyDescent="0.25">
      <c r="A68" s="25"/>
      <c r="B68" s="13" t="str">
        <f>CONCATENATE("     ","Interest                                          ")</f>
        <v xml:space="preserve">     Interest                                          </v>
      </c>
      <c r="C68" s="13"/>
      <c r="D68" s="1">
        <f>SUM(OSRRefD22_12x_0)</f>
        <v>4163.95</v>
      </c>
      <c r="E68" s="1"/>
      <c r="F68" s="5">
        <f t="shared" si="36"/>
        <v>7.8626422949523277E-3</v>
      </c>
      <c r="G68" s="1"/>
      <c r="H68" s="1">
        <f>SUM(OSRRefH22_12x_0)</f>
        <v>4064.9</v>
      </c>
      <c r="I68" s="1"/>
      <c r="J68" s="5">
        <f t="shared" si="37"/>
        <v>8.2698621901896602E-3</v>
      </c>
      <c r="K68" s="1"/>
      <c r="L68" s="1">
        <f t="shared" si="38"/>
        <v>99.049999999999727</v>
      </c>
      <c r="M68" s="1"/>
      <c r="N68" s="5">
        <f t="shared" si="39"/>
        <v>2.4367143103151301E-2</v>
      </c>
      <c r="O68" s="13"/>
      <c r="P68" s="1">
        <f>SUM(OSRRefP22_12x_0)</f>
        <v>16493.95</v>
      </c>
      <c r="Q68" s="1"/>
      <c r="R68" s="5">
        <f t="shared" si="40"/>
        <v>1.475213001404453E-2</v>
      </c>
      <c r="S68" s="1"/>
      <c r="T68" s="1">
        <f>SUM(OSRRefT22_12x_0)</f>
        <v>16904.900000000001</v>
      </c>
      <c r="U68" s="1"/>
      <c r="V68" s="5">
        <f t="shared" si="41"/>
        <v>1.5776710728886575E-2</v>
      </c>
      <c r="W68" s="1"/>
      <c r="X68" s="1">
        <f t="shared" si="42"/>
        <v>-410.95000000000073</v>
      </c>
      <c r="Y68" s="1"/>
      <c r="Z68" s="5">
        <f t="shared" si="43"/>
        <v>-2.4309519725050174E-2</v>
      </c>
    </row>
    <row r="69" spans="1:26" s="24" customFormat="1" hidden="1" outlineLevel="2" x14ac:dyDescent="0.25">
      <c r="A69" s="26"/>
      <c r="B69" s="11" t="str">
        <f>CONCATENATE("          ", "6401", " - ", "INTEREST EXPENSE")</f>
        <v xml:space="preserve">          6401 - INTEREST EXPENSE</v>
      </c>
      <c r="C69" s="11"/>
      <c r="D69" s="6">
        <v>4163.95</v>
      </c>
      <c r="E69" s="2"/>
      <c r="F69" s="7">
        <f t="shared" si="36"/>
        <v>7.8626422949523277E-3</v>
      </c>
      <c r="G69" s="2"/>
      <c r="H69" s="6">
        <v>4064.9</v>
      </c>
      <c r="I69" s="2"/>
      <c r="J69" s="7">
        <f t="shared" si="37"/>
        <v>8.2698621901896602E-3</v>
      </c>
      <c r="K69" s="2"/>
      <c r="L69" s="6">
        <f t="shared" si="38"/>
        <v>99.049999999999727</v>
      </c>
      <c r="M69" s="2"/>
      <c r="N69" s="7">
        <f t="shared" si="39"/>
        <v>2.4367143103151301E-2</v>
      </c>
      <c r="O69" s="11"/>
      <c r="P69" s="6">
        <v>16493.95</v>
      </c>
      <c r="Q69" s="2"/>
      <c r="R69" s="7">
        <f t="shared" si="40"/>
        <v>1.475213001404453E-2</v>
      </c>
      <c r="S69" s="2"/>
      <c r="T69" s="6">
        <v>16904.900000000001</v>
      </c>
      <c r="U69" s="2"/>
      <c r="V69" s="7">
        <f t="shared" si="41"/>
        <v>1.5776710728886575E-2</v>
      </c>
      <c r="W69" s="2"/>
      <c r="X69" s="6">
        <f t="shared" si="42"/>
        <v>-410.95000000000073</v>
      </c>
      <c r="Y69" s="2"/>
      <c r="Z69" s="7">
        <f t="shared" si="43"/>
        <v>-2.4309519725050174E-2</v>
      </c>
    </row>
    <row r="70" spans="1:26" s="27" customFormat="1" outlineLevel="1" collapsed="1" x14ac:dyDescent="0.25">
      <c r="A70" s="25"/>
      <c r="B70" s="13" t="str">
        <f>CONCATENATE("     ","Rent                                              ")</f>
        <v xml:space="preserve">     Rent                                              </v>
      </c>
      <c r="C70" s="13"/>
      <c r="D70" s="1">
        <f>SUM(OSRRefD22_13x_0)</f>
        <v>1150</v>
      </c>
      <c r="E70" s="1"/>
      <c r="F70" s="5">
        <f t="shared" si="36"/>
        <v>2.1715050947286054E-3</v>
      </c>
      <c r="G70" s="1"/>
      <c r="H70" s="1">
        <f>SUM(OSRRefH22_13x_0)</f>
        <v>1150</v>
      </c>
      <c r="I70" s="1"/>
      <c r="J70" s="5">
        <f t="shared" si="37"/>
        <v>2.3396249646284307E-3</v>
      </c>
      <c r="K70" s="1"/>
      <c r="L70" s="1">
        <f t="shared" si="38"/>
        <v>0</v>
      </c>
      <c r="M70" s="1"/>
      <c r="N70" s="5">
        <f t="shared" si="39"/>
        <v>0</v>
      </c>
      <c r="O70" s="13"/>
      <c r="P70" s="1">
        <f>SUM(OSRRefP22_13x_0)</f>
        <v>4600</v>
      </c>
      <c r="Q70" s="1"/>
      <c r="R70" s="5">
        <f t="shared" si="40"/>
        <v>4.1142235828655251E-3</v>
      </c>
      <c r="S70" s="1"/>
      <c r="T70" s="1">
        <f>SUM(OSRRefT22_13x_0)</f>
        <v>4600</v>
      </c>
      <c r="U70" s="1"/>
      <c r="V70" s="5">
        <f t="shared" si="41"/>
        <v>4.2930079061620141E-3</v>
      </c>
      <c r="W70" s="1"/>
      <c r="X70" s="1">
        <f t="shared" si="42"/>
        <v>0</v>
      </c>
      <c r="Y70" s="1"/>
      <c r="Z70" s="5">
        <f t="shared" si="43"/>
        <v>0</v>
      </c>
    </row>
    <row r="71" spans="1:26" s="24" customFormat="1" hidden="1" outlineLevel="2" x14ac:dyDescent="0.25">
      <c r="A71" s="26"/>
      <c r="B71" s="11" t="str">
        <f>CONCATENATE("          ", "6273", " - ", "RENT")</f>
        <v xml:space="preserve">          6273 - RENT</v>
      </c>
      <c r="C71" s="11"/>
      <c r="D71" s="6">
        <v>1150</v>
      </c>
      <c r="E71" s="2"/>
      <c r="F71" s="7">
        <f t="shared" si="36"/>
        <v>2.1715050947286054E-3</v>
      </c>
      <c r="G71" s="2"/>
      <c r="H71" s="6">
        <v>1150</v>
      </c>
      <c r="I71" s="2"/>
      <c r="J71" s="7">
        <f t="shared" si="37"/>
        <v>2.3396249646284307E-3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>
        <v>4600</v>
      </c>
      <c r="Q71" s="2"/>
      <c r="R71" s="7">
        <f t="shared" si="40"/>
        <v>4.1142235828655251E-3</v>
      </c>
      <c r="S71" s="2"/>
      <c r="T71" s="6">
        <v>4600</v>
      </c>
      <c r="U71" s="2"/>
      <c r="V71" s="7">
        <f t="shared" si="41"/>
        <v>4.2930079061620141E-3</v>
      </c>
      <c r="W71" s="2"/>
      <c r="X71" s="6">
        <f t="shared" si="42"/>
        <v>0</v>
      </c>
      <c r="Y71" s="2"/>
      <c r="Z71" s="7">
        <f t="shared" si="43"/>
        <v>0</v>
      </c>
    </row>
    <row r="72" spans="1:26" s="27" customFormat="1" outlineLevel="1" collapsed="1" x14ac:dyDescent="0.25">
      <c r="A72" s="25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SUM(OSRRefD22_14x_0)</f>
        <v>1341.77</v>
      </c>
      <c r="E72" s="1"/>
      <c r="F72" s="5">
        <f t="shared" si="36"/>
        <v>2.5336177312643487E-3</v>
      </c>
      <c r="G72" s="1"/>
      <c r="H72" s="1">
        <f>SUM(OSRRefH22_14x_0)</f>
        <v>1353.09</v>
      </c>
      <c r="I72" s="1"/>
      <c r="J72" s="5">
        <f t="shared" si="37"/>
        <v>2.7528027333818114E-3</v>
      </c>
      <c r="K72" s="1"/>
      <c r="L72" s="1">
        <f t="shared" si="38"/>
        <v>-11.319999999999936</v>
      </c>
      <c r="M72" s="1"/>
      <c r="N72" s="5">
        <f t="shared" si="39"/>
        <v>-8.3660362577507308E-3</v>
      </c>
      <c r="O72" s="13"/>
      <c r="P72" s="1">
        <f>SUM(OSRRefP22_14x_0)</f>
        <v>9797.7999999999993</v>
      </c>
      <c r="Q72" s="1"/>
      <c r="R72" s="5">
        <f t="shared" si="40"/>
        <v>8.7631173522173568E-3</v>
      </c>
      <c r="S72" s="1"/>
      <c r="T72" s="1">
        <f>SUM(OSRRefT22_14x_0)</f>
        <v>3983.3599999999997</v>
      </c>
      <c r="U72" s="1"/>
      <c r="V72" s="5">
        <f t="shared" si="41"/>
        <v>3.7175208637151131E-3</v>
      </c>
      <c r="W72" s="1"/>
      <c r="X72" s="1">
        <f t="shared" si="42"/>
        <v>5814.44</v>
      </c>
      <c r="Y72" s="1"/>
      <c r="Z72" s="5">
        <f t="shared" si="43"/>
        <v>1.4596822782776351</v>
      </c>
    </row>
    <row r="73" spans="1:26" s="24" customFormat="1" hidden="1" outlineLevel="2" x14ac:dyDescent="0.25">
      <c r="A73" s="26"/>
      <c r="B73" s="11" t="str">
        <f>CONCATENATE("          ", "6371", " - ", "COMPUTER SOFTWARE MAINTENANCE")</f>
        <v xml:space="preserve">          6371 - COMPUTER SOFTWARE MAINTENANCE</v>
      </c>
      <c r="C73" s="11"/>
      <c r="D73" s="6"/>
      <c r="E73" s="2"/>
      <c r="F73" s="7">
        <f t="shared" si="36"/>
        <v>0</v>
      </c>
      <c r="G73" s="2"/>
      <c r="H73" s="6"/>
      <c r="I73" s="2"/>
      <c r="J73" s="7">
        <f t="shared" si="37"/>
        <v>0</v>
      </c>
      <c r="K73" s="2"/>
      <c r="L73" s="6">
        <f t="shared" si="38"/>
        <v>0</v>
      </c>
      <c r="M73" s="2"/>
      <c r="N73" s="7">
        <f t="shared" si="39"/>
        <v>0</v>
      </c>
      <c r="O73" s="11"/>
      <c r="P73" s="6">
        <v>1311.93</v>
      </c>
      <c r="Q73" s="2"/>
      <c r="R73" s="7">
        <f t="shared" si="40"/>
        <v>1.1733855097975584E-3</v>
      </c>
      <c r="S73" s="2"/>
      <c r="T73" s="6"/>
      <c r="U73" s="2"/>
      <c r="V73" s="7">
        <f t="shared" si="41"/>
        <v>0</v>
      </c>
      <c r="W73" s="2"/>
      <c r="X73" s="6">
        <f t="shared" si="42"/>
        <v>1311.93</v>
      </c>
      <c r="Y73" s="2"/>
      <c r="Z73" s="7">
        <f t="shared" si="43"/>
        <v>0</v>
      </c>
    </row>
    <row r="74" spans="1:26" s="24" customFormat="1" hidden="1" outlineLevel="2" x14ac:dyDescent="0.25">
      <c r="A74" s="26"/>
      <c r="B74" s="11" t="str">
        <f>CONCATENATE("          ", "6373", " - ", "MAINTENANCE CONTRACTS")</f>
        <v xml:space="preserve">          6373 - MAINTENANCE CONTRACTS</v>
      </c>
      <c r="C74" s="11"/>
      <c r="D74" s="6">
        <v>285.32</v>
      </c>
      <c r="E74" s="2"/>
      <c r="F74" s="7">
        <f t="shared" si="36"/>
        <v>5.3875985532866584E-4</v>
      </c>
      <c r="G74" s="2"/>
      <c r="H74" s="6"/>
      <c r="I74" s="2"/>
      <c r="J74" s="7">
        <f t="shared" si="37"/>
        <v>0</v>
      </c>
      <c r="K74" s="2"/>
      <c r="L74" s="6">
        <f t="shared" si="38"/>
        <v>285.32</v>
      </c>
      <c r="M74" s="2"/>
      <c r="N74" s="7">
        <f t="shared" si="39"/>
        <v>0</v>
      </c>
      <c r="O74" s="11"/>
      <c r="P74" s="6">
        <v>285.32</v>
      </c>
      <c r="Q74" s="2"/>
      <c r="R74" s="7">
        <f t="shared" si="40"/>
        <v>2.5518918970938949E-4</v>
      </c>
      <c r="S74" s="2"/>
      <c r="T74" s="6">
        <v>402.68</v>
      </c>
      <c r="U74" s="2"/>
      <c r="V74" s="7">
        <f t="shared" si="41"/>
        <v>3.7580617905506956E-4</v>
      </c>
      <c r="W74" s="2"/>
      <c r="X74" s="6">
        <f t="shared" si="42"/>
        <v>-117.36000000000001</v>
      </c>
      <c r="Y74" s="2"/>
      <c r="Z74" s="7">
        <f t="shared" si="43"/>
        <v>-0.29144730306943484</v>
      </c>
    </row>
    <row r="75" spans="1:26" s="24" customFormat="1" hidden="1" outlineLevel="2" x14ac:dyDescent="0.25">
      <c r="A75" s="26"/>
      <c r="B75" s="11" t="str">
        <f>CONCATENATE("          ", "6375", " - ", "OUTSIDE REPAIRS &amp; MAINTENANCE")</f>
        <v xml:space="preserve">          6375 - OUTSIDE REPAIRS &amp; MAINTENANCE</v>
      </c>
      <c r="C75" s="11"/>
      <c r="D75" s="6">
        <v>1056.45</v>
      </c>
      <c r="E75" s="2"/>
      <c r="F75" s="7">
        <f t="shared" si="36"/>
        <v>1.994857875935683E-3</v>
      </c>
      <c r="G75" s="2"/>
      <c r="H75" s="6">
        <v>1353.09</v>
      </c>
      <c r="I75" s="2"/>
      <c r="J75" s="7">
        <f t="shared" si="37"/>
        <v>2.7528027333818114E-3</v>
      </c>
      <c r="K75" s="2"/>
      <c r="L75" s="6">
        <f t="shared" si="38"/>
        <v>-296.63999999999987</v>
      </c>
      <c r="M75" s="2"/>
      <c r="N75" s="7">
        <f t="shared" si="39"/>
        <v>-0.21923153670487541</v>
      </c>
      <c r="O75" s="11"/>
      <c r="P75" s="6">
        <v>8200.5499999999993</v>
      </c>
      <c r="Q75" s="2"/>
      <c r="R75" s="7">
        <f t="shared" si="40"/>
        <v>7.3345426527104095E-3</v>
      </c>
      <c r="S75" s="2"/>
      <c r="T75" s="6">
        <v>3580.68</v>
      </c>
      <c r="U75" s="2"/>
      <c r="V75" s="7">
        <f t="shared" si="41"/>
        <v>3.3417146846600439E-3</v>
      </c>
      <c r="W75" s="2"/>
      <c r="X75" s="6">
        <f t="shared" si="42"/>
        <v>4619.869999999999</v>
      </c>
      <c r="Y75" s="2"/>
      <c r="Z75" s="7">
        <f t="shared" si="43"/>
        <v>1.2902214104583485</v>
      </c>
    </row>
    <row r="76" spans="1:26" s="27" customFormat="1" outlineLevel="1" collapsed="1" x14ac:dyDescent="0.25">
      <c r="A76" s="25"/>
      <c r="B76" s="13" t="str">
        <f>CONCATENATE("     ","Royalty &amp; Commissions                             ")</f>
        <v xml:space="preserve">     Royalty &amp; Commissions                             </v>
      </c>
      <c r="C76" s="13"/>
      <c r="D76" s="1">
        <f>SUM(OSRRefD22_15x_0)</f>
        <v>0</v>
      </c>
      <c r="E76" s="1"/>
      <c r="F76" s="5">
        <f t="shared" ref="F76:F82" si="44">IF(D$12=0,0,D76/D$12)</f>
        <v>0</v>
      </c>
      <c r="G76" s="1"/>
      <c r="H76" s="1">
        <f>SUM(OSRRefH22_15x_0)</f>
        <v>0</v>
      </c>
      <c r="I76" s="1"/>
      <c r="J76" s="5">
        <f t="shared" ref="J76:J82" si="45">IF(H$12=0,0,H76/H$12)</f>
        <v>0</v>
      </c>
      <c r="K76" s="1"/>
      <c r="L76" s="1">
        <f t="shared" ref="L76:L82" si="46">+D76-H76</f>
        <v>0</v>
      </c>
      <c r="M76" s="1"/>
      <c r="N76" s="5">
        <f t="shared" ref="N76:N82" si="47">IF(H76=0,0,L76/H76)</f>
        <v>0</v>
      </c>
      <c r="O76" s="13"/>
      <c r="P76" s="1">
        <f>SUM(OSRRefP22_15x_0)</f>
        <v>5673.45</v>
      </c>
      <c r="Q76" s="1"/>
      <c r="R76" s="5">
        <f t="shared" ref="R76:R82" si="48">IF(P$12=0,0,P76/P$12)</f>
        <v>5.0743134317844376E-3</v>
      </c>
      <c r="S76" s="1"/>
      <c r="T76" s="1">
        <f>SUM(OSRRefT22_15x_0)</f>
        <v>5350.8</v>
      </c>
      <c r="U76" s="1"/>
      <c r="V76" s="5">
        <f t="shared" ref="V76:V82" si="49">IF(T$12=0,0,T76/T$12)</f>
        <v>4.9937014574547188E-3</v>
      </c>
      <c r="W76" s="1"/>
      <c r="X76" s="1">
        <f t="shared" ref="X76:X82" si="50">+P76-T76</f>
        <v>322.64999999999964</v>
      </c>
      <c r="Y76" s="1"/>
      <c r="Z76" s="5">
        <f t="shared" ref="Z76:Z82" si="51">IF(T76=0,0,X76/T76)</f>
        <v>6.0299394483067884E-2</v>
      </c>
    </row>
    <row r="77" spans="1:26" s="24" customFormat="1" hidden="1" outlineLevel="2" x14ac:dyDescent="0.25">
      <c r="A77" s="26"/>
      <c r="B77" s="11" t="str">
        <f>CONCATENATE("          ", "6254", " - ", "ROYALTY &amp; COMMISSIONS")</f>
        <v xml:space="preserve">          6254 - ROYALTY &amp; COMMISSIONS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>
        <v>5673.45</v>
      </c>
      <c r="Q77" s="2"/>
      <c r="R77" s="7">
        <f t="shared" si="48"/>
        <v>5.0743134317844376E-3</v>
      </c>
      <c r="S77" s="2"/>
      <c r="T77" s="6">
        <v>5350.8</v>
      </c>
      <c r="U77" s="2"/>
      <c r="V77" s="7">
        <f t="shared" si="49"/>
        <v>4.9937014574547188E-3</v>
      </c>
      <c r="W77" s="2"/>
      <c r="X77" s="6">
        <f t="shared" si="50"/>
        <v>322.64999999999964</v>
      </c>
      <c r="Y77" s="2"/>
      <c r="Z77" s="7">
        <f t="shared" si="51"/>
        <v>6.0299394483067884E-2</v>
      </c>
    </row>
    <row r="78" spans="1:26" s="27" customFormat="1" outlineLevel="1" collapsed="1" x14ac:dyDescent="0.25">
      <c r="A78" s="25"/>
      <c r="B78" s="13" t="str">
        <f>CONCATENATE("     ","Services                                          ")</f>
        <v xml:space="preserve">     Services                                          </v>
      </c>
      <c r="C78" s="13"/>
      <c r="D78" s="1">
        <f>SUM(OSRRefD22_16x_0)</f>
        <v>1599.68</v>
      </c>
      <c r="E78" s="1"/>
      <c r="F78" s="5">
        <f t="shared" si="44"/>
        <v>3.0206202347264829E-3</v>
      </c>
      <c r="G78" s="1"/>
      <c r="H78" s="1">
        <f>SUM(OSRRefH22_16x_0)</f>
        <v>2444.5200000000004</v>
      </c>
      <c r="I78" s="1"/>
      <c r="J78" s="5">
        <f t="shared" si="45"/>
        <v>4.9732695813334716E-3</v>
      </c>
      <c r="K78" s="1"/>
      <c r="L78" s="1">
        <f t="shared" si="46"/>
        <v>-844.84000000000037</v>
      </c>
      <c r="M78" s="1"/>
      <c r="N78" s="5">
        <f t="shared" si="47"/>
        <v>-0.34560568127894237</v>
      </c>
      <c r="O78" s="13"/>
      <c r="P78" s="1">
        <f>SUM(OSRRefP22_16x_0)</f>
        <v>6561.45</v>
      </c>
      <c r="Q78" s="1"/>
      <c r="R78" s="5">
        <f t="shared" si="48"/>
        <v>5.8685374625636957E-3</v>
      </c>
      <c r="S78" s="1"/>
      <c r="T78" s="1">
        <f>SUM(OSRRefT22_16x_0)</f>
        <v>7286.29</v>
      </c>
      <c r="U78" s="1"/>
      <c r="V78" s="5">
        <f t="shared" si="49"/>
        <v>6.8000218644759186E-3</v>
      </c>
      <c r="W78" s="1"/>
      <c r="X78" s="1">
        <f t="shared" si="50"/>
        <v>-724.84000000000015</v>
      </c>
      <c r="Y78" s="1"/>
      <c r="Z78" s="5">
        <f t="shared" si="51"/>
        <v>-9.9479982268067854E-2</v>
      </c>
    </row>
    <row r="79" spans="1:26" s="24" customFormat="1" hidden="1" outlineLevel="2" x14ac:dyDescent="0.25">
      <c r="A79" s="26"/>
      <c r="B79" s="11" t="str">
        <f>CONCATENATE("          ", "6282", " - ", "JANITORIAL/EXTERMINATOR EXPENS")</f>
        <v xml:space="preserve">          6282 - JANITORIAL/EXTERMINATOR EXPENS</v>
      </c>
      <c r="C79" s="11"/>
      <c r="D79" s="6">
        <v>444.74</v>
      </c>
      <c r="E79" s="2"/>
      <c r="F79" s="7">
        <f t="shared" si="44"/>
        <v>8.397871094170435E-4</v>
      </c>
      <c r="G79" s="2"/>
      <c r="H79" s="6">
        <v>640.59</v>
      </c>
      <c r="I79" s="2"/>
      <c r="J79" s="7">
        <f t="shared" si="45"/>
        <v>1.3032524835576752E-3</v>
      </c>
      <c r="K79" s="2"/>
      <c r="L79" s="6">
        <f t="shared" si="46"/>
        <v>-195.85000000000002</v>
      </c>
      <c r="M79" s="2"/>
      <c r="N79" s="7">
        <f t="shared" si="47"/>
        <v>-0.30573377667462809</v>
      </c>
      <c r="O79" s="11"/>
      <c r="P79" s="6">
        <v>2579.4</v>
      </c>
      <c r="Q79" s="2"/>
      <c r="R79" s="7">
        <f t="shared" si="48"/>
        <v>2.3070061542702905E-3</v>
      </c>
      <c r="S79" s="2"/>
      <c r="T79" s="6">
        <v>2485.36</v>
      </c>
      <c r="U79" s="2"/>
      <c r="V79" s="7">
        <f t="shared" si="49"/>
        <v>2.3194935064475707E-3</v>
      </c>
      <c r="W79" s="2"/>
      <c r="X79" s="6">
        <f t="shared" si="50"/>
        <v>94.039999999999964</v>
      </c>
      <c r="Y79" s="2"/>
      <c r="Z79" s="7">
        <f t="shared" si="51"/>
        <v>3.7837576850033784E-2</v>
      </c>
    </row>
    <row r="80" spans="1:26" s="24" customFormat="1" hidden="1" outlineLevel="2" x14ac:dyDescent="0.25">
      <c r="A80" s="26"/>
      <c r="B80" s="11" t="str">
        <f>CONCATENATE("          ", "6284", " - ", "TRASH REMOVAL EXPENSE")</f>
        <v xml:space="preserve">          6284 - TRASH REMOVAL EXPENSE</v>
      </c>
      <c r="C80" s="11"/>
      <c r="D80" s="6">
        <v>237</v>
      </c>
      <c r="E80" s="2"/>
      <c r="F80" s="7">
        <f t="shared" si="44"/>
        <v>4.4751887604406909E-4</v>
      </c>
      <c r="G80" s="2"/>
      <c r="H80" s="6">
        <v>807.73</v>
      </c>
      <c r="I80" s="2"/>
      <c r="J80" s="7">
        <f t="shared" si="45"/>
        <v>1.6432915414602803E-3</v>
      </c>
      <c r="K80" s="2"/>
      <c r="L80" s="6">
        <f t="shared" si="46"/>
        <v>-570.73</v>
      </c>
      <c r="M80" s="2"/>
      <c r="N80" s="7">
        <f t="shared" si="47"/>
        <v>-0.70658512126576956</v>
      </c>
      <c r="O80" s="11"/>
      <c r="P80" s="6">
        <v>711</v>
      </c>
      <c r="Q80" s="2"/>
      <c r="R80" s="7">
        <f t="shared" si="48"/>
        <v>6.35915862482041E-4</v>
      </c>
      <c r="S80" s="2"/>
      <c r="T80" s="6">
        <v>1518.73</v>
      </c>
      <c r="U80" s="2"/>
      <c r="V80" s="7">
        <f t="shared" si="49"/>
        <v>1.417373890722921E-3</v>
      </c>
      <c r="W80" s="2"/>
      <c r="X80" s="6">
        <f t="shared" si="50"/>
        <v>-807.73</v>
      </c>
      <c r="Y80" s="2"/>
      <c r="Z80" s="7">
        <f t="shared" si="51"/>
        <v>-0.53184568685678169</v>
      </c>
    </row>
    <row r="81" spans="1:26" s="24" customFormat="1" hidden="1" outlineLevel="2" x14ac:dyDescent="0.25">
      <c r="A81" s="26"/>
      <c r="B81" s="11" t="str">
        <f>CONCATENATE("          ", "6285", " - ", "JANITORIAL SERVICES")</f>
        <v xml:space="preserve">          6285 - JANITORIAL SERVICES</v>
      </c>
      <c r="C81" s="11"/>
      <c r="D81" s="6">
        <v>125.23</v>
      </c>
      <c r="E81" s="2"/>
      <c r="F81" s="7">
        <f t="shared" si="44"/>
        <v>2.3646746348944631E-4</v>
      </c>
      <c r="G81" s="2"/>
      <c r="H81" s="6">
        <v>116.25</v>
      </c>
      <c r="I81" s="2"/>
      <c r="J81" s="7">
        <f t="shared" si="45"/>
        <v>2.3650556707656962E-4</v>
      </c>
      <c r="K81" s="2"/>
      <c r="L81" s="6">
        <f t="shared" si="46"/>
        <v>8.980000000000004</v>
      </c>
      <c r="M81" s="2"/>
      <c r="N81" s="7">
        <f t="shared" si="47"/>
        <v>7.7247311827957021E-2</v>
      </c>
      <c r="O81" s="11"/>
      <c r="P81" s="6">
        <v>298.31</v>
      </c>
      <c r="Q81" s="2"/>
      <c r="R81" s="7">
        <f t="shared" si="48"/>
        <v>2.6680739934882932E-4</v>
      </c>
      <c r="S81" s="2"/>
      <c r="T81" s="6">
        <v>465</v>
      </c>
      <c r="U81" s="2"/>
      <c r="V81" s="7">
        <f t="shared" si="49"/>
        <v>4.3396710355768191E-4</v>
      </c>
      <c r="W81" s="2"/>
      <c r="X81" s="6">
        <f t="shared" si="50"/>
        <v>-166.69</v>
      </c>
      <c r="Y81" s="2"/>
      <c r="Z81" s="7">
        <f t="shared" si="51"/>
        <v>-0.3584731182795699</v>
      </c>
    </row>
    <row r="82" spans="1:26" s="24" customFormat="1" hidden="1" outlineLevel="2" x14ac:dyDescent="0.25">
      <c r="A82" s="26"/>
      <c r="B82" s="11" t="str">
        <f>CONCATENATE("          ", "6286", " - ", "LAUNDRY EXPENSE")</f>
        <v xml:space="preserve">          6286 - LAUNDRY EXPENSE</v>
      </c>
      <c r="C82" s="11"/>
      <c r="D82" s="6">
        <v>792.71</v>
      </c>
      <c r="E82" s="2"/>
      <c r="F82" s="7">
        <f t="shared" si="44"/>
        <v>1.4968467857759242E-3</v>
      </c>
      <c r="G82" s="2"/>
      <c r="H82" s="6">
        <v>879.95</v>
      </c>
      <c r="I82" s="2"/>
      <c r="J82" s="7">
        <f t="shared" si="45"/>
        <v>1.7902199892389458E-3</v>
      </c>
      <c r="K82" s="2"/>
      <c r="L82" s="6">
        <f t="shared" si="46"/>
        <v>-87.240000000000009</v>
      </c>
      <c r="M82" s="2"/>
      <c r="N82" s="7">
        <f t="shared" si="47"/>
        <v>-9.9141996704358207E-2</v>
      </c>
      <c r="O82" s="11"/>
      <c r="P82" s="6">
        <v>2972.74</v>
      </c>
      <c r="Q82" s="2"/>
      <c r="R82" s="7">
        <f t="shared" si="48"/>
        <v>2.6588080464625351E-3</v>
      </c>
      <c r="S82" s="2"/>
      <c r="T82" s="6">
        <v>2817.2</v>
      </c>
      <c r="U82" s="2"/>
      <c r="V82" s="7">
        <f t="shared" si="49"/>
        <v>2.6291873637477449E-3</v>
      </c>
      <c r="W82" s="2"/>
      <c r="X82" s="6">
        <f t="shared" si="50"/>
        <v>155.53999999999996</v>
      </c>
      <c r="Y82" s="2"/>
      <c r="Z82" s="7">
        <f t="shared" si="51"/>
        <v>5.5210847650149074E-2</v>
      </c>
    </row>
    <row r="83" spans="1:26" s="27" customFormat="1" outlineLevel="1" collapsed="1" x14ac:dyDescent="0.25">
      <c r="A83" s="25"/>
      <c r="B83" s="13" t="str">
        <f>CONCATENATE("     ","Subscriptions &amp; Dues                              ")</f>
        <v xml:space="preserve">     Subscriptions &amp; Dues                              </v>
      </c>
      <c r="C83" s="13"/>
      <c r="D83" s="1">
        <f>SUM(OSRRefD22_17x_0)</f>
        <v>176.4</v>
      </c>
      <c r="E83" s="1"/>
      <c r="F83" s="5">
        <f t="shared" ref="F83:F85" si="52">IF(D$12=0,0,D83/D$12)</f>
        <v>3.3308999887837043E-4</v>
      </c>
      <c r="G83" s="1"/>
      <c r="H83" s="1">
        <f>SUM(OSRRefH22_17x_0)</f>
        <v>169.58</v>
      </c>
      <c r="I83" s="1"/>
      <c r="J83" s="5">
        <f t="shared" ref="J83:J85" si="53">IF(H$12=0,0,H83/H$12)</f>
        <v>3.4500313174059942E-4</v>
      </c>
      <c r="K83" s="1"/>
      <c r="L83" s="1">
        <f t="shared" ref="L83:L85" si="54">+D83-H83</f>
        <v>6.8199999999999932</v>
      </c>
      <c r="M83" s="1"/>
      <c r="N83" s="5">
        <f t="shared" ref="N83:N85" si="55">IF(H83=0,0,L83/H83)</f>
        <v>4.0217006722490817E-2</v>
      </c>
      <c r="O83" s="13"/>
      <c r="P83" s="1">
        <f>SUM(OSRRefP22_17x_0)</f>
        <v>705.6</v>
      </c>
      <c r="Q83" s="1"/>
      <c r="R83" s="5">
        <f t="shared" ref="R83:R85" si="56">IF(P$12=0,0,P83/P$12)</f>
        <v>6.3108612175432927E-4</v>
      </c>
      <c r="S83" s="1"/>
      <c r="T83" s="1">
        <f>SUM(OSRRefT22_17x_0)</f>
        <v>201.38000000000002</v>
      </c>
      <c r="U83" s="1"/>
      <c r="V83" s="5">
        <f t="shared" ref="V83:V85" si="57">IF(T$12=0,0,T83/T$12)</f>
        <v>1.8794042003106664E-4</v>
      </c>
      <c r="W83" s="1"/>
      <c r="X83" s="1">
        <f t="shared" ref="X83:X85" si="58">+P83-T83</f>
        <v>504.22</v>
      </c>
      <c r="Y83" s="1"/>
      <c r="Z83" s="5">
        <f t="shared" ref="Z83:Z85" si="59">IF(T83=0,0,X83/T83)</f>
        <v>2.5038236170424071</v>
      </c>
    </row>
    <row r="84" spans="1:26" s="24" customFormat="1" hidden="1" outlineLevel="2" x14ac:dyDescent="0.25">
      <c r="A84" s="26"/>
      <c r="B84" s="11" t="str">
        <f>CONCATENATE("          ", "6258", " - ", "MEMBERSHIP DUES")</f>
        <v xml:space="preserve">          6258 - MEMBERSHIP DUES</v>
      </c>
      <c r="C84" s="11"/>
      <c r="D84" s="6"/>
      <c r="E84" s="2"/>
      <c r="F84" s="7">
        <f t="shared" si="52"/>
        <v>0</v>
      </c>
      <c r="G84" s="2"/>
      <c r="H84" s="6"/>
      <c r="I84" s="2"/>
      <c r="J84" s="7">
        <f t="shared" si="53"/>
        <v>0</v>
      </c>
      <c r="K84" s="2"/>
      <c r="L84" s="6">
        <f t="shared" si="54"/>
        <v>0</v>
      </c>
      <c r="M84" s="2"/>
      <c r="N84" s="7">
        <f t="shared" si="55"/>
        <v>0</v>
      </c>
      <c r="O84" s="11"/>
      <c r="P84" s="6"/>
      <c r="Q84" s="2"/>
      <c r="R84" s="7">
        <f t="shared" si="56"/>
        <v>0</v>
      </c>
      <c r="S84" s="2"/>
      <c r="T84" s="6">
        <v>31.8</v>
      </c>
      <c r="U84" s="2"/>
      <c r="V84" s="7">
        <f t="shared" si="57"/>
        <v>2.9677750307815665E-5</v>
      </c>
      <c r="W84" s="2"/>
      <c r="X84" s="6">
        <f t="shared" si="58"/>
        <v>-31.8</v>
      </c>
      <c r="Y84" s="2"/>
      <c r="Z84" s="7">
        <f t="shared" si="59"/>
        <v>-1</v>
      </c>
    </row>
    <row r="85" spans="1:26" s="24" customFormat="1" hidden="1" outlineLevel="2" x14ac:dyDescent="0.25">
      <c r="A85" s="26"/>
      <c r="B85" s="11" t="str">
        <f>CONCATENATE("          ", "6275", " - ", "SUBSCRIPTIONS")</f>
        <v xml:space="preserve">          6275 - SUBSCRIPTIONS</v>
      </c>
      <c r="C85" s="11"/>
      <c r="D85" s="6">
        <v>176.4</v>
      </c>
      <c r="E85" s="2"/>
      <c r="F85" s="7">
        <f t="shared" si="52"/>
        <v>3.3308999887837043E-4</v>
      </c>
      <c r="G85" s="2"/>
      <c r="H85" s="6">
        <v>169.58</v>
      </c>
      <c r="I85" s="2"/>
      <c r="J85" s="7">
        <f t="shared" si="53"/>
        <v>3.4500313174059942E-4</v>
      </c>
      <c r="K85" s="2"/>
      <c r="L85" s="6">
        <f t="shared" si="54"/>
        <v>6.8199999999999932</v>
      </c>
      <c r="M85" s="2"/>
      <c r="N85" s="7">
        <f t="shared" si="55"/>
        <v>4.0217006722490817E-2</v>
      </c>
      <c r="O85" s="11"/>
      <c r="P85" s="6">
        <v>705.6</v>
      </c>
      <c r="Q85" s="2"/>
      <c r="R85" s="7">
        <f t="shared" si="56"/>
        <v>6.3108612175432927E-4</v>
      </c>
      <c r="S85" s="2"/>
      <c r="T85" s="6">
        <v>169.58</v>
      </c>
      <c r="U85" s="2"/>
      <c r="V85" s="7">
        <f t="shared" si="57"/>
        <v>1.5826266972325097E-4</v>
      </c>
      <c r="W85" s="2"/>
      <c r="X85" s="6">
        <f t="shared" si="58"/>
        <v>536.02</v>
      </c>
      <c r="Y85" s="2"/>
      <c r="Z85" s="7">
        <f t="shared" si="59"/>
        <v>3.1608680268899629</v>
      </c>
    </row>
    <row r="86" spans="1:26" s="27" customFormat="1" outlineLevel="1" collapsed="1" x14ac:dyDescent="0.25">
      <c r="A86" s="25"/>
      <c r="B86" s="13" t="str">
        <f>CONCATENATE("     ","Supplies                                          ")</f>
        <v xml:space="preserve">     Supplies                                          </v>
      </c>
      <c r="C86" s="13"/>
      <c r="D86" s="1">
        <f>SUM(OSRRefD22_18x_0)</f>
        <v>6329.6200000000008</v>
      </c>
      <c r="E86" s="1"/>
      <c r="F86" s="5">
        <f t="shared" ref="F86:F93" si="60">IF(D$12=0,0,D86/D$12)</f>
        <v>1.1952001806692241E-2</v>
      </c>
      <c r="G86" s="1"/>
      <c r="H86" s="1">
        <f>SUM(OSRRefH22_18x_0)</f>
        <v>5383.21</v>
      </c>
      <c r="I86" s="1"/>
      <c r="J86" s="5">
        <f t="shared" ref="J86:J93" si="61">IF(H$12=0,0,H86/H$12)</f>
        <v>1.0951906526815143E-2</v>
      </c>
      <c r="K86" s="1"/>
      <c r="L86" s="1">
        <f t="shared" ref="L86:L93" si="62">+D86-H86</f>
        <v>946.41000000000076</v>
      </c>
      <c r="M86" s="1"/>
      <c r="N86" s="5">
        <f t="shared" ref="N86:N93" si="63">IF(H86=0,0,L86/H86)</f>
        <v>0.17580774296377083</v>
      </c>
      <c r="O86" s="13"/>
      <c r="P86" s="1">
        <f>SUM(OSRRefP22_18x_0)</f>
        <v>31638.420000000002</v>
      </c>
      <c r="Q86" s="1"/>
      <c r="R86" s="5">
        <f t="shared" ref="R86:R93" si="64">IF(P$12=0,0,P86/P$12)</f>
        <v>2.8297289932305285E-2</v>
      </c>
      <c r="S86" s="1"/>
      <c r="T86" s="1">
        <f>SUM(OSRRefT22_18x_0)</f>
        <v>26151.57</v>
      </c>
      <c r="U86" s="1"/>
      <c r="V86" s="5">
        <f t="shared" ref="V86:V93" si="65">IF(T$12=0,0,T86/T$12)</f>
        <v>2.4406281906206379E-2</v>
      </c>
      <c r="W86" s="1"/>
      <c r="X86" s="1">
        <f t="shared" ref="X86:X93" si="66">+P86-T86</f>
        <v>5486.8500000000022</v>
      </c>
      <c r="Y86" s="1"/>
      <c r="Z86" s="5">
        <f t="shared" ref="Z86:Z93" si="67">IF(T86=0,0,X86/T86)</f>
        <v>0.2098095831340146</v>
      </c>
    </row>
    <row r="87" spans="1:26" s="24" customFormat="1" hidden="1" outlineLevel="2" x14ac:dyDescent="0.25">
      <c r="A87" s="26"/>
      <c r="B87" s="11" t="str">
        <f>CONCATENATE("          ", "6234", " - ", "EXPENDABLE SUPPLIES &amp; EQUIPMEN")</f>
        <v xml:space="preserve">          6234 - EXPENDABLE SUPPLIES &amp; EQUIPMEN</v>
      </c>
      <c r="C87" s="11"/>
      <c r="D87" s="6"/>
      <c r="E87" s="2"/>
      <c r="F87" s="7">
        <f t="shared" si="60"/>
        <v>0</v>
      </c>
      <c r="G87" s="2"/>
      <c r="H87" s="6"/>
      <c r="I87" s="2"/>
      <c r="J87" s="7">
        <f t="shared" si="61"/>
        <v>0</v>
      </c>
      <c r="K87" s="2"/>
      <c r="L87" s="6">
        <f t="shared" si="62"/>
        <v>0</v>
      </c>
      <c r="M87" s="2"/>
      <c r="N87" s="7">
        <f t="shared" si="63"/>
        <v>0</v>
      </c>
      <c r="O87" s="11"/>
      <c r="P87" s="6">
        <v>1064.24</v>
      </c>
      <c r="Q87" s="2"/>
      <c r="R87" s="7">
        <f t="shared" si="64"/>
        <v>9.5185245778887104E-4</v>
      </c>
      <c r="S87" s="2"/>
      <c r="T87" s="6">
        <v>939.33</v>
      </c>
      <c r="U87" s="2"/>
      <c r="V87" s="7">
        <f t="shared" si="65"/>
        <v>8.7664154706416637E-4</v>
      </c>
      <c r="W87" s="2"/>
      <c r="X87" s="6">
        <f t="shared" si="66"/>
        <v>124.90999999999997</v>
      </c>
      <c r="Y87" s="2"/>
      <c r="Z87" s="7">
        <f t="shared" si="67"/>
        <v>0.1329777607443603</v>
      </c>
    </row>
    <row r="88" spans="1:26" s="24" customFormat="1" hidden="1" outlineLevel="2" x14ac:dyDescent="0.25">
      <c r="A88" s="26"/>
      <c r="B88" s="11" t="str">
        <f>CONCATENATE("          ", "6237", " - ", "JANITORIAL SUPPLIES")</f>
        <v xml:space="preserve">          6237 - JANITORIAL SUPPLIES</v>
      </c>
      <c r="C88" s="11"/>
      <c r="D88" s="6">
        <v>823.74</v>
      </c>
      <c r="E88" s="2"/>
      <c r="F88" s="7">
        <f t="shared" si="60"/>
        <v>1.5554396580276012E-3</v>
      </c>
      <c r="G88" s="2"/>
      <c r="H88" s="6">
        <v>1102.57</v>
      </c>
      <c r="I88" s="2"/>
      <c r="J88" s="7">
        <f t="shared" si="61"/>
        <v>2.2431306932611901E-3</v>
      </c>
      <c r="K88" s="2"/>
      <c r="L88" s="6">
        <f t="shared" si="62"/>
        <v>-278.82999999999993</v>
      </c>
      <c r="M88" s="2"/>
      <c r="N88" s="7">
        <f t="shared" si="63"/>
        <v>-0.25289097290874951</v>
      </c>
      <c r="O88" s="11"/>
      <c r="P88" s="6">
        <v>2009.64</v>
      </c>
      <c r="Q88" s="2"/>
      <c r="R88" s="7">
        <f t="shared" si="64"/>
        <v>1.7974148437108423E-3</v>
      </c>
      <c r="S88" s="2"/>
      <c r="T88" s="6">
        <v>2361.2800000000002</v>
      </c>
      <c r="U88" s="2"/>
      <c r="V88" s="7">
        <f t="shared" si="65"/>
        <v>2.2036942844917916E-3</v>
      </c>
      <c r="W88" s="2"/>
      <c r="X88" s="6">
        <f t="shared" si="66"/>
        <v>-351.6400000000001</v>
      </c>
      <c r="Y88" s="2"/>
      <c r="Z88" s="7">
        <f t="shared" si="67"/>
        <v>-0.14891923024800111</v>
      </c>
    </row>
    <row r="89" spans="1:26" s="24" customFormat="1" hidden="1" outlineLevel="2" x14ac:dyDescent="0.25">
      <c r="A89" s="26"/>
      <c r="B89" s="11" t="str">
        <f>CONCATENATE("          ", "6241", " - ", "OFFICE EXPENSE")</f>
        <v xml:space="preserve">          6241 - OFFICE EXPENSE</v>
      </c>
      <c r="C89" s="11"/>
      <c r="D89" s="6">
        <v>504.04</v>
      </c>
      <c r="E89" s="2"/>
      <c r="F89" s="7">
        <f t="shared" si="60"/>
        <v>9.5176124169304901E-4</v>
      </c>
      <c r="G89" s="2"/>
      <c r="H89" s="6">
        <v>889.45</v>
      </c>
      <c r="I89" s="2"/>
      <c r="J89" s="7">
        <f t="shared" si="61"/>
        <v>1.8095473259032676E-3</v>
      </c>
      <c r="K89" s="2"/>
      <c r="L89" s="6">
        <f t="shared" si="62"/>
        <v>-385.41</v>
      </c>
      <c r="M89" s="2"/>
      <c r="N89" s="7">
        <f t="shared" si="63"/>
        <v>-0.43331272134465121</v>
      </c>
      <c r="O89" s="11"/>
      <c r="P89" s="6">
        <v>1462.3</v>
      </c>
      <c r="Q89" s="2"/>
      <c r="R89" s="7">
        <f t="shared" si="64"/>
        <v>1.3078759011357082E-3</v>
      </c>
      <c r="S89" s="2"/>
      <c r="T89" s="6">
        <v>3890.7</v>
      </c>
      <c r="U89" s="2"/>
      <c r="V89" s="7">
        <f t="shared" si="65"/>
        <v>3.6310447522835978E-3</v>
      </c>
      <c r="W89" s="2"/>
      <c r="X89" s="6">
        <f t="shared" si="66"/>
        <v>-2428.3999999999996</v>
      </c>
      <c r="Y89" s="2"/>
      <c r="Z89" s="7">
        <f t="shared" si="67"/>
        <v>-0.62415503636877678</v>
      </c>
    </row>
    <row r="90" spans="1:26" s="24" customFormat="1" hidden="1" outlineLevel="2" x14ac:dyDescent="0.25">
      <c r="A90" s="26"/>
      <c r="B90" s="11" t="str">
        <f>CONCATENATE("          ", "6243", " - ", "PAPER SUPPLIES")</f>
        <v xml:space="preserve">          6243 - PAPER SUPPLIES</v>
      </c>
      <c r="C90" s="11"/>
      <c r="D90" s="6">
        <v>1898.57</v>
      </c>
      <c r="E90" s="2"/>
      <c r="F90" s="7">
        <f t="shared" si="60"/>
        <v>3.5850038501729462E-3</v>
      </c>
      <c r="G90" s="2"/>
      <c r="H90" s="6">
        <v>1240.57</v>
      </c>
      <c r="I90" s="2"/>
      <c r="J90" s="7">
        <f t="shared" si="61"/>
        <v>2.523885689016602E-3</v>
      </c>
      <c r="K90" s="2"/>
      <c r="L90" s="6">
        <f t="shared" si="62"/>
        <v>658</v>
      </c>
      <c r="M90" s="2"/>
      <c r="N90" s="7">
        <f t="shared" si="63"/>
        <v>0.53040134776755854</v>
      </c>
      <c r="O90" s="11"/>
      <c r="P90" s="6">
        <v>2697.63</v>
      </c>
      <c r="Q90" s="2"/>
      <c r="R90" s="7">
        <f t="shared" si="64"/>
        <v>2.4127506443142452E-3</v>
      </c>
      <c r="S90" s="2"/>
      <c r="T90" s="6">
        <v>4375.88</v>
      </c>
      <c r="U90" s="2"/>
      <c r="V90" s="7">
        <f t="shared" si="65"/>
        <v>4.0838450948730946E-3</v>
      </c>
      <c r="W90" s="2"/>
      <c r="X90" s="6">
        <f t="shared" si="66"/>
        <v>-1678.25</v>
      </c>
      <c r="Y90" s="2"/>
      <c r="Z90" s="7">
        <f t="shared" si="67"/>
        <v>-0.38352285711673995</v>
      </c>
    </row>
    <row r="91" spans="1:26" s="24" customFormat="1" hidden="1" outlineLevel="2" x14ac:dyDescent="0.25">
      <c r="A91" s="26"/>
      <c r="B91" s="11" t="str">
        <f>CONCATENATE("          ", "6245", " - ", "PRINTING")</f>
        <v xml:space="preserve">          6245 - PRINTING</v>
      </c>
      <c r="C91" s="11"/>
      <c r="D91" s="6">
        <v>8.76</v>
      </c>
      <c r="E91" s="2"/>
      <c r="F91" s="7">
        <f t="shared" si="60"/>
        <v>1.654120402593268E-5</v>
      </c>
      <c r="G91" s="2"/>
      <c r="H91" s="6"/>
      <c r="I91" s="2"/>
      <c r="J91" s="7">
        <f t="shared" si="61"/>
        <v>0</v>
      </c>
      <c r="K91" s="2"/>
      <c r="L91" s="6">
        <f t="shared" si="62"/>
        <v>8.76</v>
      </c>
      <c r="M91" s="2"/>
      <c r="N91" s="7">
        <f t="shared" si="63"/>
        <v>0</v>
      </c>
      <c r="O91" s="11"/>
      <c r="P91" s="6">
        <v>44.3</v>
      </c>
      <c r="Q91" s="2"/>
      <c r="R91" s="7">
        <f t="shared" si="64"/>
        <v>3.962176189585712E-5</v>
      </c>
      <c r="S91" s="2"/>
      <c r="T91" s="6">
        <v>51.82</v>
      </c>
      <c r="U91" s="2"/>
      <c r="V91" s="7">
        <f t="shared" si="65"/>
        <v>4.8361667325503389E-5</v>
      </c>
      <c r="W91" s="2"/>
      <c r="X91" s="6">
        <f t="shared" si="66"/>
        <v>-7.5200000000000031</v>
      </c>
      <c r="Y91" s="2"/>
      <c r="Z91" s="7">
        <f t="shared" si="67"/>
        <v>-0.14511771516788891</v>
      </c>
    </row>
    <row r="92" spans="1:26" s="24" customFormat="1" hidden="1" outlineLevel="2" x14ac:dyDescent="0.25">
      <c r="A92" s="26"/>
      <c r="B92" s="11" t="str">
        <f>CONCATENATE("          ", "6247", " - ", "STORE SUPPLIES")</f>
        <v xml:space="preserve">          6247 - STORE SUPPLIES</v>
      </c>
      <c r="C92" s="11"/>
      <c r="D92" s="6">
        <v>3094.51</v>
      </c>
      <c r="E92" s="2"/>
      <c r="F92" s="7">
        <f t="shared" si="60"/>
        <v>5.8432558527727104E-3</v>
      </c>
      <c r="G92" s="2"/>
      <c r="H92" s="6">
        <v>2150.62</v>
      </c>
      <c r="I92" s="2"/>
      <c r="J92" s="7">
        <f t="shared" si="61"/>
        <v>4.3753428186340832E-3</v>
      </c>
      <c r="K92" s="2"/>
      <c r="L92" s="6">
        <f t="shared" si="62"/>
        <v>943.89000000000033</v>
      </c>
      <c r="M92" s="2"/>
      <c r="N92" s="7">
        <f t="shared" si="63"/>
        <v>0.43889204043485153</v>
      </c>
      <c r="O92" s="11"/>
      <c r="P92" s="6">
        <v>24360.31</v>
      </c>
      <c r="Q92" s="2"/>
      <c r="R92" s="7">
        <f t="shared" si="64"/>
        <v>2.1787774323459758E-2</v>
      </c>
      <c r="S92" s="2"/>
      <c r="T92" s="6">
        <v>13381.38</v>
      </c>
      <c r="U92" s="2"/>
      <c r="V92" s="7">
        <f t="shared" si="65"/>
        <v>1.2488341333773533E-2</v>
      </c>
      <c r="W92" s="2"/>
      <c r="X92" s="6">
        <f t="shared" si="66"/>
        <v>10978.930000000002</v>
      </c>
      <c r="Y92" s="2"/>
      <c r="Z92" s="7">
        <f t="shared" si="67"/>
        <v>0.820463210819811</v>
      </c>
    </row>
    <row r="93" spans="1:26" s="24" customFormat="1" hidden="1" outlineLevel="2" x14ac:dyDescent="0.25">
      <c r="A93" s="26"/>
      <c r="B93" s="11" t="str">
        <f>CONCATENATE("          ", "6248", " - ", "UNIFORMS")</f>
        <v xml:space="preserve">          6248 - UNIFORMS</v>
      </c>
      <c r="C93" s="11"/>
      <c r="D93" s="6"/>
      <c r="E93" s="2"/>
      <c r="F93" s="7">
        <f t="shared" si="60"/>
        <v>0</v>
      </c>
      <c r="G93" s="2"/>
      <c r="H93" s="6"/>
      <c r="I93" s="2"/>
      <c r="J93" s="7">
        <f t="shared" si="61"/>
        <v>0</v>
      </c>
      <c r="K93" s="2"/>
      <c r="L93" s="6">
        <f t="shared" si="62"/>
        <v>0</v>
      </c>
      <c r="M93" s="2"/>
      <c r="N93" s="7">
        <f t="shared" si="63"/>
        <v>0</v>
      </c>
      <c r="O93" s="11"/>
      <c r="P93" s="6"/>
      <c r="Q93" s="2"/>
      <c r="R93" s="7">
        <f t="shared" si="64"/>
        <v>0</v>
      </c>
      <c r="S93" s="2"/>
      <c r="T93" s="6">
        <v>1151.18</v>
      </c>
      <c r="U93" s="2"/>
      <c r="V93" s="7">
        <f t="shared" si="65"/>
        <v>1.074353226394693E-3</v>
      </c>
      <c r="W93" s="2"/>
      <c r="X93" s="6">
        <f t="shared" si="66"/>
        <v>-1151.18</v>
      </c>
      <c r="Y93" s="2"/>
      <c r="Z93" s="7">
        <f t="shared" si="67"/>
        <v>-1</v>
      </c>
    </row>
    <row r="94" spans="1:26" s="27" customFormat="1" outlineLevel="1" collapsed="1" x14ac:dyDescent="0.25">
      <c r="A94" s="25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SUM(OSRRefD22_19x_0)</f>
        <v>341.91</v>
      </c>
      <c r="E94" s="1"/>
      <c r="F94" s="5">
        <f t="shared" ref="F94:F99" si="68">IF(D$12=0,0,D94/D$12)</f>
        <v>6.4561678864231086E-4</v>
      </c>
      <c r="G94" s="1"/>
      <c r="H94" s="1">
        <f>SUM(OSRRefH22_19x_0)</f>
        <v>341.31</v>
      </c>
      <c r="I94" s="1"/>
      <c r="J94" s="5">
        <f t="shared" ref="J94:J99" si="69">IF(H$12=0,0,H94/H$12)</f>
        <v>6.9438034493680848E-4</v>
      </c>
      <c r="K94" s="1"/>
      <c r="L94" s="1">
        <f t="shared" ref="L94:L99" si="70">+D94-H94</f>
        <v>0.60000000000002274</v>
      </c>
      <c r="M94" s="1"/>
      <c r="N94" s="5">
        <f t="shared" ref="N94:N99" si="71">IF(H94=0,0,L94/H94)</f>
        <v>1.7579326711787604E-3</v>
      </c>
      <c r="O94" s="13"/>
      <c r="P94" s="1">
        <f>SUM(OSRRefP22_19x_0)</f>
        <v>1351.49</v>
      </c>
      <c r="Q94" s="1"/>
      <c r="R94" s="5">
        <f t="shared" ref="R94:R99" si="72">IF(P$12=0,0,P94/P$12)</f>
        <v>1.2087678326102021E-3</v>
      </c>
      <c r="S94" s="1"/>
      <c r="T94" s="1">
        <f>SUM(OSRRefT22_19x_0)</f>
        <v>1458.64</v>
      </c>
      <c r="U94" s="1"/>
      <c r="V94" s="5">
        <f t="shared" ref="V94:V99" si="73">IF(T$12=0,0,T94/T$12)</f>
        <v>1.3612941417922089E-3</v>
      </c>
      <c r="W94" s="1"/>
      <c r="X94" s="1">
        <f t="shared" ref="X94:X99" si="74">+P94-T94</f>
        <v>-107.15000000000009</v>
      </c>
      <c r="Y94" s="1"/>
      <c r="Z94" s="5">
        <f t="shared" ref="Z94:Z99" si="75">IF(T94=0,0,X94/T94)</f>
        <v>-7.3458838369988538E-2</v>
      </c>
    </row>
    <row r="95" spans="1:26" s="24" customFormat="1" hidden="1" outlineLevel="2" x14ac:dyDescent="0.25">
      <c r="A95" s="26"/>
      <c r="B95" s="11" t="str">
        <f>CONCATENATE("          ", "6309", " - ", "TELEPHONE")</f>
        <v xml:space="preserve">          6309 - TELEPHONE</v>
      </c>
      <c r="C95" s="11"/>
      <c r="D95" s="6">
        <v>341.91</v>
      </c>
      <c r="E95" s="2"/>
      <c r="F95" s="7">
        <f t="shared" si="68"/>
        <v>6.4561678864231086E-4</v>
      </c>
      <c r="G95" s="2"/>
      <c r="H95" s="6">
        <v>341.31</v>
      </c>
      <c r="I95" s="2"/>
      <c r="J95" s="7">
        <f t="shared" si="69"/>
        <v>6.9438034493680848E-4</v>
      </c>
      <c r="K95" s="2"/>
      <c r="L95" s="6">
        <f t="shared" si="70"/>
        <v>0.60000000000002274</v>
      </c>
      <c r="M95" s="2"/>
      <c r="N95" s="7">
        <f t="shared" si="71"/>
        <v>1.7579326711787604E-3</v>
      </c>
      <c r="O95" s="11"/>
      <c r="P95" s="6">
        <v>1351.49</v>
      </c>
      <c r="Q95" s="2"/>
      <c r="R95" s="7">
        <f t="shared" si="72"/>
        <v>1.2087678326102021E-3</v>
      </c>
      <c r="S95" s="2"/>
      <c r="T95" s="6">
        <v>1458.64</v>
      </c>
      <c r="U95" s="2"/>
      <c r="V95" s="7">
        <f t="shared" si="73"/>
        <v>1.3612941417922089E-3</v>
      </c>
      <c r="W95" s="2"/>
      <c r="X95" s="6">
        <f t="shared" si="74"/>
        <v>-107.15000000000009</v>
      </c>
      <c r="Y95" s="2"/>
      <c r="Z95" s="7">
        <f t="shared" si="75"/>
        <v>-7.3458838369988538E-2</v>
      </c>
    </row>
    <row r="96" spans="1:26" s="27" customFormat="1" outlineLevel="1" collapsed="1" x14ac:dyDescent="0.25">
      <c r="A96" s="25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SUM(OSRRefD22_20x_0)</f>
        <v>0</v>
      </c>
      <c r="E96" s="1"/>
      <c r="F96" s="5">
        <f t="shared" si="68"/>
        <v>0</v>
      </c>
      <c r="G96" s="1"/>
      <c r="H96" s="1">
        <f>SUM(OSRRefH22_20x_0)</f>
        <v>0</v>
      </c>
      <c r="I96" s="1"/>
      <c r="J96" s="5">
        <f t="shared" si="69"/>
        <v>0</v>
      </c>
      <c r="K96" s="1"/>
      <c r="L96" s="1">
        <f t="shared" si="70"/>
        <v>0</v>
      </c>
      <c r="M96" s="1"/>
      <c r="N96" s="5">
        <f t="shared" si="71"/>
        <v>0</v>
      </c>
      <c r="O96" s="13"/>
      <c r="P96" s="1">
        <f>SUM(OSRRefP22_20x_0)</f>
        <v>96</v>
      </c>
      <c r="Q96" s="1"/>
      <c r="R96" s="5">
        <f t="shared" si="72"/>
        <v>8.5862057381541398E-5</v>
      </c>
      <c r="S96" s="1"/>
      <c r="T96" s="1">
        <f>SUM(OSRRefT22_20x_0)</f>
        <v>98.82</v>
      </c>
      <c r="U96" s="1"/>
      <c r="V96" s="5">
        <f t="shared" si="73"/>
        <v>9.2225008975419616E-5</v>
      </c>
      <c r="W96" s="1"/>
      <c r="X96" s="1">
        <f t="shared" si="74"/>
        <v>-2.8199999999999932</v>
      </c>
      <c r="Y96" s="1"/>
      <c r="Z96" s="5">
        <f t="shared" si="75"/>
        <v>-2.8536733454766174E-2</v>
      </c>
    </row>
    <row r="97" spans="1:26" s="24" customFormat="1" hidden="1" outlineLevel="2" x14ac:dyDescent="0.25">
      <c r="A97" s="26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68"/>
        <v>0</v>
      </c>
      <c r="G97" s="2"/>
      <c r="H97" s="6"/>
      <c r="I97" s="2"/>
      <c r="J97" s="7">
        <f t="shared" si="69"/>
        <v>0</v>
      </c>
      <c r="K97" s="2"/>
      <c r="L97" s="6">
        <f t="shared" si="70"/>
        <v>0</v>
      </c>
      <c r="M97" s="2"/>
      <c r="N97" s="7">
        <f t="shared" si="71"/>
        <v>0</v>
      </c>
      <c r="O97" s="11"/>
      <c r="P97" s="6">
        <v>96</v>
      </c>
      <c r="Q97" s="2"/>
      <c r="R97" s="7">
        <f t="shared" si="72"/>
        <v>8.5862057381541398E-5</v>
      </c>
      <c r="S97" s="2"/>
      <c r="T97" s="6">
        <v>98.82</v>
      </c>
      <c r="U97" s="2"/>
      <c r="V97" s="7">
        <f t="shared" si="73"/>
        <v>9.2225008975419616E-5</v>
      </c>
      <c r="W97" s="2"/>
      <c r="X97" s="6">
        <f t="shared" si="74"/>
        <v>-2.8199999999999932</v>
      </c>
      <c r="Y97" s="2"/>
      <c r="Z97" s="7">
        <f t="shared" si="75"/>
        <v>-2.8536733454766174E-2</v>
      </c>
    </row>
    <row r="98" spans="1:26" s="27" customFormat="1" outlineLevel="1" collapsed="1" x14ac:dyDescent="0.25">
      <c r="A98" s="25"/>
      <c r="B98" s="13" t="str">
        <f>CONCATENATE("     ","Utilities                                         ")</f>
        <v xml:space="preserve">     Utilities                                         </v>
      </c>
      <c r="C98" s="13"/>
      <c r="D98" s="1">
        <f>SUM(OSRRefD22_21x_0)</f>
        <v>1005</v>
      </c>
      <c r="E98" s="1"/>
      <c r="F98" s="5">
        <f t="shared" si="68"/>
        <v>1.8977066262628247E-3</v>
      </c>
      <c r="G98" s="1"/>
      <c r="H98" s="1">
        <f>SUM(OSRRefH22_21x_0)</f>
        <v>-481.62</v>
      </c>
      <c r="I98" s="1"/>
      <c r="J98" s="5">
        <f t="shared" si="69"/>
        <v>-9.7983493518638684E-4</v>
      </c>
      <c r="K98" s="1"/>
      <c r="L98" s="1">
        <f t="shared" si="70"/>
        <v>1486.62</v>
      </c>
      <c r="M98" s="1"/>
      <c r="N98" s="5">
        <f t="shared" si="71"/>
        <v>-3.0867073626510524</v>
      </c>
      <c r="O98" s="13"/>
      <c r="P98" s="1">
        <f>SUM(OSRRefP22_21x_0)</f>
        <v>2060.12</v>
      </c>
      <c r="Q98" s="1"/>
      <c r="R98" s="5">
        <f t="shared" si="72"/>
        <v>1.8425639755506361E-3</v>
      </c>
      <c r="S98" s="1"/>
      <c r="T98" s="1">
        <f>SUM(OSRRefT22_21x_0)</f>
        <v>2275.6</v>
      </c>
      <c r="U98" s="1"/>
      <c r="V98" s="5">
        <f t="shared" si="73"/>
        <v>2.1237323459265827E-3</v>
      </c>
      <c r="W98" s="1"/>
      <c r="X98" s="1">
        <f t="shared" si="74"/>
        <v>-215.48000000000002</v>
      </c>
      <c r="Y98" s="1"/>
      <c r="Z98" s="5">
        <f t="shared" si="75"/>
        <v>-9.4691509931446663E-2</v>
      </c>
    </row>
    <row r="99" spans="1:26" s="24" customFormat="1" hidden="1" outlineLevel="2" x14ac:dyDescent="0.25">
      <c r="A99" s="26"/>
      <c r="B99" s="11" t="str">
        <f>CONCATENATE("          ", "6274", " - ", "UTILITIES")</f>
        <v xml:space="preserve">          6274 - UTILITIES</v>
      </c>
      <c r="C99" s="11"/>
      <c r="D99" s="6">
        <v>1005</v>
      </c>
      <c r="E99" s="2"/>
      <c r="F99" s="7">
        <f t="shared" si="68"/>
        <v>1.8977066262628247E-3</v>
      </c>
      <c r="G99" s="2"/>
      <c r="H99" s="6">
        <v>-481.62</v>
      </c>
      <c r="I99" s="2"/>
      <c r="J99" s="7">
        <f t="shared" si="69"/>
        <v>-9.7983493518638684E-4</v>
      </c>
      <c r="K99" s="2"/>
      <c r="L99" s="6">
        <f t="shared" si="70"/>
        <v>1486.62</v>
      </c>
      <c r="M99" s="2"/>
      <c r="N99" s="7">
        <f t="shared" si="71"/>
        <v>-3.0867073626510524</v>
      </c>
      <c r="O99" s="11"/>
      <c r="P99" s="6">
        <v>2060.12</v>
      </c>
      <c r="Q99" s="2"/>
      <c r="R99" s="7">
        <f t="shared" si="72"/>
        <v>1.8425639755506361E-3</v>
      </c>
      <c r="S99" s="2"/>
      <c r="T99" s="6">
        <v>2275.6</v>
      </c>
      <c r="U99" s="2"/>
      <c r="V99" s="7">
        <f t="shared" si="73"/>
        <v>2.1237323459265827E-3</v>
      </c>
      <c r="W99" s="2"/>
      <c r="X99" s="6">
        <f t="shared" si="74"/>
        <v>-215.48000000000002</v>
      </c>
      <c r="Y99" s="2"/>
      <c r="Z99" s="7">
        <f t="shared" si="75"/>
        <v>-9.4691509931446663E-2</v>
      </c>
    </row>
    <row r="100" spans="1:26" s="55" customFormat="1" x14ac:dyDescent="0.25">
      <c r="A100" s="37"/>
      <c r="B100" s="37"/>
      <c r="C100" s="37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7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x14ac:dyDescent="0.25">
      <c r="A101" s="10"/>
      <c r="B101" s="29" t="s">
        <v>0</v>
      </c>
      <c r="C101" s="10"/>
      <c r="D101" s="4">
        <f>SUM(0)</f>
        <v>0</v>
      </c>
      <c r="E101" s="4"/>
      <c r="F101" s="12">
        <f>IF(D$12=0,0,D101/D$12)</f>
        <v>0</v>
      </c>
      <c r="G101" s="4"/>
      <c r="H101" s="4">
        <f>SUM(0)</f>
        <v>0</v>
      </c>
      <c r="I101" s="4"/>
      <c r="J101" s="12">
        <f>IF(H$12=0,0,H101/H$12)</f>
        <v>0</v>
      </c>
      <c r="K101" s="4"/>
      <c r="L101" s="4">
        <f>+D101-H101</f>
        <v>0</v>
      </c>
      <c r="M101" s="4"/>
      <c r="N101" s="12">
        <f>IF(H101=0,0,L101/H101)</f>
        <v>0</v>
      </c>
      <c r="O101" s="10"/>
      <c r="P101" s="4">
        <f>SUM(0)</f>
        <v>0</v>
      </c>
      <c r="Q101" s="4"/>
      <c r="R101" s="12">
        <f>IF(P$12=0,0,P101/P$12)</f>
        <v>0</v>
      </c>
      <c r="S101" s="4"/>
      <c r="T101" s="4">
        <f>SUM(0)</f>
        <v>0</v>
      </c>
      <c r="U101" s="4"/>
      <c r="V101" s="12">
        <f>IF(T$12=0,0,T101/T$12)</f>
        <v>0</v>
      </c>
      <c r="W101" s="4"/>
      <c r="X101" s="4">
        <f>+P101-T101</f>
        <v>0</v>
      </c>
      <c r="Y101" s="4"/>
      <c r="Z101" s="12">
        <f>IF(T101=0,0,X101/T101)</f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8" t="s">
        <v>3</v>
      </c>
      <c r="C103" s="28"/>
      <c r="D103" s="21">
        <f>+D28-D30+D101</f>
        <v>130533.48000000001</v>
      </c>
      <c r="E103" s="14"/>
      <c r="F103" s="22">
        <f>IF(D$12=0,0,D103/D$12)</f>
        <v>0.24648184074143872</v>
      </c>
      <c r="G103" s="14"/>
      <c r="H103" s="21">
        <f>+H28-H30+H101</f>
        <v>118945.47000000006</v>
      </c>
      <c r="I103" s="14"/>
      <c r="J103" s="22">
        <f>IF(H$12=0,0,H103/H$12)</f>
        <v>0.24198938351431495</v>
      </c>
      <c r="K103" s="16"/>
      <c r="L103" s="21">
        <f>+D103-H103</f>
        <v>11588.009999999951</v>
      </c>
      <c r="M103" s="16"/>
      <c r="N103" s="22">
        <f>IF(H103=0,0,L103/H103)</f>
        <v>9.7422877895223289E-2</v>
      </c>
      <c r="O103" s="29"/>
      <c r="P103" s="21">
        <f>+P28-P30+P101</f>
        <v>147357.69999999995</v>
      </c>
      <c r="Q103" s="14"/>
      <c r="R103" s="22">
        <f>IF(P$12=0,0,P103/P$12)</f>
        <v>0.13179620096887457</v>
      </c>
      <c r="S103" s="14"/>
      <c r="T103" s="21">
        <f>+T28-T30+T101</f>
        <v>158890.87999999983</v>
      </c>
      <c r="U103" s="14"/>
      <c r="V103" s="22">
        <f>IF(T$12=0,0,T103/T$12)</f>
        <v>0.1482869139254433</v>
      </c>
      <c r="W103" s="16"/>
      <c r="X103" s="21">
        <f>+P103-T103</f>
        <v>-11533.179999999877</v>
      </c>
      <c r="Y103" s="16"/>
      <c r="Z103" s="22">
        <f>IF(T103=0,0,X103/T103)</f>
        <v>-7.2585537949062209E-2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1"/>
      <c r="B105" s="10" t="s">
        <v>13</v>
      </c>
      <c r="C105" s="10"/>
      <c r="D105" s="4">
        <v>49336.86</v>
      </c>
      <c r="E105" s="4"/>
      <c r="F105" s="12">
        <f>IF(D$12=0,0,D105/D$12)</f>
        <v>9.316108073731473E-2</v>
      </c>
      <c r="G105" s="4"/>
      <c r="H105" s="4">
        <v>46877.85</v>
      </c>
      <c r="I105" s="4"/>
      <c r="J105" s="12">
        <f>IF(H$12=0,0,H105/H$12)</f>
        <v>9.5370946215745114E-2</v>
      </c>
      <c r="K105" s="4"/>
      <c r="L105" s="4">
        <f>+D105-H105</f>
        <v>2459.010000000002</v>
      </c>
      <c r="M105" s="4"/>
      <c r="N105" s="12">
        <f>IF(H105=0,0,L105/H105)</f>
        <v>5.2455690694005852E-2</v>
      </c>
      <c r="O105" s="10"/>
      <c r="P105" s="4">
        <v>112548.03</v>
      </c>
      <c r="Q105" s="4"/>
      <c r="R105" s="12">
        <f>IF(P$12=0,0,P105/P$12)</f>
        <v>0.10066255635457753</v>
      </c>
      <c r="S105" s="4"/>
      <c r="T105" s="4">
        <v>98407.22</v>
      </c>
      <c r="U105" s="4"/>
      <c r="V105" s="12">
        <f>IF(T$12=0,0,T105/T$12)</f>
        <v>9.1839776844222759E-2</v>
      </c>
      <c r="W105" s="4"/>
      <c r="X105" s="4">
        <f>+P105-T105</f>
        <v>14140.809999999998</v>
      </c>
      <c r="Y105" s="4"/>
      <c r="Z105" s="12">
        <f>IF(T105=0,0,X105/T105)</f>
        <v>0.14369687508701087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4</v>
      </c>
      <c r="C107" s="28"/>
      <c r="D107" s="31">
        <f>+D103-D105</f>
        <v>81196.62000000001</v>
      </c>
      <c r="E107" s="14"/>
      <c r="F107" s="34">
        <f>IF(D$12=0,0,D107/D$12)</f>
        <v>0.15332076000412401</v>
      </c>
      <c r="G107" s="14"/>
      <c r="H107" s="31">
        <f>+H103-H105</f>
        <v>72067.620000000054</v>
      </c>
      <c r="I107" s="14"/>
      <c r="J107" s="34">
        <f>IF(H$12=0,0,H107/H$12)</f>
        <v>0.14661843729856983</v>
      </c>
      <c r="K107" s="16"/>
      <c r="L107" s="31">
        <f>D107-H107</f>
        <v>9128.9999999999563</v>
      </c>
      <c r="M107" s="16"/>
      <c r="N107" s="34">
        <f>IF(H107=0,0,L107/H107)</f>
        <v>0.1266726998893532</v>
      </c>
      <c r="O107" s="29"/>
      <c r="P107" s="31">
        <f>+P103-P105</f>
        <v>34809.669999999955</v>
      </c>
      <c r="Q107" s="14"/>
      <c r="R107" s="34">
        <f>IF(P$12=0,0,P107/P$12)</f>
        <v>3.1133644614297046E-2</v>
      </c>
      <c r="S107" s="14"/>
      <c r="T107" s="31">
        <f>+T103-T105</f>
        <v>60483.659999999829</v>
      </c>
      <c r="U107" s="14"/>
      <c r="V107" s="34">
        <f>IF(T$12=0,0,T107/T$12)</f>
        <v>5.6447137081220532E-2</v>
      </c>
      <c r="W107" s="16"/>
      <c r="X107" s="31">
        <f>P107-T107</f>
        <v>-25673.989999999874</v>
      </c>
      <c r="Y107" s="16"/>
      <c r="Z107" s="34">
        <f>IF(T107=0,0,X107/T107)</f>
        <v>-0.42447811524633178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8" t="s">
        <v>5</v>
      </c>
      <c r="C110" s="28"/>
      <c r="D110" s="36">
        <f>SUM(D107:D109)</f>
        <v>81196.62000000001</v>
      </c>
      <c r="E110" s="14"/>
      <c r="F110" s="33">
        <f>IF(D$12=0,0,D110/D$12)</f>
        <v>0.15332076000412401</v>
      </c>
      <c r="G110" s="14"/>
      <c r="H110" s="36">
        <f>SUM(H107:H109)</f>
        <v>72067.620000000054</v>
      </c>
      <c r="I110" s="14"/>
      <c r="J110" s="33">
        <f>IF(H$12=0,0,H110/H$12)</f>
        <v>0.14661843729856983</v>
      </c>
      <c r="K110" s="16"/>
      <c r="L110" s="36">
        <f>+D110-H110</f>
        <v>9128.9999999999563</v>
      </c>
      <c r="M110" s="16"/>
      <c r="N110" s="33">
        <f>IF(H110=0,0,L110/H110)</f>
        <v>0.1266726998893532</v>
      </c>
      <c r="O110" s="29"/>
      <c r="P110" s="36">
        <f>SUM(P107:P109)</f>
        <v>34809.669999999955</v>
      </c>
      <c r="Q110" s="14"/>
      <c r="R110" s="33">
        <f>IF(P$12=0,0,P110/P$12)</f>
        <v>3.1133644614297046E-2</v>
      </c>
      <c r="S110" s="14"/>
      <c r="T110" s="36">
        <f>SUM(T107:T109)</f>
        <v>60483.659999999829</v>
      </c>
      <c r="U110" s="14"/>
      <c r="V110" s="33">
        <f>IF(T$12=0,0,T110/T$12)</f>
        <v>5.6447137081220532E-2</v>
      </c>
      <c r="W110" s="16"/>
      <c r="X110" s="36">
        <f>+P110-T110</f>
        <v>-25673.989999999874</v>
      </c>
      <c r="Y110" s="16"/>
      <c r="Z110" s="33">
        <f>IF(T110=0,0,X110/T110)</f>
        <v>-0.42447811524633178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61">
        <v>43791.354794641207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6" t="s">
        <v>313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7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","309", " - ", "Carts")</f>
        <v>Department 309 - Carts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67114.080000000002</v>
      </c>
      <c r="E12" s="4"/>
      <c r="F12" s="12"/>
      <c r="G12" s="4"/>
      <c r="H12" s="4">
        <f>SUM(OSRRefH13x_0)</f>
        <v>68463.98000000001</v>
      </c>
      <c r="I12" s="4"/>
      <c r="J12" s="12"/>
      <c r="K12" s="4"/>
      <c r="L12" s="4">
        <f t="shared" ref="L12:L14" si="0">+D12-H12</f>
        <v>-1349.9000000000087</v>
      </c>
      <c r="M12" s="4"/>
      <c r="N12" s="12">
        <f t="shared" ref="N12:N14" si="1">IF(H12=0,0,L12/H12)</f>
        <v>-1.971693728585467E-2</v>
      </c>
      <c r="O12" s="10"/>
      <c r="P12" s="4">
        <f>SUM(OSRRefP13x_0)</f>
        <v>140711.71</v>
      </c>
      <c r="Q12" s="4"/>
      <c r="R12" s="12"/>
      <c r="S12" s="4"/>
      <c r="T12" s="4">
        <f>SUM(OSRRefT13x_0)</f>
        <v>143489.28</v>
      </c>
      <c r="U12" s="4"/>
      <c r="V12" s="12"/>
      <c r="W12" s="4"/>
      <c r="X12" s="4">
        <f t="shared" ref="X12:X14" si="2">+P12-T12</f>
        <v>-2777.570000000007</v>
      </c>
      <c r="Y12" s="4"/>
      <c r="Z12" s="12">
        <f t="shared" ref="Z12:Z14" si="3">IF(T12=0,0,X12/T12)</f>
        <v>-1.9357334568826375E-2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--15512.39</f>
        <v>15512.39</v>
      </c>
      <c r="E13" s="2"/>
      <c r="F13" s="19"/>
      <c r="G13" s="2"/>
      <c r="H13" s="2">
        <f>--14780.68</f>
        <v>14780.68</v>
      </c>
      <c r="I13" s="2"/>
      <c r="J13" s="19"/>
      <c r="K13" s="2"/>
      <c r="L13" s="2">
        <f t="shared" si="0"/>
        <v>731.70999999999913</v>
      </c>
      <c r="M13" s="2"/>
      <c r="N13" s="19">
        <f t="shared" si="1"/>
        <v>4.9504488291472325E-2</v>
      </c>
      <c r="O13" s="11"/>
      <c r="P13" s="2">
        <f>--31173.16</f>
        <v>31173.16</v>
      </c>
      <c r="Q13" s="2"/>
      <c r="R13" s="19"/>
      <c r="S13" s="2"/>
      <c r="T13" s="2">
        <f>--30730.65</f>
        <v>30730.65</v>
      </c>
      <c r="U13" s="2"/>
      <c r="V13" s="19"/>
      <c r="W13" s="2"/>
      <c r="X13" s="2">
        <f t="shared" si="2"/>
        <v>442.5099999999984</v>
      </c>
      <c r="Y13" s="2"/>
      <c r="Z13" s="19">
        <f t="shared" si="3"/>
        <v>1.4399630336488112E-2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--51601.69</f>
        <v>51601.69</v>
      </c>
      <c r="E14" s="2"/>
      <c r="F14" s="19"/>
      <c r="G14" s="2"/>
      <c r="H14" s="2">
        <f>--53683.3</f>
        <v>53683.3</v>
      </c>
      <c r="I14" s="2"/>
      <c r="J14" s="19"/>
      <c r="K14" s="2"/>
      <c r="L14" s="2">
        <f t="shared" si="0"/>
        <v>-2081.6100000000006</v>
      </c>
      <c r="M14" s="2"/>
      <c r="N14" s="19">
        <f t="shared" si="1"/>
        <v>-3.8775745902356981E-2</v>
      </c>
      <c r="O14" s="11"/>
      <c r="P14" s="2">
        <f>--109538.55</f>
        <v>109538.55</v>
      </c>
      <c r="Q14" s="2"/>
      <c r="R14" s="19"/>
      <c r="S14" s="2"/>
      <c r="T14" s="2">
        <f>--112758.63</f>
        <v>112758.63</v>
      </c>
      <c r="U14" s="2"/>
      <c r="V14" s="19"/>
      <c r="W14" s="2"/>
      <c r="X14" s="2">
        <f t="shared" si="2"/>
        <v>-3220.0800000000017</v>
      </c>
      <c r="Y14" s="2"/>
      <c r="Z14" s="19">
        <f t="shared" si="3"/>
        <v>-2.8557282045729021E-2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30603.390000000003</v>
      </c>
      <c r="E16" s="4"/>
      <c r="F16" s="12">
        <f t="shared" ref="F16:F18" si="4">IF(D$12=0,0,D16/D$12)</f>
        <v>0.45599060584604606</v>
      </c>
      <c r="G16" s="4"/>
      <c r="H16" s="4">
        <f>SUM(OSRRefH16x_0)</f>
        <v>34237.509999999995</v>
      </c>
      <c r="I16" s="4"/>
      <c r="J16" s="12">
        <f t="shared" ref="J16:J18" si="5">IF(H$12=0,0,H16/H$12)</f>
        <v>0.50008062633811223</v>
      </c>
      <c r="K16" s="4"/>
      <c r="L16" s="4">
        <f t="shared" ref="L16:L18" si="6">+D16-H16</f>
        <v>-3634.1199999999917</v>
      </c>
      <c r="M16" s="4"/>
      <c r="N16" s="12">
        <f t="shared" ref="N16:N18" si="7">IF(H16=0,0,L16/H16)</f>
        <v>-0.10614440127217173</v>
      </c>
      <c r="O16" s="10"/>
      <c r="P16" s="4">
        <f>SUM(OSRRefP16x_0)</f>
        <v>64728.030000000006</v>
      </c>
      <c r="Q16" s="4"/>
      <c r="R16" s="12">
        <f t="shared" ref="R16:R18" si="8">IF(P$12=0,0,P16/P$12)</f>
        <v>0.46000457246948395</v>
      </c>
      <c r="S16" s="4"/>
      <c r="T16" s="4">
        <f>SUM(OSRRefT16x_0)</f>
        <v>68636.280000000013</v>
      </c>
      <c r="U16" s="4"/>
      <c r="V16" s="12">
        <f t="shared" ref="V16:V18" si="9">IF(T$12=0,0,T16/T$12)</f>
        <v>0.47833733641983578</v>
      </c>
      <c r="W16" s="4"/>
      <c r="X16" s="4">
        <f t="shared" ref="X16:X18" si="10">+P16-T16</f>
        <v>-3908.2500000000073</v>
      </c>
      <c r="Y16" s="4"/>
      <c r="Z16" s="12">
        <f t="shared" ref="Z16:Z18" si="11">IF(T16=0,0,X16/T16)</f>
        <v>-5.6941460114097189E-2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31556.670000000002</v>
      </c>
      <c r="E17" s="2"/>
      <c r="F17" s="19">
        <f t="shared" si="4"/>
        <v>0.47019448080045201</v>
      </c>
      <c r="G17" s="2"/>
      <c r="H17" s="2">
        <v>29860.69</v>
      </c>
      <c r="I17" s="2"/>
      <c r="J17" s="19">
        <f t="shared" si="5"/>
        <v>0.43615182757414911</v>
      </c>
      <c r="K17" s="2"/>
      <c r="L17" s="2">
        <f t="shared" si="6"/>
        <v>1695.9800000000032</v>
      </c>
      <c r="M17" s="2"/>
      <c r="N17" s="19">
        <f t="shared" si="7"/>
        <v>5.6796410263795089E-2</v>
      </c>
      <c r="O17" s="11"/>
      <c r="P17" s="2">
        <v>72707.960000000006</v>
      </c>
      <c r="Q17" s="2"/>
      <c r="R17" s="19">
        <f t="shared" si="8"/>
        <v>0.51671577298008819</v>
      </c>
      <c r="S17" s="2"/>
      <c r="T17" s="2">
        <v>73302.070000000007</v>
      </c>
      <c r="U17" s="2"/>
      <c r="V17" s="19">
        <f t="shared" si="9"/>
        <v>0.51085398156573092</v>
      </c>
      <c r="W17" s="2"/>
      <c r="X17" s="2">
        <f t="shared" si="10"/>
        <v>-594.11000000000058</v>
      </c>
      <c r="Y17" s="2"/>
      <c r="Z17" s="19">
        <f t="shared" si="11"/>
        <v>-8.1049552898028732E-3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-953.28</v>
      </c>
      <c r="E18" s="2"/>
      <c r="F18" s="19">
        <f t="shared" si="4"/>
        <v>-1.420387495440599E-2</v>
      </c>
      <c r="G18" s="2"/>
      <c r="H18" s="2">
        <v>4376.82</v>
      </c>
      <c r="I18" s="2"/>
      <c r="J18" s="19">
        <f t="shared" si="5"/>
        <v>6.3928798763963166E-2</v>
      </c>
      <c r="K18" s="2"/>
      <c r="L18" s="2">
        <f t="shared" si="6"/>
        <v>-5330.0999999999995</v>
      </c>
      <c r="M18" s="2"/>
      <c r="N18" s="19">
        <f t="shared" si="7"/>
        <v>-1.2178019658107941</v>
      </c>
      <c r="O18" s="11"/>
      <c r="P18" s="2">
        <v>-7979.93</v>
      </c>
      <c r="Q18" s="2"/>
      <c r="R18" s="19">
        <f t="shared" si="8"/>
        <v>-5.6711200510604277E-2</v>
      </c>
      <c r="S18" s="2"/>
      <c r="T18" s="2">
        <v>-4665.79</v>
      </c>
      <c r="U18" s="2"/>
      <c r="V18" s="19">
        <f t="shared" si="9"/>
        <v>-3.2516645145895216E-2</v>
      </c>
      <c r="W18" s="2"/>
      <c r="X18" s="2">
        <f t="shared" si="10"/>
        <v>-3314.1400000000003</v>
      </c>
      <c r="Y18" s="2"/>
      <c r="Z18" s="19">
        <f t="shared" si="11"/>
        <v>0.71030629325366135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36510.69</v>
      </c>
      <c r="E20" s="14"/>
      <c r="F20" s="22">
        <f>IF(D$12=0,0,D20/D$12)</f>
        <v>0.544009394153954</v>
      </c>
      <c r="G20" s="14"/>
      <c r="H20" s="21">
        <f>H12-H16</f>
        <v>34226.470000000016</v>
      </c>
      <c r="I20" s="14"/>
      <c r="J20" s="22">
        <f>IF(H$12=0,0,H20/H$12)</f>
        <v>0.49991937366188777</v>
      </c>
      <c r="K20" s="16"/>
      <c r="L20" s="21">
        <f>+D20-H20</f>
        <v>2284.2199999999866</v>
      </c>
      <c r="M20" s="16"/>
      <c r="N20" s="22">
        <f>IF(H20=0,0,L20/H20)</f>
        <v>6.6738404515568964E-2</v>
      </c>
      <c r="O20" s="29"/>
      <c r="P20" s="21">
        <f>P12-P16</f>
        <v>75983.679999999993</v>
      </c>
      <c r="Q20" s="14"/>
      <c r="R20" s="22">
        <f>IF(P$12=0,0,P20/P$12)</f>
        <v>0.5399954275305161</v>
      </c>
      <c r="S20" s="14"/>
      <c r="T20" s="21">
        <f>T12-T16</f>
        <v>74852.999999999985</v>
      </c>
      <c r="U20" s="14"/>
      <c r="V20" s="22">
        <f>IF(T$12=0,0,T20/T$12)</f>
        <v>0.52166266358016422</v>
      </c>
      <c r="W20" s="16"/>
      <c r="X20" s="21">
        <f>+P20-T20</f>
        <v>1130.6800000000076</v>
      </c>
      <c r="Y20" s="16"/>
      <c r="Z20" s="22">
        <f>IF(T20=0,0,X20/T20)</f>
        <v>1.5105339799340143E-2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20820.560000000001</v>
      </c>
      <c r="E22" s="20"/>
      <c r="F22" s="35">
        <f t="shared" ref="F22:F31" si="12">IF(D$12=0,0,D22/D$12)</f>
        <v>0.31022640852709299</v>
      </c>
      <c r="G22" s="20"/>
      <c r="H22" s="20">
        <f>SUM(OSRRefH22x_0)</f>
        <v>23003.109999999997</v>
      </c>
      <c r="I22" s="20"/>
      <c r="J22" s="35">
        <f t="shared" ref="J22:J31" si="13">IF(H$12=0,0,H22/H$12)</f>
        <v>0.33598850081458881</v>
      </c>
      <c r="K22" s="4"/>
      <c r="L22" s="20">
        <f t="shared" ref="L22:L31" si="14">+D22-H22</f>
        <v>-2182.5499999999956</v>
      </c>
      <c r="M22" s="4"/>
      <c r="N22" s="35">
        <f t="shared" ref="N22:N31" si="15">IF(H22=0,0,L22/H22)</f>
        <v>-9.488064874706055E-2</v>
      </c>
      <c r="O22" s="10"/>
      <c r="P22" s="20">
        <f>SUM(OSRRefP22x_0)</f>
        <v>65731.92</v>
      </c>
      <c r="Q22" s="20"/>
      <c r="R22" s="35">
        <f t="shared" ref="R22:R31" si="16">IF(P$12=0,0,P22/P$12)</f>
        <v>0.46713894671594852</v>
      </c>
      <c r="S22" s="20"/>
      <c r="T22" s="20">
        <f>SUM(OSRRefT22x_0)</f>
        <v>63531.730000000018</v>
      </c>
      <c r="U22" s="20"/>
      <c r="V22" s="35">
        <f t="shared" ref="V22:V31" si="17">IF(T$12=0,0,T22/T$12)</f>
        <v>0.4427629018697426</v>
      </c>
      <c r="W22" s="4"/>
      <c r="X22" s="20">
        <f t="shared" ref="X22:X31" si="18">+P22-T22</f>
        <v>2200.1899999999805</v>
      </c>
      <c r="Y22" s="4"/>
      <c r="Z22" s="35">
        <f t="shared" ref="Z22:Z31" si="19">IF(T22=0,0,X22/T22)</f>
        <v>3.4631356646513164E-2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2487.48</v>
      </c>
      <c r="E23" s="1"/>
      <c r="F23" s="5">
        <f t="shared" si="12"/>
        <v>3.7063459709199616E-2</v>
      </c>
      <c r="G23" s="1"/>
      <c r="H23" s="1">
        <f>SUM(OSRRefH22_0x_0)</f>
        <v>4067.37</v>
      </c>
      <c r="I23" s="1"/>
      <c r="J23" s="5">
        <f t="shared" si="13"/>
        <v>5.9408903776847322E-2</v>
      </c>
      <c r="K23" s="1"/>
      <c r="L23" s="1">
        <f t="shared" si="14"/>
        <v>-1579.8899999999999</v>
      </c>
      <c r="M23" s="1"/>
      <c r="N23" s="5">
        <f t="shared" si="15"/>
        <v>-0.38843036163417638</v>
      </c>
      <c r="O23" s="13"/>
      <c r="P23" s="1">
        <f>SUM(OSRRefP22_0x_0)</f>
        <v>8520.02</v>
      </c>
      <c r="Q23" s="1"/>
      <c r="R23" s="5">
        <f t="shared" si="16"/>
        <v>6.0549473814226269E-2</v>
      </c>
      <c r="S23" s="1"/>
      <c r="T23" s="1">
        <f>SUM(OSRRefT22_0x_0)</f>
        <v>12478.119999999999</v>
      </c>
      <c r="U23" s="1"/>
      <c r="V23" s="5">
        <f t="shared" si="17"/>
        <v>8.6962036467114465E-2</v>
      </c>
      <c r="W23" s="1"/>
      <c r="X23" s="1">
        <f t="shared" si="18"/>
        <v>-3958.0999999999985</v>
      </c>
      <c r="Y23" s="1"/>
      <c r="Z23" s="5">
        <f t="shared" si="19"/>
        <v>-0.31720323253823485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779.56</v>
      </c>
      <c r="E24" s="2"/>
      <c r="F24" s="7">
        <f t="shared" si="12"/>
        <v>1.1615446416012854E-2</v>
      </c>
      <c r="G24" s="2"/>
      <c r="H24" s="6">
        <v>871.44</v>
      </c>
      <c r="I24" s="2"/>
      <c r="J24" s="7">
        <f t="shared" si="13"/>
        <v>1.2728444942873609E-2</v>
      </c>
      <c r="K24" s="2"/>
      <c r="L24" s="6">
        <f t="shared" si="14"/>
        <v>-91.880000000000109</v>
      </c>
      <c r="M24" s="2"/>
      <c r="N24" s="7">
        <f t="shared" si="15"/>
        <v>-0.10543468282383194</v>
      </c>
      <c r="O24" s="11"/>
      <c r="P24" s="6">
        <v>1855.84</v>
      </c>
      <c r="Q24" s="2"/>
      <c r="R24" s="7">
        <f t="shared" si="16"/>
        <v>1.31889520779756E-2</v>
      </c>
      <c r="S24" s="2"/>
      <c r="T24" s="6">
        <v>2013.04</v>
      </c>
      <c r="U24" s="2"/>
      <c r="V24" s="7">
        <f t="shared" si="17"/>
        <v>1.4029201345215476E-2</v>
      </c>
      <c r="W24" s="2"/>
      <c r="X24" s="6">
        <f t="shared" si="18"/>
        <v>-157.20000000000005</v>
      </c>
      <c r="Y24" s="2"/>
      <c r="Z24" s="7">
        <f t="shared" si="19"/>
        <v>-7.8090847673170954E-2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24.18</v>
      </c>
      <c r="E25" s="2"/>
      <c r="F25" s="7">
        <f t="shared" si="12"/>
        <v>3.6028207493867155E-4</v>
      </c>
      <c r="G25" s="2"/>
      <c r="H25" s="6">
        <v>294.55</v>
      </c>
      <c r="I25" s="2"/>
      <c r="J25" s="7">
        <f t="shared" si="13"/>
        <v>4.3022622990950858E-3</v>
      </c>
      <c r="K25" s="2"/>
      <c r="L25" s="6">
        <f t="shared" si="14"/>
        <v>-270.37</v>
      </c>
      <c r="M25" s="2"/>
      <c r="N25" s="7">
        <f t="shared" si="15"/>
        <v>-0.91790867424885414</v>
      </c>
      <c r="O25" s="11"/>
      <c r="P25" s="6">
        <v>504.03</v>
      </c>
      <c r="Q25" s="2"/>
      <c r="R25" s="7">
        <f t="shared" si="16"/>
        <v>3.5820046533440609E-3</v>
      </c>
      <c r="S25" s="2"/>
      <c r="T25" s="6">
        <v>453.4</v>
      </c>
      <c r="U25" s="2"/>
      <c r="V25" s="7">
        <f t="shared" si="17"/>
        <v>3.1598179320434252E-3</v>
      </c>
      <c r="W25" s="2"/>
      <c r="X25" s="6">
        <f t="shared" si="18"/>
        <v>50.629999999999995</v>
      </c>
      <c r="Y25" s="2"/>
      <c r="Z25" s="7">
        <f t="shared" si="19"/>
        <v>0.11166740185266873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965.94</v>
      </c>
      <c r="E26" s="2"/>
      <c r="F26" s="7">
        <f t="shared" si="12"/>
        <v>1.4392508993641872E-2</v>
      </c>
      <c r="G26" s="2"/>
      <c r="H26" s="6">
        <v>2005.79</v>
      </c>
      <c r="I26" s="2"/>
      <c r="J26" s="7">
        <f t="shared" si="13"/>
        <v>2.9297011362763303E-2</v>
      </c>
      <c r="K26" s="2"/>
      <c r="L26" s="6">
        <f t="shared" si="14"/>
        <v>-1039.8499999999999</v>
      </c>
      <c r="M26" s="2"/>
      <c r="N26" s="7">
        <f t="shared" si="15"/>
        <v>-0.51842416205086272</v>
      </c>
      <c r="O26" s="11"/>
      <c r="P26" s="6">
        <v>3863.76</v>
      </c>
      <c r="Q26" s="2"/>
      <c r="R26" s="7">
        <f t="shared" si="16"/>
        <v>2.7458695512974723E-2</v>
      </c>
      <c r="S26" s="2"/>
      <c r="T26" s="6">
        <v>6753.08</v>
      </c>
      <c r="U26" s="2"/>
      <c r="V26" s="7">
        <f t="shared" si="17"/>
        <v>4.7063306750162799E-2</v>
      </c>
      <c r="W26" s="2"/>
      <c r="X26" s="6">
        <f t="shared" si="18"/>
        <v>-2889.3199999999997</v>
      </c>
      <c r="Y26" s="2"/>
      <c r="Z26" s="7">
        <f t="shared" si="19"/>
        <v>-0.42785218004229175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30.89</v>
      </c>
      <c r="E27" s="2"/>
      <c r="F27" s="7">
        <f t="shared" si="12"/>
        <v>4.6026109573430791E-4</v>
      </c>
      <c r="G27" s="2"/>
      <c r="H27" s="6">
        <v>37.840000000000003</v>
      </c>
      <c r="I27" s="2"/>
      <c r="J27" s="7">
        <f t="shared" si="13"/>
        <v>5.5269939024871174E-4</v>
      </c>
      <c r="K27" s="2"/>
      <c r="L27" s="6">
        <f t="shared" si="14"/>
        <v>-6.9500000000000028</v>
      </c>
      <c r="M27" s="2"/>
      <c r="N27" s="7">
        <f t="shared" si="15"/>
        <v>-0.18366807610993663</v>
      </c>
      <c r="O27" s="11"/>
      <c r="P27" s="6">
        <v>84.63</v>
      </c>
      <c r="Q27" s="2"/>
      <c r="R27" s="7">
        <f t="shared" si="16"/>
        <v>6.0144248122633145E-4</v>
      </c>
      <c r="S27" s="2"/>
      <c r="T27" s="6">
        <v>99.07</v>
      </c>
      <c r="U27" s="2"/>
      <c r="V27" s="7">
        <f t="shared" si="17"/>
        <v>6.9043485339113832E-4</v>
      </c>
      <c r="W27" s="2"/>
      <c r="X27" s="6">
        <f t="shared" si="18"/>
        <v>-14.439999999999998</v>
      </c>
      <c r="Y27" s="2"/>
      <c r="Z27" s="7">
        <f t="shared" si="19"/>
        <v>-0.14575552639547792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268.22000000000003</v>
      </c>
      <c r="E28" s="2"/>
      <c r="F28" s="7">
        <f t="shared" si="12"/>
        <v>3.9964788312675968E-3</v>
      </c>
      <c r="G28" s="2"/>
      <c r="H28" s="6">
        <v>248.06</v>
      </c>
      <c r="I28" s="2"/>
      <c r="J28" s="7">
        <f t="shared" si="13"/>
        <v>3.6232191000289491E-3</v>
      </c>
      <c r="K28" s="2"/>
      <c r="L28" s="6">
        <f t="shared" si="14"/>
        <v>20.160000000000025</v>
      </c>
      <c r="M28" s="2"/>
      <c r="N28" s="7">
        <f t="shared" si="15"/>
        <v>8.1270660324115229E-2</v>
      </c>
      <c r="O28" s="11"/>
      <c r="P28" s="6">
        <v>670.55</v>
      </c>
      <c r="Q28" s="2"/>
      <c r="R28" s="7">
        <f t="shared" si="16"/>
        <v>4.7654171781438799E-3</v>
      </c>
      <c r="S28" s="2"/>
      <c r="T28" s="6">
        <v>1112.6600000000001</v>
      </c>
      <c r="U28" s="2"/>
      <c r="V28" s="7">
        <f t="shared" si="17"/>
        <v>7.75430749948707E-3</v>
      </c>
      <c r="W28" s="2"/>
      <c r="X28" s="6">
        <f t="shared" si="18"/>
        <v>-442.11000000000013</v>
      </c>
      <c r="Y28" s="2"/>
      <c r="Z28" s="7">
        <f t="shared" si="19"/>
        <v>-0.39734510092930464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110.88</v>
      </c>
      <c r="E29" s="2"/>
      <c r="F29" s="7">
        <f t="shared" si="12"/>
        <v>1.6521123436393675E-3</v>
      </c>
      <c r="G29" s="2"/>
      <c r="H29" s="6">
        <v>209.37</v>
      </c>
      <c r="I29" s="2"/>
      <c r="J29" s="7">
        <f t="shared" si="13"/>
        <v>3.0581044222085831E-3</v>
      </c>
      <c r="K29" s="2"/>
      <c r="L29" s="6">
        <f t="shared" si="14"/>
        <v>-98.490000000000009</v>
      </c>
      <c r="M29" s="2"/>
      <c r="N29" s="7">
        <f t="shared" si="15"/>
        <v>-0.47041123370110333</v>
      </c>
      <c r="O29" s="11"/>
      <c r="P29" s="6">
        <v>406.56</v>
      </c>
      <c r="Q29" s="2"/>
      <c r="R29" s="7">
        <f t="shared" si="16"/>
        <v>2.8893117708540393E-3</v>
      </c>
      <c r="S29" s="2"/>
      <c r="T29" s="6">
        <v>636.69000000000005</v>
      </c>
      <c r="U29" s="2"/>
      <c r="V29" s="7">
        <f t="shared" si="17"/>
        <v>4.4371955870152816E-3</v>
      </c>
      <c r="W29" s="2"/>
      <c r="X29" s="6">
        <f t="shared" si="18"/>
        <v>-230.13000000000005</v>
      </c>
      <c r="Y29" s="2"/>
      <c r="Z29" s="7">
        <f t="shared" si="19"/>
        <v>-0.36144748621778267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132.84</v>
      </c>
      <c r="E30" s="2"/>
      <c r="F30" s="7">
        <f t="shared" si="12"/>
        <v>1.9793164116978135E-3</v>
      </c>
      <c r="G30" s="2"/>
      <c r="H30" s="6">
        <v>250.86</v>
      </c>
      <c r="I30" s="2"/>
      <c r="J30" s="7">
        <f t="shared" si="13"/>
        <v>3.6641165179120464E-3</v>
      </c>
      <c r="K30" s="2"/>
      <c r="L30" s="6">
        <f t="shared" si="14"/>
        <v>-118.02000000000001</v>
      </c>
      <c r="M30" s="2"/>
      <c r="N30" s="7">
        <f t="shared" si="15"/>
        <v>-0.47046161205453241</v>
      </c>
      <c r="O30" s="11"/>
      <c r="P30" s="6">
        <v>487.08</v>
      </c>
      <c r="Q30" s="2"/>
      <c r="R30" s="7">
        <f t="shared" si="16"/>
        <v>3.4615455956011052E-3</v>
      </c>
      <c r="S30" s="2"/>
      <c r="T30" s="6">
        <v>814.13</v>
      </c>
      <c r="U30" s="2"/>
      <c r="V30" s="7">
        <f t="shared" si="17"/>
        <v>5.6738036458193952E-3</v>
      </c>
      <c r="W30" s="2"/>
      <c r="X30" s="6">
        <f t="shared" si="18"/>
        <v>-327.05</v>
      </c>
      <c r="Y30" s="2"/>
      <c r="Z30" s="7">
        <f t="shared" si="19"/>
        <v>-0.40171717047645955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174.97</v>
      </c>
      <c r="E31" s="2"/>
      <c r="F31" s="7">
        <f t="shared" si="12"/>
        <v>2.6070535422671368E-3</v>
      </c>
      <c r="G31" s="2"/>
      <c r="H31" s="6">
        <v>149.46</v>
      </c>
      <c r="I31" s="2"/>
      <c r="J31" s="7">
        <f t="shared" si="13"/>
        <v>2.1830457417170313E-3</v>
      </c>
      <c r="K31" s="2"/>
      <c r="L31" s="6">
        <f t="shared" si="14"/>
        <v>25.509999999999991</v>
      </c>
      <c r="M31" s="2"/>
      <c r="N31" s="7">
        <f t="shared" si="15"/>
        <v>0.17068111869396488</v>
      </c>
      <c r="O31" s="11"/>
      <c r="P31" s="6">
        <v>647.57000000000005</v>
      </c>
      <c r="Q31" s="2"/>
      <c r="R31" s="7">
        <f t="shared" si="16"/>
        <v>4.602104544106529E-3</v>
      </c>
      <c r="S31" s="2"/>
      <c r="T31" s="6">
        <v>596.04999999999995</v>
      </c>
      <c r="U31" s="2"/>
      <c r="V31" s="7">
        <f t="shared" si="17"/>
        <v>4.1539688539798929E-3</v>
      </c>
      <c r="W31" s="2"/>
      <c r="X31" s="6">
        <f t="shared" si="18"/>
        <v>51.520000000000095</v>
      </c>
      <c r="Y31" s="2"/>
      <c r="Z31" s="7">
        <f t="shared" si="19"/>
        <v>8.643570170287744E-2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14084.86</v>
      </c>
      <c r="E32" s="1"/>
      <c r="F32" s="5">
        <f t="shared" ref="F32:F37" si="20">IF(D$12=0,0,D32/D$12)</f>
        <v>0.2098644576518072</v>
      </c>
      <c r="G32" s="1"/>
      <c r="H32" s="1">
        <f>SUM(OSRRefH22_1x_0)</f>
        <v>14702.86</v>
      </c>
      <c r="I32" s="1"/>
      <c r="J32" s="5">
        <f t="shared" ref="J32:J37" si="21">IF(H$12=0,0,H32/H$12)</f>
        <v>0.21475321767738303</v>
      </c>
      <c r="K32" s="1"/>
      <c r="L32" s="1">
        <f t="shared" ref="L32:L37" si="22">+D32-H32</f>
        <v>-618</v>
      </c>
      <c r="M32" s="1"/>
      <c r="N32" s="5">
        <f t="shared" ref="N32:N37" si="23">IF(H32=0,0,L32/H32)</f>
        <v>-4.2032638547874354E-2</v>
      </c>
      <c r="O32" s="13"/>
      <c r="P32" s="1">
        <f>SUM(OSRRefP22_1x_0)</f>
        <v>36190.560000000005</v>
      </c>
      <c r="Q32" s="1"/>
      <c r="R32" s="5">
        <f t="shared" ref="R32:R37" si="24">IF(P$12=0,0,P32/P$12)</f>
        <v>0.25719650482536249</v>
      </c>
      <c r="S32" s="1"/>
      <c r="T32" s="1">
        <f>SUM(OSRRefT22_1x_0)</f>
        <v>37269.93</v>
      </c>
      <c r="U32" s="1"/>
      <c r="V32" s="5">
        <f t="shared" ref="V32:V37" si="25">IF(T$12=0,0,T32/T$12)</f>
        <v>0.25974017013675166</v>
      </c>
      <c r="W32" s="1"/>
      <c r="X32" s="1">
        <f t="shared" ref="X32:X37" si="26">+P32-T32</f>
        <v>-1079.3699999999953</v>
      </c>
      <c r="Y32" s="1"/>
      <c r="Z32" s="5">
        <f t="shared" ref="Z32:Z37" si="27">IF(T32=0,0,X32/T32)</f>
        <v>-2.8960880795858627E-2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2280</v>
      </c>
      <c r="E33" s="2"/>
      <c r="F33" s="7">
        <f t="shared" si="20"/>
        <v>3.3972007066177472E-2</v>
      </c>
      <c r="G33" s="2"/>
      <c r="H33" s="6">
        <v>4532.3999999999996</v>
      </c>
      <c r="I33" s="2"/>
      <c r="J33" s="7">
        <f t="shared" si="21"/>
        <v>6.6201234576196116E-2</v>
      </c>
      <c r="K33" s="2"/>
      <c r="L33" s="6">
        <f t="shared" si="22"/>
        <v>-2252.3999999999996</v>
      </c>
      <c r="M33" s="2"/>
      <c r="N33" s="7">
        <f t="shared" si="23"/>
        <v>-0.49695525549377811</v>
      </c>
      <c r="O33" s="11"/>
      <c r="P33" s="6">
        <v>8136</v>
      </c>
      <c r="Q33" s="2"/>
      <c r="R33" s="7">
        <f t="shared" si="24"/>
        <v>5.7820347716618613E-2</v>
      </c>
      <c r="S33" s="2"/>
      <c r="T33" s="6">
        <v>14683.68</v>
      </c>
      <c r="U33" s="2"/>
      <c r="V33" s="7">
        <f t="shared" si="25"/>
        <v>0.10233294083014424</v>
      </c>
      <c r="W33" s="2"/>
      <c r="X33" s="6">
        <f t="shared" si="26"/>
        <v>-6547.68</v>
      </c>
      <c r="Y33" s="2"/>
      <c r="Z33" s="7">
        <f t="shared" si="27"/>
        <v>-0.44591546533294107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3815.79</v>
      </c>
      <c r="E34" s="2"/>
      <c r="F34" s="7">
        <f t="shared" si="20"/>
        <v>5.6855282825898829E-2</v>
      </c>
      <c r="G34" s="2"/>
      <c r="H34" s="6">
        <v>1482.62</v>
      </c>
      <c r="I34" s="2"/>
      <c r="J34" s="7">
        <f t="shared" si="21"/>
        <v>2.1655474893513344E-2</v>
      </c>
      <c r="K34" s="2"/>
      <c r="L34" s="6">
        <f t="shared" si="22"/>
        <v>2333.17</v>
      </c>
      <c r="M34" s="2"/>
      <c r="N34" s="7">
        <f t="shared" si="23"/>
        <v>1.5736803766305596</v>
      </c>
      <c r="O34" s="11"/>
      <c r="P34" s="6">
        <v>10259.870000000001</v>
      </c>
      <c r="Q34" s="2"/>
      <c r="R34" s="7">
        <f t="shared" si="24"/>
        <v>7.2914116387328393E-2</v>
      </c>
      <c r="S34" s="2"/>
      <c r="T34" s="6">
        <v>2275.8200000000002</v>
      </c>
      <c r="U34" s="2"/>
      <c r="V34" s="7">
        <f t="shared" si="25"/>
        <v>1.5860557666746954E-2</v>
      </c>
      <c r="W34" s="2"/>
      <c r="X34" s="6">
        <f t="shared" si="26"/>
        <v>7984.0500000000011</v>
      </c>
      <c r="Y34" s="2"/>
      <c r="Z34" s="7">
        <f t="shared" si="27"/>
        <v>3.5082080305120793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1524.57</v>
      </c>
      <c r="I35" s="2"/>
      <c r="J35" s="7">
        <f t="shared" si="21"/>
        <v>2.2268205850726173E-2</v>
      </c>
      <c r="K35" s="2"/>
      <c r="L35" s="6">
        <f t="shared" si="22"/>
        <v>-1524.57</v>
      </c>
      <c r="M35" s="2"/>
      <c r="N35" s="7">
        <f t="shared" si="23"/>
        <v>-1</v>
      </c>
      <c r="O35" s="11"/>
      <c r="P35" s="6">
        <v>173.63</v>
      </c>
      <c r="Q35" s="2"/>
      <c r="R35" s="7">
        <f t="shared" si="24"/>
        <v>1.2339413684902274E-3</v>
      </c>
      <c r="S35" s="2"/>
      <c r="T35" s="6">
        <v>2929.89</v>
      </c>
      <c r="U35" s="2"/>
      <c r="V35" s="7">
        <f t="shared" si="25"/>
        <v>2.0418877284769984E-2</v>
      </c>
      <c r="W35" s="2"/>
      <c r="X35" s="6">
        <f t="shared" si="26"/>
        <v>-2756.2599999999998</v>
      </c>
      <c r="Y35" s="2"/>
      <c r="Z35" s="7">
        <f t="shared" si="27"/>
        <v>-0.94073838949585131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7932.07</v>
      </c>
      <c r="E36" s="2"/>
      <c r="F36" s="7">
        <f t="shared" si="20"/>
        <v>0.11818786758307645</v>
      </c>
      <c r="G36" s="2"/>
      <c r="H36" s="6">
        <v>7163.27</v>
      </c>
      <c r="I36" s="2"/>
      <c r="J36" s="7">
        <f t="shared" si="21"/>
        <v>0.10462830235694739</v>
      </c>
      <c r="K36" s="2"/>
      <c r="L36" s="6">
        <f t="shared" si="22"/>
        <v>768.79999999999927</v>
      </c>
      <c r="M36" s="2"/>
      <c r="N36" s="7">
        <f t="shared" si="23"/>
        <v>0.10732528579824567</v>
      </c>
      <c r="O36" s="11"/>
      <c r="P36" s="6">
        <v>17564.060000000001</v>
      </c>
      <c r="Q36" s="2"/>
      <c r="R36" s="7">
        <f t="shared" si="24"/>
        <v>0.12482301579591353</v>
      </c>
      <c r="S36" s="2"/>
      <c r="T36" s="6">
        <v>15994.54</v>
      </c>
      <c r="U36" s="2"/>
      <c r="V36" s="7">
        <f t="shared" si="25"/>
        <v>0.11146853618611788</v>
      </c>
      <c r="W36" s="2"/>
      <c r="X36" s="6">
        <f t="shared" si="26"/>
        <v>1569.5200000000004</v>
      </c>
      <c r="Y36" s="2"/>
      <c r="Z36" s="7">
        <f t="shared" si="27"/>
        <v>9.8128486345965577E-2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57</v>
      </c>
      <c r="E37" s="2"/>
      <c r="F37" s="7">
        <f t="shared" si="20"/>
        <v>8.4930017665443673E-4</v>
      </c>
      <c r="G37" s="2"/>
      <c r="H37" s="6"/>
      <c r="I37" s="2"/>
      <c r="J37" s="7">
        <f t="shared" si="21"/>
        <v>0</v>
      </c>
      <c r="K37" s="2"/>
      <c r="L37" s="6">
        <f t="shared" si="22"/>
        <v>57</v>
      </c>
      <c r="M37" s="2"/>
      <c r="N37" s="7">
        <f t="shared" si="23"/>
        <v>0</v>
      </c>
      <c r="O37" s="11"/>
      <c r="P37" s="6">
        <v>57</v>
      </c>
      <c r="Q37" s="2"/>
      <c r="R37" s="7">
        <f t="shared" si="24"/>
        <v>4.0508355701170855E-4</v>
      </c>
      <c r="S37" s="2"/>
      <c r="T37" s="6">
        <v>1386</v>
      </c>
      <c r="U37" s="2"/>
      <c r="V37" s="7">
        <f t="shared" si="25"/>
        <v>9.6592581689726228E-3</v>
      </c>
      <c r="W37" s="2"/>
      <c r="X37" s="6">
        <f t="shared" si="26"/>
        <v>-1329</v>
      </c>
      <c r="Y37" s="2"/>
      <c r="Z37" s="7">
        <f t="shared" si="27"/>
        <v>-0.95887445887445888</v>
      </c>
    </row>
    <row r="38" spans="1:26" s="27" customFormat="1" outlineLevel="1" collapsed="1" x14ac:dyDescent="0.25">
      <c r="A38" s="25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21</v>
      </c>
      <c r="E38" s="1"/>
      <c r="F38" s="5">
        <f t="shared" ref="F38:F50" si="28">IF(D$12=0,0,D38/D$12)</f>
        <v>3.1290006508321352E-4</v>
      </c>
      <c r="G38" s="1"/>
      <c r="H38" s="1">
        <f>SUM(OSRRefH22_2x_0)</f>
        <v>15</v>
      </c>
      <c r="I38" s="1"/>
      <c r="J38" s="5">
        <f t="shared" ref="J38:J50" si="29">IF(H$12=0,0,H38/H$12)</f>
        <v>2.1909331008801997E-4</v>
      </c>
      <c r="K38" s="1"/>
      <c r="L38" s="1">
        <f t="shared" ref="L38:L50" si="30">+D38-H38</f>
        <v>6</v>
      </c>
      <c r="M38" s="1"/>
      <c r="N38" s="5">
        <f t="shared" ref="N38:N50" si="31">IF(H38=0,0,L38/H38)</f>
        <v>0.4</v>
      </c>
      <c r="O38" s="13"/>
      <c r="P38" s="1">
        <f>SUM(OSRRefP22_2x_0)</f>
        <v>341.44</v>
      </c>
      <c r="Q38" s="1"/>
      <c r="R38" s="5">
        <f t="shared" ref="R38:R50" si="32">IF(P$12=0,0,P38/P$12)</f>
        <v>2.4265215737908383E-3</v>
      </c>
      <c r="S38" s="1"/>
      <c r="T38" s="1">
        <f>SUM(OSRRefT22_2x_0)</f>
        <v>402.5</v>
      </c>
      <c r="U38" s="1"/>
      <c r="V38" s="5">
        <f t="shared" ref="V38:V50" si="33">IF(T$12=0,0,T38/T$12)</f>
        <v>2.8050875995753828E-3</v>
      </c>
      <c r="W38" s="1"/>
      <c r="X38" s="1">
        <f t="shared" ref="X38:X50" si="34">+P38-T38</f>
        <v>-61.06</v>
      </c>
      <c r="Y38" s="1"/>
      <c r="Z38" s="5">
        <f t="shared" ref="Z38:Z50" si="35">IF(T38=0,0,X38/T38)</f>
        <v>-0.15170186335403726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>
        <v>21</v>
      </c>
      <c r="E39" s="2"/>
      <c r="F39" s="7">
        <f t="shared" si="28"/>
        <v>3.1290006508321352E-4</v>
      </c>
      <c r="G39" s="2"/>
      <c r="H39" s="6">
        <v>15</v>
      </c>
      <c r="I39" s="2"/>
      <c r="J39" s="7">
        <f t="shared" si="29"/>
        <v>2.1909331008801997E-4</v>
      </c>
      <c r="K39" s="2"/>
      <c r="L39" s="6">
        <f t="shared" si="30"/>
        <v>6</v>
      </c>
      <c r="M39" s="2"/>
      <c r="N39" s="7">
        <f t="shared" si="31"/>
        <v>0.4</v>
      </c>
      <c r="O39" s="11"/>
      <c r="P39" s="6">
        <v>341.44</v>
      </c>
      <c r="Q39" s="2"/>
      <c r="R39" s="7">
        <f t="shared" si="32"/>
        <v>2.4265215737908383E-3</v>
      </c>
      <c r="S39" s="2"/>
      <c r="T39" s="6">
        <v>402.5</v>
      </c>
      <c r="U39" s="2"/>
      <c r="V39" s="7">
        <f t="shared" si="33"/>
        <v>2.8050875995753828E-3</v>
      </c>
      <c r="W39" s="2"/>
      <c r="X39" s="6">
        <f t="shared" si="34"/>
        <v>-61.06</v>
      </c>
      <c r="Y39" s="2"/>
      <c r="Z39" s="7">
        <f t="shared" si="35"/>
        <v>-0.15170186335403726</v>
      </c>
    </row>
    <row r="40" spans="1:26" s="27" customFormat="1" outlineLevel="1" collapsed="1" x14ac:dyDescent="0.25">
      <c r="A40" s="25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11.81</v>
      </c>
      <c r="E40" s="1"/>
      <c r="F40" s="5">
        <f t="shared" si="28"/>
        <v>1.7596903660155961E-4</v>
      </c>
      <c r="G40" s="1"/>
      <c r="H40" s="1">
        <f>SUM(OSRRefH22_3x_0)</f>
        <v>-42.19</v>
      </c>
      <c r="I40" s="1"/>
      <c r="J40" s="5">
        <f t="shared" si="29"/>
        <v>-6.1623645017423745E-4</v>
      </c>
      <c r="K40" s="1"/>
      <c r="L40" s="1">
        <f t="shared" si="30"/>
        <v>54</v>
      </c>
      <c r="M40" s="1"/>
      <c r="N40" s="5">
        <f t="shared" si="31"/>
        <v>-1.2799241526428065</v>
      </c>
      <c r="O40" s="13"/>
      <c r="P40" s="1">
        <f>SUM(OSRRefP22_3x_0)</f>
        <v>8.61</v>
      </c>
      <c r="Q40" s="1"/>
      <c r="R40" s="5">
        <f t="shared" si="32"/>
        <v>6.1188937295979137E-5</v>
      </c>
      <c r="S40" s="1"/>
      <c r="T40" s="1">
        <f>SUM(OSRRefT22_3x_0)</f>
        <v>-148.62</v>
      </c>
      <c r="U40" s="1"/>
      <c r="V40" s="5">
        <f t="shared" si="33"/>
        <v>-1.0357568175127787E-3</v>
      </c>
      <c r="W40" s="1"/>
      <c r="X40" s="1">
        <f t="shared" si="34"/>
        <v>157.23000000000002</v>
      </c>
      <c r="Y40" s="1"/>
      <c r="Z40" s="5">
        <f t="shared" si="35"/>
        <v>-1.0579329834477191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11.81</v>
      </c>
      <c r="E41" s="2"/>
      <c r="F41" s="7">
        <f t="shared" si="28"/>
        <v>1.7596903660155961E-4</v>
      </c>
      <c r="G41" s="2"/>
      <c r="H41" s="6">
        <v>-42.19</v>
      </c>
      <c r="I41" s="2"/>
      <c r="J41" s="7">
        <f t="shared" si="29"/>
        <v>-6.1623645017423745E-4</v>
      </c>
      <c r="K41" s="2"/>
      <c r="L41" s="6">
        <f t="shared" si="30"/>
        <v>54</v>
      </c>
      <c r="M41" s="2"/>
      <c r="N41" s="7">
        <f t="shared" si="31"/>
        <v>-1.2799241526428065</v>
      </c>
      <c r="O41" s="11"/>
      <c r="P41" s="6">
        <v>8.61</v>
      </c>
      <c r="Q41" s="2"/>
      <c r="R41" s="7">
        <f t="shared" si="32"/>
        <v>6.1188937295979137E-5</v>
      </c>
      <c r="S41" s="2"/>
      <c r="T41" s="6">
        <v>-148.62</v>
      </c>
      <c r="U41" s="2"/>
      <c r="V41" s="7">
        <f t="shared" si="33"/>
        <v>-1.0357568175127787E-3</v>
      </c>
      <c r="W41" s="2"/>
      <c r="X41" s="6">
        <f t="shared" si="34"/>
        <v>157.23000000000002</v>
      </c>
      <c r="Y41" s="2"/>
      <c r="Z41" s="7">
        <f t="shared" si="35"/>
        <v>-1.0579329834477191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2202.62</v>
      </c>
      <c r="E42" s="1"/>
      <c r="F42" s="5">
        <f t="shared" si="28"/>
        <v>3.2819044826361318E-2</v>
      </c>
      <c r="G42" s="1"/>
      <c r="H42" s="1">
        <f>SUM(OSRRefH22_4x_0)</f>
        <v>2105.64</v>
      </c>
      <c r="I42" s="1"/>
      <c r="J42" s="5">
        <f t="shared" si="29"/>
        <v>3.0755442496915891E-2</v>
      </c>
      <c r="K42" s="1"/>
      <c r="L42" s="1">
        <f t="shared" si="30"/>
        <v>96.980000000000018</v>
      </c>
      <c r="M42" s="1"/>
      <c r="N42" s="5">
        <f t="shared" si="31"/>
        <v>4.6057255751220542E-2</v>
      </c>
      <c r="O42" s="13"/>
      <c r="P42" s="1">
        <f>SUM(OSRRefP22_4x_0)</f>
        <v>4615.95</v>
      </c>
      <c r="Q42" s="1"/>
      <c r="R42" s="5">
        <f t="shared" si="32"/>
        <v>3.2804306052424494E-2</v>
      </c>
      <c r="S42" s="1"/>
      <c r="T42" s="1">
        <f>SUM(OSRRefT22_4x_0)</f>
        <v>4463.4399999999996</v>
      </c>
      <c r="U42" s="1"/>
      <c r="V42" s="5">
        <f t="shared" si="33"/>
        <v>3.1106435268195641E-2</v>
      </c>
      <c r="W42" s="1"/>
      <c r="X42" s="1">
        <f t="shared" si="34"/>
        <v>152.51000000000022</v>
      </c>
      <c r="Y42" s="1"/>
      <c r="Z42" s="5">
        <f t="shared" si="35"/>
        <v>3.4168712920975799E-2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2202.62</v>
      </c>
      <c r="E43" s="2"/>
      <c r="F43" s="7">
        <f t="shared" si="28"/>
        <v>3.2819044826361318E-2</v>
      </c>
      <c r="G43" s="2"/>
      <c r="H43" s="6">
        <v>2105.64</v>
      </c>
      <c r="I43" s="2"/>
      <c r="J43" s="7">
        <f t="shared" si="29"/>
        <v>3.0755442496915891E-2</v>
      </c>
      <c r="K43" s="2"/>
      <c r="L43" s="6">
        <f t="shared" si="30"/>
        <v>96.980000000000018</v>
      </c>
      <c r="M43" s="2"/>
      <c r="N43" s="7">
        <f t="shared" si="31"/>
        <v>4.6057255751220542E-2</v>
      </c>
      <c r="O43" s="11"/>
      <c r="P43" s="6">
        <v>4615.95</v>
      </c>
      <c r="Q43" s="2"/>
      <c r="R43" s="7">
        <f t="shared" si="32"/>
        <v>3.2804306052424494E-2</v>
      </c>
      <c r="S43" s="2"/>
      <c r="T43" s="6">
        <v>4463.4399999999996</v>
      </c>
      <c r="U43" s="2"/>
      <c r="V43" s="7">
        <f t="shared" si="33"/>
        <v>3.1106435268195641E-2</v>
      </c>
      <c r="W43" s="2"/>
      <c r="X43" s="6">
        <f t="shared" si="34"/>
        <v>152.51000000000022</v>
      </c>
      <c r="Y43" s="2"/>
      <c r="Z43" s="7">
        <f t="shared" si="35"/>
        <v>3.4168712920975799E-2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155.66999999999999</v>
      </c>
      <c r="E44" s="1"/>
      <c r="F44" s="5">
        <f t="shared" si="28"/>
        <v>2.3194834824525642E-3</v>
      </c>
      <c r="G44" s="1"/>
      <c r="H44" s="1">
        <f>SUM(OSRRefH22_5x_0)</f>
        <v>0</v>
      </c>
      <c r="I44" s="1"/>
      <c r="J44" s="5">
        <f t="shared" si="29"/>
        <v>0</v>
      </c>
      <c r="K44" s="1"/>
      <c r="L44" s="1">
        <f t="shared" si="30"/>
        <v>155.66999999999999</v>
      </c>
      <c r="M44" s="1"/>
      <c r="N44" s="5">
        <f t="shared" si="31"/>
        <v>0</v>
      </c>
      <c r="O44" s="13"/>
      <c r="P44" s="1">
        <f>SUM(OSRRefP22_5x_0)</f>
        <v>622.67999999999995</v>
      </c>
      <c r="Q44" s="1"/>
      <c r="R44" s="5">
        <f t="shared" si="32"/>
        <v>4.4252180575447483E-3</v>
      </c>
      <c r="S44" s="1"/>
      <c r="T44" s="1">
        <f>SUM(OSRRefT22_5x_0)</f>
        <v>0</v>
      </c>
      <c r="U44" s="1"/>
      <c r="V44" s="5">
        <f t="shared" si="33"/>
        <v>0</v>
      </c>
      <c r="W44" s="1"/>
      <c r="X44" s="1">
        <f t="shared" si="34"/>
        <v>622.67999999999995</v>
      </c>
      <c r="Y44" s="1"/>
      <c r="Z44" s="5">
        <f t="shared" si="35"/>
        <v>0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155.66999999999999</v>
      </c>
      <c r="E45" s="2"/>
      <c r="F45" s="7">
        <f t="shared" si="28"/>
        <v>2.3194834824525642E-3</v>
      </c>
      <c r="G45" s="2"/>
      <c r="H45" s="6"/>
      <c r="I45" s="2"/>
      <c r="J45" s="7">
        <f t="shared" si="29"/>
        <v>0</v>
      </c>
      <c r="K45" s="2"/>
      <c r="L45" s="6">
        <f t="shared" si="30"/>
        <v>155.66999999999999</v>
      </c>
      <c r="M45" s="2"/>
      <c r="N45" s="7">
        <f t="shared" si="31"/>
        <v>0</v>
      </c>
      <c r="O45" s="11"/>
      <c r="P45" s="6">
        <v>622.67999999999995</v>
      </c>
      <c r="Q45" s="2"/>
      <c r="R45" s="7">
        <f t="shared" si="32"/>
        <v>4.4252180575447483E-3</v>
      </c>
      <c r="S45" s="2"/>
      <c r="T45" s="6"/>
      <c r="U45" s="2"/>
      <c r="V45" s="7">
        <f t="shared" si="33"/>
        <v>0</v>
      </c>
      <c r="W45" s="2"/>
      <c r="X45" s="6">
        <f t="shared" si="34"/>
        <v>622.67999999999995</v>
      </c>
      <c r="Y45" s="2"/>
      <c r="Z45" s="7">
        <f t="shared" si="35"/>
        <v>0</v>
      </c>
    </row>
    <row r="46" spans="1:26" s="27" customFormat="1" outlineLevel="1" collapsed="1" x14ac:dyDescent="0.25">
      <c r="A46" s="25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SUM(OSRRefD22_6x_0)</f>
        <v>18.25</v>
      </c>
      <c r="E46" s="1"/>
      <c r="F46" s="5">
        <f t="shared" si="28"/>
        <v>2.7192505656041175E-4</v>
      </c>
      <c r="G46" s="1"/>
      <c r="H46" s="1">
        <f>SUM(OSRRefH22_6x_0)</f>
        <v>410.75</v>
      </c>
      <c r="I46" s="1"/>
      <c r="J46" s="5">
        <f t="shared" si="29"/>
        <v>5.9995051412436136E-3</v>
      </c>
      <c r="K46" s="1"/>
      <c r="L46" s="1">
        <f t="shared" si="30"/>
        <v>-392.5</v>
      </c>
      <c r="M46" s="1"/>
      <c r="N46" s="5">
        <f t="shared" si="31"/>
        <v>-0.95556908094948267</v>
      </c>
      <c r="O46" s="13"/>
      <c r="P46" s="1">
        <f>SUM(OSRRefP22_6x_0)</f>
        <v>1496.09</v>
      </c>
      <c r="Q46" s="1"/>
      <c r="R46" s="5">
        <f t="shared" si="32"/>
        <v>1.0632306294906088E-2</v>
      </c>
      <c r="S46" s="1"/>
      <c r="T46" s="1">
        <f>SUM(OSRRefT22_6x_0)</f>
        <v>2293.73</v>
      </c>
      <c r="U46" s="1"/>
      <c r="V46" s="5">
        <f t="shared" si="33"/>
        <v>1.5985375353475884E-2</v>
      </c>
      <c r="W46" s="1"/>
      <c r="X46" s="1">
        <f t="shared" si="34"/>
        <v>-797.6400000000001</v>
      </c>
      <c r="Y46" s="1"/>
      <c r="Z46" s="5">
        <f t="shared" si="35"/>
        <v>-0.3477479912631391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>
        <v>18.25</v>
      </c>
      <c r="E47" s="2"/>
      <c r="F47" s="7">
        <f t="shared" si="28"/>
        <v>2.7192505656041175E-4</v>
      </c>
      <c r="G47" s="2"/>
      <c r="H47" s="6">
        <v>410.75</v>
      </c>
      <c r="I47" s="2"/>
      <c r="J47" s="7">
        <f t="shared" si="29"/>
        <v>5.9995051412436136E-3</v>
      </c>
      <c r="K47" s="2"/>
      <c r="L47" s="6">
        <f t="shared" si="30"/>
        <v>-392.5</v>
      </c>
      <c r="M47" s="2"/>
      <c r="N47" s="7">
        <f t="shared" si="31"/>
        <v>-0.95556908094948267</v>
      </c>
      <c r="O47" s="11"/>
      <c r="P47" s="6">
        <v>1496.09</v>
      </c>
      <c r="Q47" s="2"/>
      <c r="R47" s="7">
        <f t="shared" si="32"/>
        <v>1.0632306294906088E-2</v>
      </c>
      <c r="S47" s="2"/>
      <c r="T47" s="6">
        <v>2293.73</v>
      </c>
      <c r="U47" s="2"/>
      <c r="V47" s="7">
        <f t="shared" si="33"/>
        <v>1.5985375353475884E-2</v>
      </c>
      <c r="W47" s="2"/>
      <c r="X47" s="6">
        <f t="shared" si="34"/>
        <v>-797.6400000000001</v>
      </c>
      <c r="Y47" s="2"/>
      <c r="Z47" s="7">
        <f t="shared" si="35"/>
        <v>-0.3477479912631391</v>
      </c>
    </row>
    <row r="48" spans="1:26" s="27" customFormat="1" outlineLevel="1" collapsed="1" x14ac:dyDescent="0.25">
      <c r="A48" s="25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SUM(OSRRefD22_7x_0)</f>
        <v>461.03999999999996</v>
      </c>
      <c r="E48" s="1"/>
      <c r="F48" s="5">
        <f t="shared" si="28"/>
        <v>6.8694974288554646E-3</v>
      </c>
      <c r="G48" s="1"/>
      <c r="H48" s="1">
        <f>SUM(OSRRefH22_7x_0)</f>
        <v>496.27</v>
      </c>
      <c r="I48" s="1"/>
      <c r="J48" s="5">
        <f t="shared" si="29"/>
        <v>7.2486291331587778E-3</v>
      </c>
      <c r="K48" s="1"/>
      <c r="L48" s="1">
        <f t="shared" si="30"/>
        <v>-35.230000000000018</v>
      </c>
      <c r="M48" s="1"/>
      <c r="N48" s="5">
        <f t="shared" si="31"/>
        <v>-7.0989582283837463E-2</v>
      </c>
      <c r="O48" s="13"/>
      <c r="P48" s="1">
        <f>SUM(OSRRefP22_7x_0)</f>
        <v>5754.7999999999993</v>
      </c>
      <c r="Q48" s="1"/>
      <c r="R48" s="5">
        <f t="shared" si="32"/>
        <v>4.0897804454227721E-2</v>
      </c>
      <c r="S48" s="1"/>
      <c r="T48" s="1">
        <f>SUM(OSRRefT22_7x_0)</f>
        <v>1746.09</v>
      </c>
      <c r="U48" s="1"/>
      <c r="V48" s="5">
        <f t="shared" si="33"/>
        <v>1.2168783619236224E-2</v>
      </c>
      <c r="W48" s="1"/>
      <c r="X48" s="1">
        <f t="shared" si="34"/>
        <v>4008.7099999999991</v>
      </c>
      <c r="Y48" s="1"/>
      <c r="Z48" s="5">
        <f t="shared" si="35"/>
        <v>2.2958209485192627</v>
      </c>
    </row>
    <row r="49" spans="1:26" s="24" customFormat="1" hidden="1" outlineLevel="2" x14ac:dyDescent="0.25">
      <c r="A49" s="26"/>
      <c r="B49" s="11" t="str">
        <f>CONCATENATE("          ", "6373", " - ", "MAINTENANCE CONTRACTS")</f>
        <v xml:space="preserve">          6373 - MAINTENANCE CONTRACTS</v>
      </c>
      <c r="C49" s="11"/>
      <c r="D49" s="6">
        <v>45.65</v>
      </c>
      <c r="E49" s="2"/>
      <c r="F49" s="7">
        <f t="shared" si="28"/>
        <v>6.8018514147850939E-4</v>
      </c>
      <c r="G49" s="2"/>
      <c r="H49" s="6"/>
      <c r="I49" s="2"/>
      <c r="J49" s="7">
        <f t="shared" si="29"/>
        <v>0</v>
      </c>
      <c r="K49" s="2"/>
      <c r="L49" s="6">
        <f t="shared" si="30"/>
        <v>45.65</v>
      </c>
      <c r="M49" s="2"/>
      <c r="N49" s="7">
        <f t="shared" si="31"/>
        <v>0</v>
      </c>
      <c r="O49" s="11"/>
      <c r="P49" s="6">
        <v>45.65</v>
      </c>
      <c r="Q49" s="2"/>
      <c r="R49" s="7">
        <f t="shared" si="32"/>
        <v>3.2442218206288592E-4</v>
      </c>
      <c r="S49" s="2"/>
      <c r="T49" s="6">
        <v>166.54</v>
      </c>
      <c r="U49" s="2"/>
      <c r="V49" s="7">
        <f t="shared" si="33"/>
        <v>1.1606441958590913E-3</v>
      </c>
      <c r="W49" s="2"/>
      <c r="X49" s="6">
        <f t="shared" si="34"/>
        <v>-120.88999999999999</v>
      </c>
      <c r="Y49" s="2"/>
      <c r="Z49" s="7">
        <f t="shared" si="35"/>
        <v>-0.72589167767503293</v>
      </c>
    </row>
    <row r="50" spans="1:26" s="24" customFormat="1" hidden="1" outlineLevel="2" x14ac:dyDescent="0.25">
      <c r="A50" s="26"/>
      <c r="B50" s="11" t="str">
        <f>CONCATENATE("          ", "6375", " - ", "OUTSIDE REPAIRS &amp; MAINTENANCE")</f>
        <v xml:space="preserve">          6375 - OUTSIDE REPAIRS &amp; MAINTENANCE</v>
      </c>
      <c r="C50" s="11"/>
      <c r="D50" s="6">
        <v>415.39</v>
      </c>
      <c r="E50" s="2"/>
      <c r="F50" s="7">
        <f t="shared" si="28"/>
        <v>6.1893122873769553E-3</v>
      </c>
      <c r="G50" s="2"/>
      <c r="H50" s="6">
        <v>496.27</v>
      </c>
      <c r="I50" s="2"/>
      <c r="J50" s="7">
        <f t="shared" si="29"/>
        <v>7.2486291331587778E-3</v>
      </c>
      <c r="K50" s="2"/>
      <c r="L50" s="6">
        <f t="shared" si="30"/>
        <v>-80.88</v>
      </c>
      <c r="M50" s="2"/>
      <c r="N50" s="7">
        <f t="shared" si="31"/>
        <v>-0.16297579946400145</v>
      </c>
      <c r="O50" s="11"/>
      <c r="P50" s="6">
        <v>5709.15</v>
      </c>
      <c r="Q50" s="2"/>
      <c r="R50" s="7">
        <f t="shared" si="32"/>
        <v>4.0573382272164837E-2</v>
      </c>
      <c r="S50" s="2"/>
      <c r="T50" s="6">
        <v>1579.55</v>
      </c>
      <c r="U50" s="2"/>
      <c r="V50" s="7">
        <f t="shared" si="33"/>
        <v>1.1008139423377132E-2</v>
      </c>
      <c r="W50" s="2"/>
      <c r="X50" s="6">
        <f t="shared" si="34"/>
        <v>4129.5999999999995</v>
      </c>
      <c r="Y50" s="2"/>
      <c r="Z50" s="7">
        <f t="shared" si="35"/>
        <v>2.6144154980848975</v>
      </c>
    </row>
    <row r="51" spans="1:26" s="27" customFormat="1" outlineLevel="1" collapsed="1" x14ac:dyDescent="0.25">
      <c r="A51" s="25"/>
      <c r="B51" s="13" t="str">
        <f>CONCATENATE("     ","Services                                          ")</f>
        <v xml:space="preserve">     Services                                          </v>
      </c>
      <c r="C51" s="13"/>
      <c r="D51" s="1">
        <f>SUM(OSRRefD22_8x_0)</f>
        <v>354.86</v>
      </c>
      <c r="E51" s="1"/>
      <c r="F51" s="5">
        <f t="shared" ref="F51:F53" si="36">IF(D$12=0,0,D51/D$12)</f>
        <v>5.2874150997823405E-3</v>
      </c>
      <c r="G51" s="1"/>
      <c r="H51" s="1">
        <f>SUM(OSRRefH22_8x_0)</f>
        <v>352.93</v>
      </c>
      <c r="I51" s="1"/>
      <c r="J51" s="5">
        <f t="shared" ref="J51:J53" si="37">IF(H$12=0,0,H51/H$12)</f>
        <v>5.154973461957659E-3</v>
      </c>
      <c r="K51" s="1"/>
      <c r="L51" s="1">
        <f t="shared" ref="L51:L53" si="38">+D51-H51</f>
        <v>1.9300000000000068</v>
      </c>
      <c r="M51" s="1"/>
      <c r="N51" s="5">
        <f t="shared" ref="N51:N53" si="39">IF(H51=0,0,L51/H51)</f>
        <v>5.4685065027059382E-3</v>
      </c>
      <c r="O51" s="13"/>
      <c r="P51" s="1">
        <f>SUM(OSRRefP22_8x_0)</f>
        <v>1720.44</v>
      </c>
      <c r="Q51" s="1"/>
      <c r="R51" s="5">
        <f t="shared" ref="R51:R53" si="40">IF(P$12=0,0,P51/P$12)</f>
        <v>1.2226700961846033E-2</v>
      </c>
      <c r="S51" s="1"/>
      <c r="T51" s="1">
        <f>SUM(OSRRefT22_8x_0)</f>
        <v>1411.72</v>
      </c>
      <c r="U51" s="1"/>
      <c r="V51" s="5">
        <f t="shared" ref="V51:V53" si="41">IF(T$12=0,0,T51/T$12)</f>
        <v>9.8385050088759252E-3</v>
      </c>
      <c r="W51" s="1"/>
      <c r="X51" s="1">
        <f t="shared" ref="X51:X53" si="42">+P51-T51</f>
        <v>308.72000000000003</v>
      </c>
      <c r="Y51" s="1"/>
      <c r="Z51" s="5">
        <f t="shared" ref="Z51:Z53" si="43">IF(T51=0,0,X51/T51)</f>
        <v>0.21868359164706883</v>
      </c>
    </row>
    <row r="52" spans="1:26" s="24" customFormat="1" hidden="1" outlineLevel="2" x14ac:dyDescent="0.25">
      <c r="A52" s="26"/>
      <c r="B52" s="11" t="str">
        <f>CONCATENATE("          ", "6282", " - ", "JANITORIAL/EXTERMINATOR EXPENS")</f>
        <v xml:space="preserve">          6282 - JANITORIAL/EXTERMINATOR EXPENS</v>
      </c>
      <c r="C52" s="11"/>
      <c r="D52" s="6">
        <v>327.93</v>
      </c>
      <c r="E52" s="2"/>
      <c r="F52" s="7">
        <f t="shared" si="36"/>
        <v>4.8861580163208672E-3</v>
      </c>
      <c r="G52" s="2"/>
      <c r="H52" s="6">
        <v>327.93</v>
      </c>
      <c r="I52" s="2"/>
      <c r="J52" s="7">
        <f t="shared" si="37"/>
        <v>4.7898179451442927E-3</v>
      </c>
      <c r="K52" s="2"/>
      <c r="L52" s="6">
        <f t="shared" si="38"/>
        <v>0</v>
      </c>
      <c r="M52" s="2"/>
      <c r="N52" s="7">
        <f t="shared" si="39"/>
        <v>0</v>
      </c>
      <c r="O52" s="11"/>
      <c r="P52" s="6">
        <v>1639.65</v>
      </c>
      <c r="Q52" s="2"/>
      <c r="R52" s="7">
        <f t="shared" si="40"/>
        <v>1.1652548320249964E-2</v>
      </c>
      <c r="S52" s="2"/>
      <c r="T52" s="6">
        <v>1311.72</v>
      </c>
      <c r="U52" s="2"/>
      <c r="V52" s="7">
        <f t="shared" si="41"/>
        <v>9.1415888350683764E-3</v>
      </c>
      <c r="W52" s="2"/>
      <c r="X52" s="6">
        <f t="shared" si="42"/>
        <v>327.93000000000006</v>
      </c>
      <c r="Y52" s="2"/>
      <c r="Z52" s="7">
        <f t="shared" si="43"/>
        <v>0.25000000000000006</v>
      </c>
    </row>
    <row r="53" spans="1:26" s="24" customFormat="1" hidden="1" outlineLevel="2" x14ac:dyDescent="0.25">
      <c r="A53" s="26"/>
      <c r="B53" s="11" t="str">
        <f>CONCATENATE("          ", "6285", " - ", "JANITORIAL SERVICES")</f>
        <v xml:space="preserve">          6285 - JANITORIAL SERVICES</v>
      </c>
      <c r="C53" s="11"/>
      <c r="D53" s="6">
        <v>26.93</v>
      </c>
      <c r="E53" s="2"/>
      <c r="F53" s="7">
        <f t="shared" si="36"/>
        <v>4.0125708346147333E-4</v>
      </c>
      <c r="G53" s="2"/>
      <c r="H53" s="6">
        <v>25</v>
      </c>
      <c r="I53" s="2"/>
      <c r="J53" s="7">
        <f t="shared" si="37"/>
        <v>3.6515551681336661E-4</v>
      </c>
      <c r="K53" s="2"/>
      <c r="L53" s="6">
        <f t="shared" si="38"/>
        <v>1.9299999999999997</v>
      </c>
      <c r="M53" s="2"/>
      <c r="N53" s="7">
        <f t="shared" si="39"/>
        <v>7.7199999999999991E-2</v>
      </c>
      <c r="O53" s="11"/>
      <c r="P53" s="6">
        <v>80.790000000000006</v>
      </c>
      <c r="Q53" s="2"/>
      <c r="R53" s="7">
        <f t="shared" si="40"/>
        <v>5.7415264159606911E-4</v>
      </c>
      <c r="S53" s="2"/>
      <c r="T53" s="6">
        <v>100</v>
      </c>
      <c r="U53" s="2"/>
      <c r="V53" s="7">
        <f t="shared" si="41"/>
        <v>6.9691617380754855E-4</v>
      </c>
      <c r="W53" s="2"/>
      <c r="X53" s="6">
        <f t="shared" si="42"/>
        <v>-19.209999999999994</v>
      </c>
      <c r="Y53" s="2"/>
      <c r="Z53" s="7">
        <f t="shared" si="43"/>
        <v>-0.19209999999999994</v>
      </c>
    </row>
    <row r="54" spans="1:26" s="27" customFormat="1" outlineLevel="1" collapsed="1" x14ac:dyDescent="0.25">
      <c r="A54" s="25"/>
      <c r="B54" s="13" t="str">
        <f>CONCATENATE("     ","Subscriptions &amp; Dues                              ")</f>
        <v xml:space="preserve">     Subscriptions &amp; Dues                              </v>
      </c>
      <c r="C54" s="13"/>
      <c r="D54" s="1">
        <f>SUM(OSRRefD22_9x_0)</f>
        <v>0</v>
      </c>
      <c r="E54" s="1"/>
      <c r="F54" s="5">
        <f t="shared" ref="F54:F62" si="44">IF(D$12=0,0,D54/D$12)</f>
        <v>0</v>
      </c>
      <c r="G54" s="1"/>
      <c r="H54" s="1">
        <f>SUM(OSRRefH22_9x_0)</f>
        <v>0</v>
      </c>
      <c r="I54" s="1"/>
      <c r="J54" s="5">
        <f t="shared" ref="J54:J62" si="45">IF(H$12=0,0,H54/H$12)</f>
        <v>0</v>
      </c>
      <c r="K54" s="1"/>
      <c r="L54" s="1">
        <f t="shared" ref="L54:L62" si="46">+D54-H54</f>
        <v>0</v>
      </c>
      <c r="M54" s="1"/>
      <c r="N54" s="5">
        <f t="shared" ref="N54:N62" si="47">IF(H54=0,0,L54/H54)</f>
        <v>0</v>
      </c>
      <c r="O54" s="13"/>
      <c r="P54" s="1">
        <f>SUM(OSRRefP22_9x_0)</f>
        <v>0</v>
      </c>
      <c r="Q54" s="1"/>
      <c r="R54" s="5">
        <f t="shared" ref="R54:R62" si="48">IF(P$12=0,0,P54/P$12)</f>
        <v>0</v>
      </c>
      <c r="S54" s="1"/>
      <c r="T54" s="1">
        <f>SUM(OSRRefT22_9x_0)</f>
        <v>31.8</v>
      </c>
      <c r="U54" s="1"/>
      <c r="V54" s="5">
        <f t="shared" ref="V54:V62" si="49">IF(T$12=0,0,T54/T$12)</f>
        <v>2.2161934327080045E-4</v>
      </c>
      <c r="W54" s="1"/>
      <c r="X54" s="1">
        <f t="shared" ref="X54:X62" si="50">+P54-T54</f>
        <v>-31.8</v>
      </c>
      <c r="Y54" s="1"/>
      <c r="Z54" s="5">
        <f t="shared" ref="Z54:Z62" si="51">IF(T54=0,0,X54/T54)</f>
        <v>-1</v>
      </c>
    </row>
    <row r="55" spans="1:26" s="24" customFormat="1" hidden="1" outlineLevel="2" x14ac:dyDescent="0.25">
      <c r="A55" s="26"/>
      <c r="B55" s="11" t="str">
        <f>CONCATENATE("          ", "6258", " - ", "MEMBERSHIP DUES")</f>
        <v xml:space="preserve">          6258 - MEMBERSHIP DUES</v>
      </c>
      <c r="C55" s="11"/>
      <c r="D55" s="6"/>
      <c r="E55" s="2"/>
      <c r="F55" s="7">
        <f t="shared" si="44"/>
        <v>0</v>
      </c>
      <c r="G55" s="2"/>
      <c r="H55" s="6"/>
      <c r="I55" s="2"/>
      <c r="J55" s="7">
        <f t="shared" si="45"/>
        <v>0</v>
      </c>
      <c r="K55" s="2"/>
      <c r="L55" s="6">
        <f t="shared" si="46"/>
        <v>0</v>
      </c>
      <c r="M55" s="2"/>
      <c r="N55" s="7">
        <f t="shared" si="47"/>
        <v>0</v>
      </c>
      <c r="O55" s="11"/>
      <c r="P55" s="6"/>
      <c r="Q55" s="2"/>
      <c r="R55" s="7">
        <f t="shared" si="48"/>
        <v>0</v>
      </c>
      <c r="S55" s="2"/>
      <c r="T55" s="6">
        <v>31.8</v>
      </c>
      <c r="U55" s="2"/>
      <c r="V55" s="7">
        <f t="shared" si="49"/>
        <v>2.2161934327080045E-4</v>
      </c>
      <c r="W55" s="2"/>
      <c r="X55" s="6">
        <f t="shared" si="50"/>
        <v>-31.8</v>
      </c>
      <c r="Y55" s="2"/>
      <c r="Z55" s="7">
        <f t="shared" si="51"/>
        <v>-1</v>
      </c>
    </row>
    <row r="56" spans="1:26" s="27" customFormat="1" outlineLevel="1" collapsed="1" x14ac:dyDescent="0.25">
      <c r="A56" s="25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SUM(OSRRefD22_10x_0)</f>
        <v>931.95999999999992</v>
      </c>
      <c r="E56" s="1"/>
      <c r="F56" s="5">
        <f t="shared" si="44"/>
        <v>1.3886206888331032E-2</v>
      </c>
      <c r="G56" s="1"/>
      <c r="H56" s="1">
        <f>SUM(OSRRefH22_10x_0)</f>
        <v>803.47</v>
      </c>
      <c r="I56" s="1"/>
      <c r="J56" s="5">
        <f t="shared" si="45"/>
        <v>1.1735660123761428E-2</v>
      </c>
      <c r="K56" s="1"/>
      <c r="L56" s="1">
        <f t="shared" si="46"/>
        <v>128.4899999999999</v>
      </c>
      <c r="M56" s="1"/>
      <c r="N56" s="5">
        <f t="shared" si="47"/>
        <v>0.15991885197953862</v>
      </c>
      <c r="O56" s="13"/>
      <c r="P56" s="1">
        <f>SUM(OSRRefP22_10x_0)</f>
        <v>6097.29</v>
      </c>
      <c r="Q56" s="1"/>
      <c r="R56" s="5">
        <f t="shared" si="48"/>
        <v>4.3331788093542468E-2</v>
      </c>
      <c r="S56" s="1"/>
      <c r="T56" s="1">
        <f>SUM(OSRRefT22_10x_0)</f>
        <v>3218.9799999999996</v>
      </c>
      <c r="U56" s="1"/>
      <c r="V56" s="5">
        <f t="shared" si="49"/>
        <v>2.2433592251630222E-2</v>
      </c>
      <c r="W56" s="1"/>
      <c r="X56" s="1">
        <f t="shared" si="50"/>
        <v>2878.3100000000004</v>
      </c>
      <c r="Y56" s="1"/>
      <c r="Z56" s="5">
        <f t="shared" si="51"/>
        <v>0.89416833903907478</v>
      </c>
    </row>
    <row r="57" spans="1:26" s="24" customFormat="1" hidden="1" outlineLevel="2" x14ac:dyDescent="0.25">
      <c r="A57" s="26"/>
      <c r="B57" s="11" t="str">
        <f>CONCATENATE("          ", "6237", " - ", "JANITORIAL SUPPLIES")</f>
        <v xml:space="preserve">          6237 - JANITORIAL SUPPLIES</v>
      </c>
      <c r="C57" s="11"/>
      <c r="D57" s="6">
        <v>299.83</v>
      </c>
      <c r="E57" s="2"/>
      <c r="F57" s="7">
        <f t="shared" si="44"/>
        <v>4.4674679292333293E-3</v>
      </c>
      <c r="G57" s="2"/>
      <c r="H57" s="6">
        <v>96.69</v>
      </c>
      <c r="I57" s="2"/>
      <c r="J57" s="7">
        <f t="shared" si="45"/>
        <v>1.4122754768273768E-3</v>
      </c>
      <c r="K57" s="2"/>
      <c r="L57" s="6">
        <f t="shared" si="46"/>
        <v>203.14</v>
      </c>
      <c r="M57" s="2"/>
      <c r="N57" s="7">
        <f t="shared" si="47"/>
        <v>2.1009411521356913</v>
      </c>
      <c r="O57" s="11"/>
      <c r="P57" s="6">
        <v>774.15</v>
      </c>
      <c r="Q57" s="2"/>
      <c r="R57" s="7">
        <f t="shared" si="48"/>
        <v>5.5016743098353369E-3</v>
      </c>
      <c r="S57" s="2"/>
      <c r="T57" s="6">
        <v>398.56</v>
      </c>
      <c r="U57" s="2"/>
      <c r="V57" s="7">
        <f t="shared" si="49"/>
        <v>2.7776291023273655E-3</v>
      </c>
      <c r="W57" s="2"/>
      <c r="X57" s="6">
        <f t="shared" si="50"/>
        <v>375.59</v>
      </c>
      <c r="Y57" s="2"/>
      <c r="Z57" s="7">
        <f t="shared" si="51"/>
        <v>0.94236752308309912</v>
      </c>
    </row>
    <row r="58" spans="1:26" s="24" customFormat="1" hidden="1" outlineLevel="2" x14ac:dyDescent="0.25">
      <c r="A58" s="26"/>
      <c r="B58" s="11" t="str">
        <f>CONCATENATE("          ", "6241", " - ", "OFFICE EXPENSE")</f>
        <v xml:space="preserve">          6241 - OFFICE EXPENSE</v>
      </c>
      <c r="C58" s="11"/>
      <c r="D58" s="6"/>
      <c r="E58" s="2"/>
      <c r="F58" s="7">
        <f t="shared" si="44"/>
        <v>0</v>
      </c>
      <c r="G58" s="2"/>
      <c r="H58" s="6"/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/>
      <c r="Q58" s="2"/>
      <c r="R58" s="7">
        <f t="shared" si="48"/>
        <v>0</v>
      </c>
      <c r="S58" s="2"/>
      <c r="T58" s="6">
        <v>68.36</v>
      </c>
      <c r="U58" s="2"/>
      <c r="V58" s="7">
        <f t="shared" si="49"/>
        <v>4.7641189641484019E-4</v>
      </c>
      <c r="W58" s="2"/>
      <c r="X58" s="6">
        <f t="shared" si="50"/>
        <v>-68.36</v>
      </c>
      <c r="Y58" s="2"/>
      <c r="Z58" s="7">
        <f t="shared" si="51"/>
        <v>-1</v>
      </c>
    </row>
    <row r="59" spans="1:26" s="24" customFormat="1" hidden="1" outlineLevel="2" x14ac:dyDescent="0.25">
      <c r="A59" s="26"/>
      <c r="B59" s="11" t="str">
        <f>CONCATENATE("          ", "6243", " - ", "PAPER SUPPLIES")</f>
        <v xml:space="preserve">          6243 - PAPER SUPPLIES</v>
      </c>
      <c r="C59" s="11"/>
      <c r="D59" s="6">
        <v>376.98</v>
      </c>
      <c r="E59" s="2"/>
      <c r="F59" s="7">
        <f t="shared" si="44"/>
        <v>5.6170031683366595E-3</v>
      </c>
      <c r="G59" s="2"/>
      <c r="H59" s="6">
        <v>420.66</v>
      </c>
      <c r="I59" s="2"/>
      <c r="J59" s="7">
        <f t="shared" si="45"/>
        <v>6.1442527881084329E-3</v>
      </c>
      <c r="K59" s="2"/>
      <c r="L59" s="6">
        <f t="shared" si="46"/>
        <v>-43.680000000000007</v>
      </c>
      <c r="M59" s="2"/>
      <c r="N59" s="7">
        <f t="shared" si="47"/>
        <v>-0.10383682784196265</v>
      </c>
      <c r="O59" s="11"/>
      <c r="P59" s="6">
        <v>675.31</v>
      </c>
      <c r="Q59" s="2"/>
      <c r="R59" s="7">
        <f t="shared" si="48"/>
        <v>4.7992452085188929E-3</v>
      </c>
      <c r="S59" s="2"/>
      <c r="T59" s="6">
        <v>931.89</v>
      </c>
      <c r="U59" s="2"/>
      <c r="V59" s="7">
        <f t="shared" si="49"/>
        <v>6.4944921320951639E-3</v>
      </c>
      <c r="W59" s="2"/>
      <c r="X59" s="6">
        <f t="shared" si="50"/>
        <v>-256.58000000000004</v>
      </c>
      <c r="Y59" s="2"/>
      <c r="Z59" s="7">
        <f t="shared" si="51"/>
        <v>-0.2753329255598837</v>
      </c>
    </row>
    <row r="60" spans="1:26" s="24" customFormat="1" hidden="1" outlineLevel="2" x14ac:dyDescent="0.25">
      <c r="A60" s="26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51.82</v>
      </c>
      <c r="U60" s="2"/>
      <c r="V60" s="7">
        <f t="shared" si="49"/>
        <v>3.6114196126707168E-4</v>
      </c>
      <c r="W60" s="2"/>
      <c r="X60" s="6">
        <f t="shared" si="50"/>
        <v>-51.82</v>
      </c>
      <c r="Y60" s="2"/>
      <c r="Z60" s="7">
        <f t="shared" si="51"/>
        <v>-1</v>
      </c>
    </row>
    <row r="61" spans="1:26" s="24" customFormat="1" hidden="1" outlineLevel="2" x14ac:dyDescent="0.25">
      <c r="A61" s="26"/>
      <c r="B61" s="11" t="str">
        <f>CONCATENATE("          ", "6247", " - ", "STORE SUPPLIES")</f>
        <v xml:space="preserve">          6247 - STORE SUPPLIES</v>
      </c>
      <c r="C61" s="11"/>
      <c r="D61" s="6">
        <v>255.15</v>
      </c>
      <c r="E61" s="2"/>
      <c r="F61" s="7">
        <f t="shared" si="44"/>
        <v>3.8017357907610444E-3</v>
      </c>
      <c r="G61" s="2"/>
      <c r="H61" s="6">
        <v>286.12</v>
      </c>
      <c r="I61" s="2"/>
      <c r="J61" s="7">
        <f t="shared" si="45"/>
        <v>4.1791318588256183E-3</v>
      </c>
      <c r="K61" s="2"/>
      <c r="L61" s="6">
        <f t="shared" si="46"/>
        <v>-30.97</v>
      </c>
      <c r="M61" s="2"/>
      <c r="N61" s="7">
        <f t="shared" si="47"/>
        <v>-0.10824129735775198</v>
      </c>
      <c r="O61" s="11"/>
      <c r="P61" s="6">
        <v>4647.83</v>
      </c>
      <c r="Q61" s="2"/>
      <c r="R61" s="7">
        <f t="shared" si="48"/>
        <v>3.3030868575188235E-2</v>
      </c>
      <c r="S61" s="2"/>
      <c r="T61" s="6">
        <v>1580.48</v>
      </c>
      <c r="U61" s="2"/>
      <c r="V61" s="7">
        <f t="shared" si="49"/>
        <v>1.1014620743793543E-2</v>
      </c>
      <c r="W61" s="2"/>
      <c r="X61" s="6">
        <f t="shared" si="50"/>
        <v>3067.35</v>
      </c>
      <c r="Y61" s="2"/>
      <c r="Z61" s="7">
        <f t="shared" si="51"/>
        <v>1.9407711581291758</v>
      </c>
    </row>
    <row r="62" spans="1:26" s="24" customFormat="1" hidden="1" outlineLevel="2" x14ac:dyDescent="0.25">
      <c r="A62" s="26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187.87</v>
      </c>
      <c r="U62" s="2"/>
      <c r="V62" s="7">
        <f t="shared" si="49"/>
        <v>1.3092964157322415E-3</v>
      </c>
      <c r="W62" s="2"/>
      <c r="X62" s="6">
        <f t="shared" si="50"/>
        <v>-187.87</v>
      </c>
      <c r="Y62" s="2"/>
      <c r="Z62" s="7">
        <f t="shared" si="51"/>
        <v>-1</v>
      </c>
    </row>
    <row r="63" spans="1:26" s="27" customFormat="1" outlineLevel="1" collapsed="1" x14ac:dyDescent="0.25">
      <c r="A63" s="25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SUM(OSRRefD22_11x_0)</f>
        <v>91.01</v>
      </c>
      <c r="E63" s="1"/>
      <c r="F63" s="5">
        <f t="shared" ref="F63:F64" si="52">IF(D$12=0,0,D63/D$12)</f>
        <v>1.3560492820582507E-3</v>
      </c>
      <c r="G63" s="1"/>
      <c r="H63" s="1">
        <f>SUM(OSRRefH22_11x_0)</f>
        <v>91.01</v>
      </c>
      <c r="I63" s="1"/>
      <c r="J63" s="5">
        <f t="shared" ref="J63:J64" si="53">IF(H$12=0,0,H63/H$12)</f>
        <v>1.32931214340738E-3</v>
      </c>
      <c r="K63" s="1"/>
      <c r="L63" s="1">
        <f t="shared" ref="L63:L64" si="54">+D63-H63</f>
        <v>0</v>
      </c>
      <c r="M63" s="1"/>
      <c r="N63" s="5">
        <f t="shared" ref="N63:N64" si="55">IF(H63=0,0,L63/H63)</f>
        <v>0</v>
      </c>
      <c r="O63" s="13"/>
      <c r="P63" s="1">
        <f>SUM(OSRRefP22_11x_0)</f>
        <v>364.04</v>
      </c>
      <c r="Q63" s="1"/>
      <c r="R63" s="5">
        <f t="shared" ref="R63:R64" si="56">IF(P$12=0,0,P63/P$12)</f>
        <v>2.5871336507814454E-3</v>
      </c>
      <c r="S63" s="1"/>
      <c r="T63" s="1">
        <f>SUM(OSRRefT22_11x_0)</f>
        <v>364.04</v>
      </c>
      <c r="U63" s="1"/>
      <c r="V63" s="5">
        <f t="shared" ref="V63:V64" si="57">IF(T$12=0,0,T63/T$12)</f>
        <v>2.5370536391289998E-3</v>
      </c>
      <c r="W63" s="1"/>
      <c r="X63" s="1">
        <f t="shared" ref="X63:X64" si="58">+P63-T63</f>
        <v>0</v>
      </c>
      <c r="Y63" s="1"/>
      <c r="Z63" s="5">
        <f t="shared" ref="Z63:Z64" si="59">IF(T63=0,0,X63/T63)</f>
        <v>0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6">
        <v>91.01</v>
      </c>
      <c r="E64" s="2"/>
      <c r="F64" s="7">
        <f t="shared" si="52"/>
        <v>1.3560492820582507E-3</v>
      </c>
      <c r="G64" s="2"/>
      <c r="H64" s="6">
        <v>91.01</v>
      </c>
      <c r="I64" s="2"/>
      <c r="J64" s="7">
        <f t="shared" si="53"/>
        <v>1.32931214340738E-3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>
        <v>364.04</v>
      </c>
      <c r="Q64" s="2"/>
      <c r="R64" s="7">
        <f t="shared" si="56"/>
        <v>2.5871336507814454E-3</v>
      </c>
      <c r="S64" s="2"/>
      <c r="T64" s="6">
        <v>364.04</v>
      </c>
      <c r="U64" s="2"/>
      <c r="V64" s="7">
        <f t="shared" si="57"/>
        <v>2.5370536391289998E-3</v>
      </c>
      <c r="W64" s="2"/>
      <c r="X64" s="6">
        <f t="shared" si="58"/>
        <v>0</v>
      </c>
      <c r="Y64" s="2"/>
      <c r="Z64" s="7">
        <f t="shared" si="59"/>
        <v>0</v>
      </c>
    </row>
    <row r="65" spans="1:26" s="55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9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8" t="s">
        <v>3</v>
      </c>
      <c r="C68" s="28"/>
      <c r="D68" s="21">
        <f>+D20-D22+D66</f>
        <v>15690.130000000001</v>
      </c>
      <c r="E68" s="14"/>
      <c r="F68" s="22">
        <f>IF(D$12=0,0,D68/D$12)</f>
        <v>0.23378298562686101</v>
      </c>
      <c r="G68" s="14"/>
      <c r="H68" s="21">
        <f>+H20-H22+H66</f>
        <v>11223.360000000019</v>
      </c>
      <c r="I68" s="14"/>
      <c r="J68" s="22">
        <f>IF(H$12=0,0,H68/H$12)</f>
        <v>0.16393087284729893</v>
      </c>
      <c r="K68" s="16"/>
      <c r="L68" s="21">
        <f>+D68-H68</f>
        <v>4466.7699999999822</v>
      </c>
      <c r="M68" s="16"/>
      <c r="N68" s="22">
        <f>IF(H68=0,0,L68/H68)</f>
        <v>0.39798865936760247</v>
      </c>
      <c r="O68" s="29"/>
      <c r="P68" s="21">
        <f>+P20-P22+P66</f>
        <v>10251.759999999995</v>
      </c>
      <c r="Q68" s="14"/>
      <c r="R68" s="22">
        <f>IF(P$12=0,0,P68/P$12)</f>
        <v>7.2856480814567567E-2</v>
      </c>
      <c r="S68" s="14"/>
      <c r="T68" s="21">
        <f>+T20-T22+T66</f>
        <v>11321.269999999968</v>
      </c>
      <c r="U68" s="14"/>
      <c r="V68" s="22">
        <f>IF(T$12=0,0,T68/T$12)</f>
        <v>7.8899761710421623E-2</v>
      </c>
      <c r="W68" s="16"/>
      <c r="X68" s="21">
        <f>+P68-T68</f>
        <v>-1069.5099999999729</v>
      </c>
      <c r="Y68" s="16"/>
      <c r="Z68" s="22">
        <f>IF(T68=0,0,X68/T68)</f>
        <v>-9.4469083415551075E-2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6259.04</v>
      </c>
      <c r="E70" s="4"/>
      <c r="F70" s="12">
        <f>IF(D$12=0,0,D70/D$12)</f>
        <v>9.3259715398020804E-2</v>
      </c>
      <c r="G70" s="4"/>
      <c r="H70" s="4">
        <v>6512.24</v>
      </c>
      <c r="I70" s="4"/>
      <c r="J70" s="12">
        <f>IF(H$12=0,0,H70/H$12)</f>
        <v>9.5119214512507141E-2</v>
      </c>
      <c r="K70" s="4"/>
      <c r="L70" s="4">
        <f>+D70-H70</f>
        <v>-253.19999999999982</v>
      </c>
      <c r="M70" s="4"/>
      <c r="N70" s="12">
        <f>IF(H70=0,0,L70/H70)</f>
        <v>-3.8880630934977803E-2</v>
      </c>
      <c r="O70" s="10"/>
      <c r="P70" s="4">
        <v>14164.4</v>
      </c>
      <c r="Q70" s="4"/>
      <c r="R70" s="12">
        <f>IF(P$12=0,0,P70/P$12)</f>
        <v>0.10066255324450255</v>
      </c>
      <c r="S70" s="4"/>
      <c r="T70" s="4">
        <v>13178.02</v>
      </c>
      <c r="U70" s="4"/>
      <c r="V70" s="12">
        <f>IF(T$12=0,0,T70/T$12)</f>
        <v>9.1839752767593513E-2</v>
      </c>
      <c r="W70" s="4"/>
      <c r="X70" s="4">
        <f>+P70-T70</f>
        <v>986.3799999999992</v>
      </c>
      <c r="Y70" s="4"/>
      <c r="Z70" s="12">
        <f>IF(T70=0,0,X70/T70)</f>
        <v>7.485039482410856E-2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4</v>
      </c>
      <c r="C72" s="28"/>
      <c r="D72" s="31">
        <f>+D68-D70</f>
        <v>9431.09</v>
      </c>
      <c r="E72" s="14"/>
      <c r="F72" s="34">
        <f>IF(D$12=0,0,D72/D$12)</f>
        <v>0.1405232702288402</v>
      </c>
      <c r="G72" s="14"/>
      <c r="H72" s="31">
        <f>+H68-H70</f>
        <v>4711.120000000019</v>
      </c>
      <c r="I72" s="14"/>
      <c r="J72" s="34">
        <f>IF(H$12=0,0,H72/H$12)</f>
        <v>6.8811658334791789E-2</v>
      </c>
      <c r="K72" s="16"/>
      <c r="L72" s="31">
        <f>D72-H72</f>
        <v>4719.9699999999812</v>
      </c>
      <c r="M72" s="16"/>
      <c r="N72" s="34">
        <f>IF(H72=0,0,L72/H72)</f>
        <v>1.0018785341914369</v>
      </c>
      <c r="O72" s="29"/>
      <c r="P72" s="31">
        <f>+P68-P70</f>
        <v>-3912.6400000000049</v>
      </c>
      <c r="Q72" s="14"/>
      <c r="R72" s="34">
        <f>IF(P$12=0,0,P72/P$12)</f>
        <v>-2.7806072429934971E-2</v>
      </c>
      <c r="S72" s="14"/>
      <c r="T72" s="31">
        <f>+T68-T70</f>
        <v>-1856.7500000000327</v>
      </c>
      <c r="U72" s="14"/>
      <c r="V72" s="34">
        <f>IF(T$12=0,0,T72/T$12)</f>
        <v>-1.2939991057171887E-2</v>
      </c>
      <c r="W72" s="16"/>
      <c r="X72" s="31">
        <f>P72-T72</f>
        <v>-2055.8899999999721</v>
      </c>
      <c r="Y72" s="16"/>
      <c r="Z72" s="34">
        <f>IF(T72=0,0,X72/T72)</f>
        <v>1.1072519186750698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5</v>
      </c>
      <c r="C75" s="28"/>
      <c r="D75" s="36">
        <f>SUM(D72:D74)</f>
        <v>9431.09</v>
      </c>
      <c r="E75" s="14"/>
      <c r="F75" s="33">
        <f>IF(D$12=0,0,D75/D$12)</f>
        <v>0.1405232702288402</v>
      </c>
      <c r="G75" s="14"/>
      <c r="H75" s="36">
        <f>SUM(H72:H74)</f>
        <v>4711.120000000019</v>
      </c>
      <c r="I75" s="14"/>
      <c r="J75" s="33">
        <f>IF(H$12=0,0,H75/H$12)</f>
        <v>6.8811658334791789E-2</v>
      </c>
      <c r="K75" s="16"/>
      <c r="L75" s="36">
        <f>+D75-H75</f>
        <v>4719.9699999999812</v>
      </c>
      <c r="M75" s="16"/>
      <c r="N75" s="33">
        <f>IF(H75=0,0,L75/H75)</f>
        <v>1.0018785341914369</v>
      </c>
      <c r="O75" s="29"/>
      <c r="P75" s="36">
        <f>SUM(P72:P74)</f>
        <v>-3912.6400000000049</v>
      </c>
      <c r="Q75" s="14"/>
      <c r="R75" s="33">
        <f>IF(P$12=0,0,P75/P$12)</f>
        <v>-2.7806072429934971E-2</v>
      </c>
      <c r="S75" s="14"/>
      <c r="T75" s="36">
        <f>SUM(T72:T74)</f>
        <v>-1856.7500000000327</v>
      </c>
      <c r="U75" s="14"/>
      <c r="V75" s="33">
        <f>IF(T$12=0,0,T75/T$12)</f>
        <v>-1.2939991057171887E-2</v>
      </c>
      <c r="W75" s="16"/>
      <c r="X75" s="36">
        <f>+P75-T75</f>
        <v>-2055.8899999999721</v>
      </c>
      <c r="Y75" s="16"/>
      <c r="Z75" s="33">
        <f>IF(T75=0,0,X75/T75)</f>
        <v>1.1072519186750698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61">
        <v>43791.35525659722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6" t="s">
        <v>313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7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","313", " - ", "Convenience Store")</f>
        <v>Department 313 - Convenience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103668.14</v>
      </c>
      <c r="E12" s="4"/>
      <c r="F12" s="12"/>
      <c r="G12" s="4"/>
      <c r="H12" s="4">
        <f>SUM(OSRRefH13x_0)</f>
        <v>101236.91</v>
      </c>
      <c r="I12" s="4"/>
      <c r="J12" s="12"/>
      <c r="K12" s="4"/>
      <c r="L12" s="4">
        <f t="shared" ref="L12:L19" si="0">+D12-H12</f>
        <v>2431.2299999999959</v>
      </c>
      <c r="M12" s="4"/>
      <c r="N12" s="12">
        <f t="shared" ref="N12:N19" si="1">IF(H12=0,0,L12/H12)</f>
        <v>2.4015252934922609E-2</v>
      </c>
      <c r="O12" s="10"/>
      <c r="P12" s="4">
        <f>SUM(OSRRefP13x_0)</f>
        <v>239185.92000000001</v>
      </c>
      <c r="Q12" s="4"/>
      <c r="R12" s="12"/>
      <c r="S12" s="4"/>
      <c r="T12" s="4">
        <f>SUM(OSRRefT13x_0)</f>
        <v>239006.5</v>
      </c>
      <c r="U12" s="4"/>
      <c r="V12" s="12"/>
      <c r="W12" s="4"/>
      <c r="X12" s="4">
        <f t="shared" ref="X12:X19" si="2">+P12-T12</f>
        <v>179.42000000001281</v>
      </c>
      <c r="Y12" s="4"/>
      <c r="Z12" s="12">
        <f t="shared" ref="Z12:Z19" si="3">IF(T12=0,0,X12/T12)</f>
        <v>7.5069088079199862E-4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--21838.13</f>
        <v>21838.13</v>
      </c>
      <c r="E13" s="2"/>
      <c r="F13" s="19"/>
      <c r="G13" s="2"/>
      <c r="H13" s="2">
        <f>--21094.07</f>
        <v>21094.07</v>
      </c>
      <c r="I13" s="2"/>
      <c r="J13" s="19"/>
      <c r="K13" s="2"/>
      <c r="L13" s="2">
        <f t="shared" si="0"/>
        <v>744.06000000000131</v>
      </c>
      <c r="M13" s="2"/>
      <c r="N13" s="19">
        <f t="shared" si="1"/>
        <v>3.5273420444703239E-2</v>
      </c>
      <c r="O13" s="11"/>
      <c r="P13" s="2">
        <f>--50000.07</f>
        <v>50000.07</v>
      </c>
      <c r="Q13" s="2"/>
      <c r="R13" s="19"/>
      <c r="S13" s="2"/>
      <c r="T13" s="2">
        <f>--49762.61</f>
        <v>49762.61</v>
      </c>
      <c r="U13" s="2"/>
      <c r="V13" s="19"/>
      <c r="W13" s="2"/>
      <c r="X13" s="2">
        <f t="shared" si="2"/>
        <v>237.45999999999913</v>
      </c>
      <c r="Y13" s="2"/>
      <c r="Z13" s="19">
        <f t="shared" si="3"/>
        <v>4.7718558170481637E-3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--19.99</f>
        <v>19.989999999999998</v>
      </c>
      <c r="I14" s="2"/>
      <c r="J14" s="19"/>
      <c r="K14" s="2"/>
      <c r="L14" s="2">
        <f t="shared" si="0"/>
        <v>-19.989999999999998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--531.75</f>
        <v>531.75</v>
      </c>
      <c r="E15" s="2"/>
      <c r="F15" s="19"/>
      <c r="G15" s="2"/>
      <c r="H15" s="2">
        <f>--251.94</f>
        <v>251.94</v>
      </c>
      <c r="I15" s="2"/>
      <c r="J15" s="19"/>
      <c r="K15" s="2"/>
      <c r="L15" s="2">
        <f t="shared" si="0"/>
        <v>279.81</v>
      </c>
      <c r="M15" s="2"/>
      <c r="N15" s="19">
        <f t="shared" si="1"/>
        <v>1.1106215765658489</v>
      </c>
      <c r="O15" s="11"/>
      <c r="P15" s="2">
        <f>--1682.08</f>
        <v>1682.08</v>
      </c>
      <c r="Q15" s="2"/>
      <c r="R15" s="19"/>
      <c r="S15" s="2"/>
      <c r="T15" s="2">
        <f>--1001.31</f>
        <v>1001.31</v>
      </c>
      <c r="U15" s="2"/>
      <c r="V15" s="19"/>
      <c r="W15" s="2"/>
      <c r="X15" s="2">
        <f t="shared" si="2"/>
        <v>680.77</v>
      </c>
      <c r="Y15" s="2"/>
      <c r="Z15" s="19">
        <f t="shared" si="3"/>
        <v>0.67987935804096633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--81070.5</f>
        <v>81070.5</v>
      </c>
      <c r="E16" s="2"/>
      <c r="F16" s="19"/>
      <c r="G16" s="2"/>
      <c r="H16" s="2">
        <f>--79541.35</f>
        <v>79541.350000000006</v>
      </c>
      <c r="I16" s="2"/>
      <c r="J16" s="19"/>
      <c r="K16" s="2"/>
      <c r="L16" s="2">
        <f t="shared" si="0"/>
        <v>1529.1499999999942</v>
      </c>
      <c r="M16" s="2"/>
      <c r="N16" s="19">
        <f t="shared" si="1"/>
        <v>1.9224591988946556E-2</v>
      </c>
      <c r="O16" s="11"/>
      <c r="P16" s="2">
        <f>--186654.53</f>
        <v>186654.53</v>
      </c>
      <c r="Q16" s="2"/>
      <c r="R16" s="19"/>
      <c r="S16" s="2"/>
      <c r="T16" s="2">
        <f>--187063.07</f>
        <v>187063.07</v>
      </c>
      <c r="U16" s="2"/>
      <c r="V16" s="19"/>
      <c r="W16" s="2"/>
      <c r="X16" s="2">
        <f t="shared" si="2"/>
        <v>-408.54000000000815</v>
      </c>
      <c r="Y16" s="2"/>
      <c r="Z16" s="19">
        <f t="shared" si="3"/>
        <v>-2.1839692890745785E-3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--0.39</f>
        <v>0.39</v>
      </c>
      <c r="Q17" s="2"/>
      <c r="R17" s="19"/>
      <c r="S17" s="2"/>
      <c r="T17" s="2">
        <f>--53.94</f>
        <v>53.94</v>
      </c>
      <c r="U17" s="2"/>
      <c r="V17" s="19"/>
      <c r="W17" s="2"/>
      <c r="X17" s="2">
        <f t="shared" si="2"/>
        <v>-53.55</v>
      </c>
      <c r="Y17" s="2"/>
      <c r="Z17" s="19">
        <f t="shared" si="3"/>
        <v>-0.99276974416017794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>--227.76</f>
        <v>227.76</v>
      </c>
      <c r="E18" s="2"/>
      <c r="F18" s="19"/>
      <c r="G18" s="2"/>
      <c r="H18" s="2">
        <f>--329.56</f>
        <v>329.56</v>
      </c>
      <c r="I18" s="2"/>
      <c r="J18" s="19"/>
      <c r="K18" s="2"/>
      <c r="L18" s="2">
        <f t="shared" si="0"/>
        <v>-101.80000000000001</v>
      </c>
      <c r="M18" s="2"/>
      <c r="N18" s="19">
        <f t="shared" si="1"/>
        <v>-0.30889671076586966</v>
      </c>
      <c r="O18" s="11"/>
      <c r="P18" s="2">
        <f>--848.85</f>
        <v>848.85</v>
      </c>
      <c r="Q18" s="2"/>
      <c r="R18" s="19"/>
      <c r="S18" s="2"/>
      <c r="T18" s="2">
        <f>--1107.27</f>
        <v>1107.27</v>
      </c>
      <c r="U18" s="2"/>
      <c r="V18" s="19"/>
      <c r="W18" s="2"/>
      <c r="X18" s="2">
        <f t="shared" si="2"/>
        <v>-258.41999999999996</v>
      </c>
      <c r="Y18" s="2"/>
      <c r="Z18" s="19">
        <f t="shared" si="3"/>
        <v>-0.23338481129263861</v>
      </c>
    </row>
    <row r="19" spans="1:26" s="24" customFormat="1" hidden="1" outlineLevel="1" x14ac:dyDescent="0.25">
      <c r="A19" s="44"/>
      <c r="B19" s="11" t="str">
        <f>CONCATENATE("          ", "4233", " - ", "SALES RETURN TAXABLE-CANDY")</f>
        <v xml:space="preserve">          4233 - SALES RETURN TAXABLE-CANDY</v>
      </c>
      <c r="C19" s="11"/>
      <c r="D19" s="2">
        <f>0</f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0</f>
        <v>0</v>
      </c>
      <c r="Q19" s="2"/>
      <c r="R19" s="19"/>
      <c r="S19" s="2"/>
      <c r="T19" s="2">
        <f>-1.69</f>
        <v>-1.69</v>
      </c>
      <c r="U19" s="2"/>
      <c r="V19" s="19"/>
      <c r="W19" s="2"/>
      <c r="X19" s="2">
        <f t="shared" si="2"/>
        <v>1.69</v>
      </c>
      <c r="Y19" s="2"/>
      <c r="Z19" s="19">
        <f t="shared" si="3"/>
        <v>-1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9" t="s">
        <v>8</v>
      </c>
      <c r="C21" s="10"/>
      <c r="D21" s="4">
        <f>SUM(OSRRefD16x_0)</f>
        <v>51689.89</v>
      </c>
      <c r="E21" s="4"/>
      <c r="F21" s="12">
        <f t="shared" ref="F21:F23" si="4">IF(D$12=0,0,D21/D$12)</f>
        <v>0.49860921590760671</v>
      </c>
      <c r="G21" s="4"/>
      <c r="H21" s="4">
        <f>SUM(OSRRefH16x_0)</f>
        <v>49926.86</v>
      </c>
      <c r="I21" s="4"/>
      <c r="J21" s="12">
        <f t="shared" ref="J21:J23" si="5">IF(H$12=0,0,H21/H$12)</f>
        <v>0.49316854890177897</v>
      </c>
      <c r="K21" s="4"/>
      <c r="L21" s="4">
        <f t="shared" ref="L21:L23" si="6">+D21-H21</f>
        <v>1763.0299999999988</v>
      </c>
      <c r="M21" s="4"/>
      <c r="N21" s="12">
        <f t="shared" ref="N21:N23" si="7">IF(H21=0,0,L21/H21)</f>
        <v>3.5312254766272082E-2</v>
      </c>
      <c r="O21" s="10"/>
      <c r="P21" s="4">
        <f>SUM(OSRRefP16x_0)</f>
        <v>114343.06000000001</v>
      </c>
      <c r="Q21" s="4"/>
      <c r="R21" s="12">
        <f t="shared" ref="R21:R23" si="8">IF(P$12=0,0,P21/P$12)</f>
        <v>0.47805096554178445</v>
      </c>
      <c r="S21" s="4"/>
      <c r="T21" s="4">
        <f>SUM(OSRRefT16x_0)</f>
        <v>107981.6</v>
      </c>
      <c r="U21" s="4"/>
      <c r="V21" s="12">
        <f t="shared" ref="V21:V23" si="9">IF(T$12=0,0,T21/T$12)</f>
        <v>0.45179357046774882</v>
      </c>
      <c r="W21" s="4"/>
      <c r="X21" s="4">
        <f t="shared" ref="X21:X23" si="10">+P21-T21</f>
        <v>6361.4600000000064</v>
      </c>
      <c r="Y21" s="4"/>
      <c r="Z21" s="12">
        <f t="shared" ref="Z21:Z23" si="11">IF(T21=0,0,X21/T21)</f>
        <v>5.8912444342369495E-2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44892.81</v>
      </c>
      <c r="E22" s="2"/>
      <c r="F22" s="19">
        <f t="shared" si="4"/>
        <v>0.4330434596395768</v>
      </c>
      <c r="G22" s="2"/>
      <c r="H22" s="2">
        <v>44457.84</v>
      </c>
      <c r="I22" s="2"/>
      <c r="J22" s="19">
        <f t="shared" si="5"/>
        <v>0.43914655237896927</v>
      </c>
      <c r="K22" s="2"/>
      <c r="L22" s="2">
        <f t="shared" si="6"/>
        <v>434.97000000000116</v>
      </c>
      <c r="M22" s="2"/>
      <c r="N22" s="19">
        <f t="shared" si="7"/>
        <v>9.7838761397315115E-3</v>
      </c>
      <c r="O22" s="11"/>
      <c r="P22" s="2">
        <v>122535.21</v>
      </c>
      <c r="Q22" s="2"/>
      <c r="R22" s="19">
        <f t="shared" si="8"/>
        <v>0.51230110033232723</v>
      </c>
      <c r="S22" s="2"/>
      <c r="T22" s="2">
        <v>114963.73000000001</v>
      </c>
      <c r="U22" s="2"/>
      <c r="V22" s="19">
        <f t="shared" si="9"/>
        <v>0.48100670902255799</v>
      </c>
      <c r="W22" s="2"/>
      <c r="X22" s="2">
        <f t="shared" si="10"/>
        <v>7571.4799999999959</v>
      </c>
      <c r="Y22" s="2"/>
      <c r="Z22" s="19">
        <f t="shared" si="11"/>
        <v>6.5859728107290835E-2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6797.08</v>
      </c>
      <c r="E23" s="2"/>
      <c r="F23" s="19">
        <f t="shared" si="4"/>
        <v>6.5565756268029893E-2</v>
      </c>
      <c r="G23" s="2"/>
      <c r="H23" s="2">
        <v>5469.02</v>
      </c>
      <c r="I23" s="2"/>
      <c r="J23" s="19">
        <f t="shared" si="5"/>
        <v>5.4021996522809715E-2</v>
      </c>
      <c r="K23" s="2"/>
      <c r="L23" s="2">
        <f t="shared" si="6"/>
        <v>1328.0599999999995</v>
      </c>
      <c r="M23" s="2"/>
      <c r="N23" s="19">
        <f t="shared" si="7"/>
        <v>0.24283326811750541</v>
      </c>
      <c r="O23" s="11"/>
      <c r="P23" s="2">
        <v>-8192.15</v>
      </c>
      <c r="Q23" s="2"/>
      <c r="R23" s="19">
        <f t="shared" si="8"/>
        <v>-3.4250134790542848E-2</v>
      </c>
      <c r="S23" s="2"/>
      <c r="T23" s="2">
        <v>-6982.13</v>
      </c>
      <c r="U23" s="2"/>
      <c r="V23" s="19">
        <f t="shared" si="9"/>
        <v>-2.9213138554809181E-2</v>
      </c>
      <c r="W23" s="2"/>
      <c r="X23" s="2">
        <f t="shared" si="10"/>
        <v>-1210.0199999999995</v>
      </c>
      <c r="Y23" s="2"/>
      <c r="Z23" s="19">
        <f t="shared" si="11"/>
        <v>0.17330241631135476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1">
        <f>D12-D21</f>
        <v>51978.25</v>
      </c>
      <c r="E25" s="14"/>
      <c r="F25" s="22">
        <f>IF(D$12=0,0,D25/D$12)</f>
        <v>0.50139078409239324</v>
      </c>
      <c r="G25" s="14"/>
      <c r="H25" s="21">
        <f>H12-H21</f>
        <v>51310.05</v>
      </c>
      <c r="I25" s="14"/>
      <c r="J25" s="22">
        <f>IF(H$12=0,0,H25/H$12)</f>
        <v>0.50683145109822103</v>
      </c>
      <c r="K25" s="16"/>
      <c r="L25" s="21">
        <f>+D25-H25</f>
        <v>668.19999999999709</v>
      </c>
      <c r="M25" s="16"/>
      <c r="N25" s="22">
        <f>IF(H25=0,0,L25/H25)</f>
        <v>1.3022789882293957E-2</v>
      </c>
      <c r="O25" s="29"/>
      <c r="P25" s="21">
        <f>P12-P21</f>
        <v>124842.86</v>
      </c>
      <c r="Q25" s="14"/>
      <c r="R25" s="22">
        <f>IF(P$12=0,0,P25/P$12)</f>
        <v>0.52194903445821561</v>
      </c>
      <c r="S25" s="14"/>
      <c r="T25" s="21">
        <f>T12-T21</f>
        <v>131024.9</v>
      </c>
      <c r="U25" s="14"/>
      <c r="V25" s="22">
        <f>IF(T$12=0,0,T25/T$12)</f>
        <v>0.54820642953225118</v>
      </c>
      <c r="W25" s="16"/>
      <c r="X25" s="21">
        <f>+P25-T25</f>
        <v>-6182.0399999999936</v>
      </c>
      <c r="Y25" s="16"/>
      <c r="Z25" s="22">
        <f>IF(T25=0,0,X25/T25)</f>
        <v>-4.718217682287866E-2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0">
        <f>SUM(OSRRefD22x_0)</f>
        <v>25347.179999999997</v>
      </c>
      <c r="E27" s="20"/>
      <c r="F27" s="35">
        <f t="shared" ref="F27:F36" si="12">IF(D$12=0,0,D27/D$12)</f>
        <v>0.24450308455423234</v>
      </c>
      <c r="G27" s="20"/>
      <c r="H27" s="20">
        <f>SUM(OSRRefH22x_0)</f>
        <v>29769.979999999996</v>
      </c>
      <c r="I27" s="20"/>
      <c r="J27" s="35">
        <f t="shared" ref="J27:J36" si="13">IF(H$12=0,0,H27/H$12)</f>
        <v>0.29406251139036144</v>
      </c>
      <c r="K27" s="4"/>
      <c r="L27" s="20">
        <f t="shared" ref="L27:L36" si="14">+D27-H27</f>
        <v>-4422.7999999999993</v>
      </c>
      <c r="M27" s="4"/>
      <c r="N27" s="35">
        <f t="shared" ref="N27:N36" si="15">IF(H27=0,0,L27/H27)</f>
        <v>-0.14856576994677187</v>
      </c>
      <c r="O27" s="10"/>
      <c r="P27" s="20">
        <f>SUM(OSRRefP22x_0)</f>
        <v>79501.710000000036</v>
      </c>
      <c r="Q27" s="20"/>
      <c r="R27" s="35">
        <f t="shared" ref="R27:R36" si="16">IF(P$12=0,0,P27/P$12)</f>
        <v>0.33238457347322131</v>
      </c>
      <c r="S27" s="20"/>
      <c r="T27" s="20">
        <f>SUM(OSRRefT22x_0)</f>
        <v>89720.890000000014</v>
      </c>
      <c r="U27" s="20"/>
      <c r="V27" s="35">
        <f t="shared" ref="V27:V36" si="17">IF(T$12=0,0,T27/T$12)</f>
        <v>0.37539100401035125</v>
      </c>
      <c r="W27" s="4"/>
      <c r="X27" s="20">
        <f t="shared" ref="X27:X36" si="18">+P27-T27</f>
        <v>-10219.179999999978</v>
      </c>
      <c r="Y27" s="4"/>
      <c r="Z27" s="35">
        <f t="shared" ref="Z27:Z36" si="19">IF(T27=0,0,X27/T27)</f>
        <v>-0.11389967264034025</v>
      </c>
    </row>
    <row r="28" spans="1:26" s="27" customFormat="1" outlineLevel="1" collapsed="1" x14ac:dyDescent="0.25">
      <c r="A28" s="25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5436.5400000000009</v>
      </c>
      <c r="E28" s="1"/>
      <c r="F28" s="5">
        <f t="shared" si="12"/>
        <v>5.2441762724787004E-2</v>
      </c>
      <c r="G28" s="1"/>
      <c r="H28" s="1">
        <f>SUM(OSRRefH22_0x_0)</f>
        <v>5966.52</v>
      </c>
      <c r="I28" s="1"/>
      <c r="J28" s="5">
        <f t="shared" si="13"/>
        <v>5.893621209892716E-2</v>
      </c>
      <c r="K28" s="1"/>
      <c r="L28" s="1">
        <f t="shared" si="14"/>
        <v>-529.97999999999956</v>
      </c>
      <c r="M28" s="1"/>
      <c r="N28" s="5">
        <f t="shared" si="15"/>
        <v>-8.8825647110878619E-2</v>
      </c>
      <c r="O28" s="13"/>
      <c r="P28" s="1">
        <f>SUM(OSRRefP22_0x_0)</f>
        <v>18308.73</v>
      </c>
      <c r="Q28" s="1"/>
      <c r="R28" s="5">
        <f t="shared" si="16"/>
        <v>7.654601909677626E-2</v>
      </c>
      <c r="S28" s="1"/>
      <c r="T28" s="1">
        <f>SUM(OSRRefT22_0x_0)</f>
        <v>18050.899999999998</v>
      </c>
      <c r="U28" s="1"/>
      <c r="V28" s="5">
        <f t="shared" si="17"/>
        <v>7.5524724222981371E-2</v>
      </c>
      <c r="W28" s="1"/>
      <c r="X28" s="1">
        <f t="shared" si="18"/>
        <v>257.83000000000175</v>
      </c>
      <c r="Y28" s="1"/>
      <c r="Z28" s="5">
        <f t="shared" si="19"/>
        <v>1.428349832972327E-2</v>
      </c>
    </row>
    <row r="29" spans="1:26" s="24" customFormat="1" hidden="1" outlineLevel="2" x14ac:dyDescent="0.25">
      <c r="A29" s="26"/>
      <c r="B29" s="11" t="str">
        <f>CONCATENATE("          ", "6111", " - ", "F.I.C.A.")</f>
        <v xml:space="preserve">          6111 - F.I.C.A.</v>
      </c>
      <c r="C29" s="11"/>
      <c r="D29" s="6">
        <v>1052.74</v>
      </c>
      <c r="E29" s="2"/>
      <c r="F29" s="7">
        <f t="shared" si="12"/>
        <v>1.0154903907796551E-2</v>
      </c>
      <c r="G29" s="2"/>
      <c r="H29" s="6">
        <v>1478.2</v>
      </c>
      <c r="I29" s="2"/>
      <c r="J29" s="7">
        <f t="shared" si="13"/>
        <v>1.4601393898727253E-2</v>
      </c>
      <c r="K29" s="2"/>
      <c r="L29" s="6">
        <f t="shared" si="14"/>
        <v>-425.46000000000004</v>
      </c>
      <c r="M29" s="2"/>
      <c r="N29" s="7">
        <f t="shared" si="15"/>
        <v>-0.28782302800703558</v>
      </c>
      <c r="O29" s="11"/>
      <c r="P29" s="6">
        <v>2409.96</v>
      </c>
      <c r="Q29" s="2"/>
      <c r="R29" s="7">
        <f t="shared" si="16"/>
        <v>1.0075676695350628E-2</v>
      </c>
      <c r="S29" s="2"/>
      <c r="T29" s="6">
        <v>3699.28</v>
      </c>
      <c r="U29" s="2"/>
      <c r="V29" s="7">
        <f t="shared" si="17"/>
        <v>1.5477738053149183E-2</v>
      </c>
      <c r="W29" s="2"/>
      <c r="X29" s="6">
        <f t="shared" si="18"/>
        <v>-1289.3200000000002</v>
      </c>
      <c r="Y29" s="2"/>
      <c r="Z29" s="7">
        <f t="shared" si="19"/>
        <v>-0.3485326874418806</v>
      </c>
    </row>
    <row r="30" spans="1:26" s="24" customFormat="1" hidden="1" outlineLevel="2" x14ac:dyDescent="0.25">
      <c r="A30" s="26"/>
      <c r="B30" s="11" t="str">
        <f>CONCATENATE("          ", "6112", " - ", "COMPENSATION INSURANCE")</f>
        <v xml:space="preserve">          6112 - COMPENSATION INSURANCE</v>
      </c>
      <c r="C30" s="11"/>
      <c r="D30" s="6">
        <v>69.680000000000007</v>
      </c>
      <c r="E30" s="2"/>
      <c r="F30" s="7">
        <f t="shared" si="12"/>
        <v>6.7214478816731934E-4</v>
      </c>
      <c r="G30" s="2"/>
      <c r="H30" s="6">
        <v>332.41</v>
      </c>
      <c r="I30" s="2"/>
      <c r="J30" s="7">
        <f t="shared" si="13"/>
        <v>3.2834862304667342E-3</v>
      </c>
      <c r="K30" s="2"/>
      <c r="L30" s="6">
        <f t="shared" si="14"/>
        <v>-262.73</v>
      </c>
      <c r="M30" s="2"/>
      <c r="N30" s="7">
        <f t="shared" si="15"/>
        <v>-0.79037935080172073</v>
      </c>
      <c r="O30" s="11"/>
      <c r="P30" s="6">
        <v>571.29</v>
      </c>
      <c r="Q30" s="2"/>
      <c r="R30" s="7">
        <f t="shared" si="16"/>
        <v>2.3884767130105313E-3</v>
      </c>
      <c r="S30" s="2"/>
      <c r="T30" s="6">
        <v>574.04</v>
      </c>
      <c r="U30" s="2"/>
      <c r="V30" s="7">
        <f t="shared" si="17"/>
        <v>2.4017756839249142E-3</v>
      </c>
      <c r="W30" s="2"/>
      <c r="X30" s="6">
        <f t="shared" si="18"/>
        <v>-2.75</v>
      </c>
      <c r="Y30" s="2"/>
      <c r="Z30" s="7">
        <f t="shared" si="19"/>
        <v>-4.790606926346596E-3</v>
      </c>
    </row>
    <row r="31" spans="1:26" s="24" customFormat="1" hidden="1" outlineLevel="2" x14ac:dyDescent="0.25">
      <c r="A31" s="26"/>
      <c r="B31" s="11" t="str">
        <f>CONCATENATE("          ", "6113", " - ", "GROUP INSURANCE")</f>
        <v xml:space="preserve">          6113 - GROUP INSURANCE</v>
      </c>
      <c r="C31" s="11"/>
      <c r="D31" s="6">
        <v>2019.97</v>
      </c>
      <c r="E31" s="2"/>
      <c r="F31" s="7">
        <f t="shared" si="12"/>
        <v>1.9484964232984212E-2</v>
      </c>
      <c r="G31" s="2"/>
      <c r="H31" s="6">
        <v>2019.97</v>
      </c>
      <c r="I31" s="2"/>
      <c r="J31" s="7">
        <f t="shared" si="13"/>
        <v>1.995290057746725E-2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>
        <v>8079.88</v>
      </c>
      <c r="Q31" s="2"/>
      <c r="R31" s="7">
        <f t="shared" si="16"/>
        <v>3.3780750973970375E-2</v>
      </c>
      <c r="S31" s="2"/>
      <c r="T31" s="6">
        <v>6809.35</v>
      </c>
      <c r="U31" s="2"/>
      <c r="V31" s="7">
        <f t="shared" si="17"/>
        <v>2.8490229345227013E-2</v>
      </c>
      <c r="W31" s="2"/>
      <c r="X31" s="6">
        <f t="shared" si="18"/>
        <v>1270.5299999999997</v>
      </c>
      <c r="Y31" s="2"/>
      <c r="Z31" s="7">
        <f t="shared" si="19"/>
        <v>0.18658609118344624</v>
      </c>
    </row>
    <row r="32" spans="1:26" s="24" customFormat="1" hidden="1" outlineLevel="2" x14ac:dyDescent="0.25">
      <c r="A32" s="26"/>
      <c r="B32" s="11" t="str">
        <f>CONCATENATE("          ", "6114", " - ", "STATE UNEMPLOYMENT INSURANCE")</f>
        <v xml:space="preserve">          6114 - STATE UNEMPLOYMENT INSURANCE</v>
      </c>
      <c r="C32" s="11"/>
      <c r="D32" s="6">
        <v>42.78</v>
      </c>
      <c r="E32" s="2"/>
      <c r="F32" s="7">
        <f t="shared" si="12"/>
        <v>4.1266294543338002E-4</v>
      </c>
      <c r="G32" s="2"/>
      <c r="H32" s="6">
        <v>47.96</v>
      </c>
      <c r="I32" s="2"/>
      <c r="J32" s="7">
        <f t="shared" si="13"/>
        <v>4.7374025935797526E-4</v>
      </c>
      <c r="K32" s="2"/>
      <c r="L32" s="6">
        <f t="shared" si="14"/>
        <v>-5.18</v>
      </c>
      <c r="M32" s="2"/>
      <c r="N32" s="7">
        <f t="shared" si="15"/>
        <v>-0.1080066722268557</v>
      </c>
      <c r="O32" s="11"/>
      <c r="P32" s="6">
        <v>111.07</v>
      </c>
      <c r="Q32" s="2"/>
      <c r="R32" s="7">
        <f t="shared" si="16"/>
        <v>4.6436679884836026E-4</v>
      </c>
      <c r="S32" s="2"/>
      <c r="T32" s="6">
        <v>156.05000000000001</v>
      </c>
      <c r="U32" s="2"/>
      <c r="V32" s="7">
        <f t="shared" si="17"/>
        <v>6.5291111329608199E-4</v>
      </c>
      <c r="W32" s="2"/>
      <c r="X32" s="6">
        <f t="shared" si="18"/>
        <v>-44.980000000000018</v>
      </c>
      <c r="Y32" s="2"/>
      <c r="Z32" s="7">
        <f t="shared" si="19"/>
        <v>-0.28824094841396997</v>
      </c>
    </row>
    <row r="33" spans="1:26" s="24" customFormat="1" hidden="1" outlineLevel="2" x14ac:dyDescent="0.25">
      <c r="A33" s="26"/>
      <c r="B33" s="11" t="str">
        <f>CONCATENATE("          ", "6115", " - ", "P.E.R.S.")</f>
        <v xml:space="preserve">          6115 - P.E.R.S.</v>
      </c>
      <c r="C33" s="11"/>
      <c r="D33" s="6">
        <v>1086.73</v>
      </c>
      <c r="E33" s="2"/>
      <c r="F33" s="7">
        <f t="shared" si="12"/>
        <v>1.0482777061496425E-2</v>
      </c>
      <c r="G33" s="2"/>
      <c r="H33" s="6">
        <v>971.26</v>
      </c>
      <c r="I33" s="2"/>
      <c r="J33" s="7">
        <f t="shared" si="13"/>
        <v>9.5939316994167433E-3</v>
      </c>
      <c r="K33" s="2"/>
      <c r="L33" s="6">
        <f t="shared" si="14"/>
        <v>115.47000000000003</v>
      </c>
      <c r="M33" s="2"/>
      <c r="N33" s="7">
        <f t="shared" si="15"/>
        <v>0.11888680682824375</v>
      </c>
      <c r="O33" s="11"/>
      <c r="P33" s="6">
        <v>2793.64</v>
      </c>
      <c r="Q33" s="2"/>
      <c r="R33" s="7">
        <f t="shared" si="16"/>
        <v>1.1679784495675999E-2</v>
      </c>
      <c r="S33" s="2"/>
      <c r="T33" s="6">
        <v>2743.64</v>
      </c>
      <c r="U33" s="2"/>
      <c r="V33" s="7">
        <f t="shared" si="17"/>
        <v>1.1479353071987582E-2</v>
      </c>
      <c r="W33" s="2"/>
      <c r="X33" s="6">
        <f t="shared" si="18"/>
        <v>50</v>
      </c>
      <c r="Y33" s="2"/>
      <c r="Z33" s="7">
        <f t="shared" si="19"/>
        <v>1.8223965243253488E-2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610.59</v>
      </c>
      <c r="E34" s="2"/>
      <c r="F34" s="7">
        <f t="shared" si="12"/>
        <v>5.8898519834541261E-3</v>
      </c>
      <c r="G34" s="2"/>
      <c r="H34" s="6">
        <v>592.79999999999995</v>
      </c>
      <c r="I34" s="2"/>
      <c r="J34" s="7">
        <f t="shared" si="13"/>
        <v>5.855571846276224E-3</v>
      </c>
      <c r="K34" s="2"/>
      <c r="L34" s="6">
        <f t="shared" si="14"/>
        <v>17.790000000000077</v>
      </c>
      <c r="M34" s="2"/>
      <c r="N34" s="7">
        <f t="shared" si="15"/>
        <v>3.0010121457490012E-2</v>
      </c>
      <c r="O34" s="11"/>
      <c r="P34" s="6">
        <v>2140.66</v>
      </c>
      <c r="Q34" s="2"/>
      <c r="R34" s="7">
        <f t="shared" si="16"/>
        <v>8.9497743010959838E-3</v>
      </c>
      <c r="S34" s="2"/>
      <c r="T34" s="6">
        <v>2018.18</v>
      </c>
      <c r="U34" s="2"/>
      <c r="V34" s="7">
        <f t="shared" si="17"/>
        <v>8.4440381328541279E-3</v>
      </c>
      <c r="W34" s="2"/>
      <c r="X34" s="6">
        <f t="shared" si="18"/>
        <v>122.47999999999979</v>
      </c>
      <c r="Y34" s="2"/>
      <c r="Z34" s="7">
        <f t="shared" si="19"/>
        <v>6.0688342962471033E-2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385.14</v>
      </c>
      <c r="E35" s="2"/>
      <c r="F35" s="7">
        <f t="shared" si="12"/>
        <v>3.7151240487193074E-3</v>
      </c>
      <c r="G35" s="2"/>
      <c r="H35" s="6">
        <v>373.92</v>
      </c>
      <c r="I35" s="2"/>
      <c r="J35" s="7">
        <f t="shared" si="13"/>
        <v>3.6935145491896189E-3</v>
      </c>
      <c r="K35" s="2"/>
      <c r="L35" s="6">
        <f t="shared" si="14"/>
        <v>11.21999999999997</v>
      </c>
      <c r="M35" s="2"/>
      <c r="N35" s="7">
        <f t="shared" si="15"/>
        <v>3.0006418485237402E-2</v>
      </c>
      <c r="O35" s="11"/>
      <c r="P35" s="6">
        <v>1559.84</v>
      </c>
      <c r="Q35" s="2"/>
      <c r="R35" s="7">
        <f t="shared" si="16"/>
        <v>6.5214541056597304E-3</v>
      </c>
      <c r="S35" s="2"/>
      <c r="T35" s="6">
        <v>1451.49</v>
      </c>
      <c r="U35" s="2"/>
      <c r="V35" s="7">
        <f t="shared" si="17"/>
        <v>6.0730147506448569E-3</v>
      </c>
      <c r="W35" s="2"/>
      <c r="X35" s="6">
        <f t="shared" si="18"/>
        <v>108.34999999999991</v>
      </c>
      <c r="Y35" s="2"/>
      <c r="Z35" s="7">
        <f t="shared" si="19"/>
        <v>7.4647431260291081E-2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168.91</v>
      </c>
      <c r="E36" s="2"/>
      <c r="F36" s="7">
        <f t="shared" si="12"/>
        <v>1.629333756735676E-3</v>
      </c>
      <c r="G36" s="2"/>
      <c r="H36" s="6">
        <v>150</v>
      </c>
      <c r="I36" s="2"/>
      <c r="J36" s="7">
        <f t="shared" si="13"/>
        <v>1.4816730380253604E-3</v>
      </c>
      <c r="K36" s="2"/>
      <c r="L36" s="6">
        <f t="shared" si="14"/>
        <v>18.909999999999997</v>
      </c>
      <c r="M36" s="2"/>
      <c r="N36" s="7">
        <f t="shared" si="15"/>
        <v>0.12606666666666663</v>
      </c>
      <c r="O36" s="11"/>
      <c r="P36" s="6">
        <v>642.39</v>
      </c>
      <c r="Q36" s="2"/>
      <c r="R36" s="7">
        <f t="shared" si="16"/>
        <v>2.6857350131646541E-3</v>
      </c>
      <c r="S36" s="2"/>
      <c r="T36" s="6">
        <v>598.87</v>
      </c>
      <c r="U36" s="2"/>
      <c r="V36" s="7">
        <f t="shared" si="17"/>
        <v>2.5056640718976262E-3</v>
      </c>
      <c r="W36" s="2"/>
      <c r="X36" s="6">
        <f t="shared" si="18"/>
        <v>43.519999999999982</v>
      </c>
      <c r="Y36" s="2"/>
      <c r="Z36" s="7">
        <f t="shared" si="19"/>
        <v>7.267019553492407E-2</v>
      </c>
    </row>
    <row r="37" spans="1:26" s="27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15694.46</v>
      </c>
      <c r="E37" s="1"/>
      <c r="F37" s="5">
        <f t="shared" ref="F37:F42" si="20">IF(D$12=0,0,D37/D$12)</f>
        <v>0.15139135321613756</v>
      </c>
      <c r="G37" s="1"/>
      <c r="H37" s="1">
        <f>SUM(OSRRefH22_1x_0)</f>
        <v>19620.46</v>
      </c>
      <c r="I37" s="1"/>
      <c r="J37" s="5">
        <f t="shared" ref="J37:J42" si="21">IF(H$12=0,0,H37/H$12)</f>
        <v>0.19380737717103375</v>
      </c>
      <c r="K37" s="1"/>
      <c r="L37" s="1">
        <f t="shared" ref="L37:L42" si="22">+D37-H37</f>
        <v>-3926</v>
      </c>
      <c r="M37" s="1"/>
      <c r="N37" s="5">
        <f t="shared" ref="N37:N42" si="23">IF(H37=0,0,L37/H37)</f>
        <v>-0.2000972454264579</v>
      </c>
      <c r="O37" s="13"/>
      <c r="P37" s="1">
        <f>SUM(OSRRefP22_1x_0)</f>
        <v>46823.159999999996</v>
      </c>
      <c r="Q37" s="1"/>
      <c r="R37" s="5">
        <f t="shared" ref="R37:R42" si="24">IF(P$12=0,0,P37/P$12)</f>
        <v>0.19576051968276392</v>
      </c>
      <c r="S37" s="1"/>
      <c r="T37" s="1">
        <f>SUM(OSRRefT22_1x_0)</f>
        <v>60521.09</v>
      </c>
      <c r="U37" s="1"/>
      <c r="V37" s="5">
        <f t="shared" ref="V37:V42" si="25">IF(T$12=0,0,T37/T$12)</f>
        <v>0.25321943127069763</v>
      </c>
      <c r="W37" s="1"/>
      <c r="X37" s="1">
        <f t="shared" ref="X37:X42" si="26">+P37-T37</f>
        <v>-13697.93</v>
      </c>
      <c r="Y37" s="1"/>
      <c r="Z37" s="5">
        <f t="shared" ref="Z37:Z42" si="27">IF(T37=0,0,X37/T37)</f>
        <v>-0.22633316749582669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>
        <v>6957.99</v>
      </c>
      <c r="E38" s="2"/>
      <c r="F38" s="7">
        <f t="shared" si="20"/>
        <v>6.7117920703506403E-2</v>
      </c>
      <c r="G38" s="2"/>
      <c r="H38" s="6">
        <v>6553.11</v>
      </c>
      <c r="I38" s="2"/>
      <c r="J38" s="7">
        <f t="shared" si="21"/>
        <v>6.4730442681429134E-2</v>
      </c>
      <c r="K38" s="2"/>
      <c r="L38" s="6">
        <f t="shared" si="22"/>
        <v>404.88000000000011</v>
      </c>
      <c r="M38" s="2"/>
      <c r="N38" s="7">
        <f t="shared" si="23"/>
        <v>6.1784404656720263E-2</v>
      </c>
      <c r="O38" s="11"/>
      <c r="P38" s="6">
        <v>23762.68</v>
      </c>
      <c r="Q38" s="2"/>
      <c r="R38" s="7">
        <f t="shared" si="24"/>
        <v>9.9348155610497466E-2</v>
      </c>
      <c r="S38" s="2"/>
      <c r="T38" s="6">
        <v>22597.64</v>
      </c>
      <c r="U38" s="2"/>
      <c r="V38" s="7">
        <f t="shared" si="25"/>
        <v>9.4548223583877419E-2</v>
      </c>
      <c r="W38" s="2"/>
      <c r="X38" s="6">
        <f t="shared" si="26"/>
        <v>1165.0400000000009</v>
      </c>
      <c r="Y38" s="2"/>
      <c r="Z38" s="7">
        <f t="shared" si="27"/>
        <v>5.1555826183619216E-2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6">
        <v>252.36</v>
      </c>
      <c r="E39" s="2"/>
      <c r="F39" s="7">
        <f t="shared" si="20"/>
        <v>2.4343062391203314E-3</v>
      </c>
      <c r="G39" s="2"/>
      <c r="H39" s="6">
        <v>7633.58</v>
      </c>
      <c r="I39" s="2"/>
      <c r="J39" s="7">
        <f t="shared" si="21"/>
        <v>7.5403131130730869E-2</v>
      </c>
      <c r="K39" s="2"/>
      <c r="L39" s="6">
        <f t="shared" si="22"/>
        <v>-7381.22</v>
      </c>
      <c r="M39" s="2"/>
      <c r="N39" s="7">
        <f t="shared" si="23"/>
        <v>-0.96694080627962242</v>
      </c>
      <c r="O39" s="11"/>
      <c r="P39" s="6">
        <v>769.68</v>
      </c>
      <c r="Q39" s="2"/>
      <c r="R39" s="7">
        <f t="shared" si="24"/>
        <v>3.2179151682507059E-3</v>
      </c>
      <c r="S39" s="2"/>
      <c r="T39" s="6">
        <v>22574.57</v>
      </c>
      <c r="U39" s="2"/>
      <c r="V39" s="7">
        <f t="shared" si="25"/>
        <v>9.4451699012369952E-2</v>
      </c>
      <c r="W39" s="2"/>
      <c r="X39" s="6">
        <f t="shared" si="26"/>
        <v>-21804.89</v>
      </c>
      <c r="Y39" s="2"/>
      <c r="Z39" s="7">
        <f t="shared" si="27"/>
        <v>-0.96590499841192989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6">
        <v>1119</v>
      </c>
      <c r="E40" s="2"/>
      <c r="F40" s="7">
        <f t="shared" si="20"/>
        <v>1.0794058811125579E-2</v>
      </c>
      <c r="G40" s="2"/>
      <c r="H40" s="6"/>
      <c r="I40" s="2"/>
      <c r="J40" s="7">
        <f t="shared" si="21"/>
        <v>0</v>
      </c>
      <c r="K40" s="2"/>
      <c r="L40" s="6">
        <f t="shared" si="22"/>
        <v>1119</v>
      </c>
      <c r="M40" s="2"/>
      <c r="N40" s="7">
        <f t="shared" si="23"/>
        <v>0</v>
      </c>
      <c r="O40" s="11"/>
      <c r="P40" s="6">
        <v>1989.19</v>
      </c>
      <c r="Q40" s="2"/>
      <c r="R40" s="7">
        <f t="shared" si="24"/>
        <v>8.3165012388689095E-3</v>
      </c>
      <c r="S40" s="2"/>
      <c r="T40" s="6"/>
      <c r="U40" s="2"/>
      <c r="V40" s="7">
        <f t="shared" si="25"/>
        <v>0</v>
      </c>
      <c r="W40" s="2"/>
      <c r="X40" s="6">
        <f t="shared" si="26"/>
        <v>1989.19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6">
        <v>7257.11</v>
      </c>
      <c r="E41" s="2"/>
      <c r="F41" s="7">
        <f t="shared" si="20"/>
        <v>7.0003281625386549E-2</v>
      </c>
      <c r="G41" s="2"/>
      <c r="H41" s="6">
        <v>4123.6400000000003</v>
      </c>
      <c r="I41" s="2"/>
      <c r="J41" s="7">
        <f t="shared" si="21"/>
        <v>4.0732574710152653E-2</v>
      </c>
      <c r="K41" s="2"/>
      <c r="L41" s="6">
        <f t="shared" si="22"/>
        <v>3133.4699999999993</v>
      </c>
      <c r="M41" s="2"/>
      <c r="N41" s="7">
        <f t="shared" si="23"/>
        <v>0.75987962091744166</v>
      </c>
      <c r="O41" s="11"/>
      <c r="P41" s="6">
        <v>16800.129999999997</v>
      </c>
      <c r="Q41" s="2"/>
      <c r="R41" s="7">
        <f t="shared" si="24"/>
        <v>7.0238791647936449E-2</v>
      </c>
      <c r="S41" s="2"/>
      <c r="T41" s="6">
        <v>11104.18</v>
      </c>
      <c r="U41" s="2"/>
      <c r="V41" s="7">
        <f t="shared" si="25"/>
        <v>4.6459740634668935E-2</v>
      </c>
      <c r="W41" s="2"/>
      <c r="X41" s="6">
        <f t="shared" si="26"/>
        <v>5695.9499999999971</v>
      </c>
      <c r="Y41" s="2"/>
      <c r="Z41" s="7">
        <f t="shared" si="27"/>
        <v>0.51295548162944016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6">
        <v>108</v>
      </c>
      <c r="E42" s="2"/>
      <c r="F42" s="7">
        <f t="shared" si="20"/>
        <v>1.0417858369987153E-3</v>
      </c>
      <c r="G42" s="2"/>
      <c r="H42" s="6">
        <v>1310.1300000000001</v>
      </c>
      <c r="I42" s="2"/>
      <c r="J42" s="7">
        <f t="shared" si="21"/>
        <v>1.2941228648721104E-2</v>
      </c>
      <c r="K42" s="2"/>
      <c r="L42" s="6">
        <f t="shared" si="22"/>
        <v>-1202.1300000000001</v>
      </c>
      <c r="M42" s="2"/>
      <c r="N42" s="7">
        <f t="shared" si="23"/>
        <v>-0.91756543243800237</v>
      </c>
      <c r="O42" s="11"/>
      <c r="P42" s="6">
        <v>3501.48</v>
      </c>
      <c r="Q42" s="2"/>
      <c r="R42" s="7">
        <f t="shared" si="24"/>
        <v>1.4639156017210378E-2</v>
      </c>
      <c r="S42" s="2"/>
      <c r="T42" s="6">
        <v>4244.7</v>
      </c>
      <c r="U42" s="2"/>
      <c r="V42" s="7">
        <f t="shared" si="25"/>
        <v>1.7759768039781344E-2</v>
      </c>
      <c r="W42" s="2"/>
      <c r="X42" s="6">
        <f t="shared" si="26"/>
        <v>-743.2199999999998</v>
      </c>
      <c r="Y42" s="2"/>
      <c r="Z42" s="7">
        <f t="shared" si="27"/>
        <v>-0.17509364619407727</v>
      </c>
    </row>
    <row r="43" spans="1:26" s="27" customFormat="1" outlineLevel="1" collapsed="1" x14ac:dyDescent="0.25">
      <c r="A43" s="25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101.9</v>
      </c>
      <c r="E43" s="1"/>
      <c r="F43" s="5">
        <f t="shared" ref="F43:F60" si="28">IF(D$12=0,0,D43/D$12)</f>
        <v>9.8294422953860267E-4</v>
      </c>
      <c r="G43" s="1"/>
      <c r="H43" s="1">
        <f>SUM(OSRRefH22_2x_0)</f>
        <v>0</v>
      </c>
      <c r="I43" s="1"/>
      <c r="J43" s="5">
        <f t="shared" ref="J43:J60" si="29">IF(H$12=0,0,H43/H$12)</f>
        <v>0</v>
      </c>
      <c r="K43" s="1"/>
      <c r="L43" s="1">
        <f t="shared" ref="L43:L60" si="30">+D43-H43</f>
        <v>101.9</v>
      </c>
      <c r="M43" s="1"/>
      <c r="N43" s="5">
        <f t="shared" ref="N43:N60" si="31">IF(H43=0,0,L43/H43)</f>
        <v>0</v>
      </c>
      <c r="O43" s="13"/>
      <c r="P43" s="1">
        <f>SUM(OSRRefP22_2x_0)</f>
        <v>260.2</v>
      </c>
      <c r="Q43" s="1"/>
      <c r="R43" s="5">
        <f t="shared" ref="R43:R60" si="32">IF(P$12=0,0,P43/P$12)</f>
        <v>1.0878566765134001E-3</v>
      </c>
      <c r="S43" s="1"/>
      <c r="T43" s="1">
        <f>SUM(OSRRefT22_2x_0)</f>
        <v>24</v>
      </c>
      <c r="U43" s="1"/>
      <c r="V43" s="5">
        <f t="shared" ref="V43:V60" si="33">IF(T$12=0,0,T43/T$12)</f>
        <v>1.0041567907148969E-4</v>
      </c>
      <c r="W43" s="1"/>
      <c r="X43" s="1">
        <f t="shared" ref="X43:X60" si="34">+P43-T43</f>
        <v>236.2</v>
      </c>
      <c r="Y43" s="1"/>
      <c r="Z43" s="5">
        <f t="shared" ref="Z43:Z60" si="35">IF(T43=0,0,X43/T43)</f>
        <v>9.8416666666666668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6">
        <v>101.9</v>
      </c>
      <c r="E44" s="2"/>
      <c r="F44" s="7">
        <f t="shared" si="28"/>
        <v>9.8294422953860267E-4</v>
      </c>
      <c r="G44" s="2"/>
      <c r="H44" s="6"/>
      <c r="I44" s="2"/>
      <c r="J44" s="7">
        <f t="shared" si="29"/>
        <v>0</v>
      </c>
      <c r="K44" s="2"/>
      <c r="L44" s="6">
        <f t="shared" si="30"/>
        <v>101.9</v>
      </c>
      <c r="M44" s="2"/>
      <c r="N44" s="7">
        <f t="shared" si="31"/>
        <v>0</v>
      </c>
      <c r="O44" s="11"/>
      <c r="P44" s="6">
        <v>260.2</v>
      </c>
      <c r="Q44" s="2"/>
      <c r="R44" s="7">
        <f t="shared" si="32"/>
        <v>1.0878566765134001E-3</v>
      </c>
      <c r="S44" s="2"/>
      <c r="T44" s="6">
        <v>24</v>
      </c>
      <c r="U44" s="2"/>
      <c r="V44" s="7">
        <f t="shared" si="33"/>
        <v>1.0041567907148969E-4</v>
      </c>
      <c r="W44" s="2"/>
      <c r="X44" s="6">
        <f t="shared" si="34"/>
        <v>236.2</v>
      </c>
      <c r="Y44" s="2"/>
      <c r="Z44" s="7">
        <f t="shared" si="35"/>
        <v>9.8416666666666668</v>
      </c>
    </row>
    <row r="45" spans="1:26" s="27" customFormat="1" outlineLevel="1" collapsed="1" x14ac:dyDescent="0.25">
      <c r="A45" s="25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-30.63</v>
      </c>
      <c r="E45" s="1"/>
      <c r="F45" s="5">
        <f t="shared" si="28"/>
        <v>-2.9546203877102456E-4</v>
      </c>
      <c r="G45" s="1"/>
      <c r="H45" s="1">
        <f>SUM(OSRRefH22_3x_0)</f>
        <v>-11.41</v>
      </c>
      <c r="I45" s="1"/>
      <c r="J45" s="5">
        <f t="shared" si="29"/>
        <v>-1.1270592909246242E-4</v>
      </c>
      <c r="K45" s="1"/>
      <c r="L45" s="1">
        <f t="shared" si="30"/>
        <v>-19.22</v>
      </c>
      <c r="M45" s="1"/>
      <c r="N45" s="5">
        <f t="shared" si="31"/>
        <v>1.6844872918492548</v>
      </c>
      <c r="O45" s="13"/>
      <c r="P45" s="1">
        <f>SUM(OSRRefP22_3x_0)</f>
        <v>-90.81</v>
      </c>
      <c r="Q45" s="1"/>
      <c r="R45" s="5">
        <f t="shared" si="32"/>
        <v>-3.796628162727973E-4</v>
      </c>
      <c r="S45" s="1"/>
      <c r="T45" s="1">
        <f>SUM(OSRRefT22_3x_0)</f>
        <v>-112.64</v>
      </c>
      <c r="U45" s="1"/>
      <c r="V45" s="5">
        <f t="shared" si="33"/>
        <v>-4.7128425377552494E-4</v>
      </c>
      <c r="W45" s="1"/>
      <c r="X45" s="1">
        <f t="shared" si="34"/>
        <v>21.83</v>
      </c>
      <c r="Y45" s="1"/>
      <c r="Z45" s="5">
        <f t="shared" si="35"/>
        <v>-0.19380326704545453</v>
      </c>
    </row>
    <row r="46" spans="1:26" s="24" customFormat="1" hidden="1" outlineLevel="2" x14ac:dyDescent="0.25">
      <c r="A46" s="26"/>
      <c r="B46" s="11" t="str">
        <f>CONCATENATE("          ", "6272", " - ", "CASH (OVER/SHORT)")</f>
        <v xml:space="preserve">          6272 - CASH (OVER/SHORT)</v>
      </c>
      <c r="C46" s="11"/>
      <c r="D46" s="6">
        <v>-30.63</v>
      </c>
      <c r="E46" s="2"/>
      <c r="F46" s="7">
        <f t="shared" si="28"/>
        <v>-2.9546203877102456E-4</v>
      </c>
      <c r="G46" s="2"/>
      <c r="H46" s="6">
        <v>-11.41</v>
      </c>
      <c r="I46" s="2"/>
      <c r="J46" s="7">
        <f t="shared" si="29"/>
        <v>-1.1270592909246242E-4</v>
      </c>
      <c r="K46" s="2"/>
      <c r="L46" s="6">
        <f t="shared" si="30"/>
        <v>-19.22</v>
      </c>
      <c r="M46" s="2"/>
      <c r="N46" s="7">
        <f t="shared" si="31"/>
        <v>1.6844872918492548</v>
      </c>
      <c r="O46" s="11"/>
      <c r="P46" s="6">
        <v>-90.81</v>
      </c>
      <c r="Q46" s="2"/>
      <c r="R46" s="7">
        <f t="shared" si="32"/>
        <v>-3.796628162727973E-4</v>
      </c>
      <c r="S46" s="2"/>
      <c r="T46" s="6">
        <v>-112.64</v>
      </c>
      <c r="U46" s="2"/>
      <c r="V46" s="7">
        <f t="shared" si="33"/>
        <v>-4.7128425377552494E-4</v>
      </c>
      <c r="W46" s="2"/>
      <c r="X46" s="6">
        <f t="shared" si="34"/>
        <v>21.83</v>
      </c>
      <c r="Y46" s="2"/>
      <c r="Z46" s="7">
        <f t="shared" si="35"/>
        <v>-0.19380326704545453</v>
      </c>
    </row>
    <row r="47" spans="1:26" s="27" customFormat="1" outlineLevel="1" collapsed="1" x14ac:dyDescent="0.25">
      <c r="A47" s="25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3404.64</v>
      </c>
      <c r="E47" s="1"/>
      <c r="F47" s="5">
        <f t="shared" si="28"/>
        <v>3.2841719741475053E-2</v>
      </c>
      <c r="G47" s="1"/>
      <c r="H47" s="1">
        <f>SUM(OSRRefH22_4x_0)</f>
        <v>3090.68</v>
      </c>
      <c r="I47" s="1"/>
      <c r="J47" s="5">
        <f t="shared" si="29"/>
        <v>3.0529181501094807E-2</v>
      </c>
      <c r="K47" s="1"/>
      <c r="L47" s="1">
        <f t="shared" si="30"/>
        <v>313.96000000000004</v>
      </c>
      <c r="M47" s="1"/>
      <c r="N47" s="5">
        <f t="shared" si="31"/>
        <v>0.10158282319748406</v>
      </c>
      <c r="O47" s="13"/>
      <c r="P47" s="1">
        <f>SUM(OSRRefP22_4x_0)</f>
        <v>7798.8</v>
      </c>
      <c r="Q47" s="1"/>
      <c r="R47" s="5">
        <f t="shared" si="32"/>
        <v>3.2605598189057283E-2</v>
      </c>
      <c r="S47" s="1"/>
      <c r="T47" s="1">
        <f>SUM(OSRRefT22_4x_0)</f>
        <v>7319.35</v>
      </c>
      <c r="U47" s="1"/>
      <c r="V47" s="5">
        <f t="shared" si="33"/>
        <v>3.0624062525496171E-2</v>
      </c>
      <c r="W47" s="1"/>
      <c r="X47" s="1">
        <f t="shared" si="34"/>
        <v>479.44999999999982</v>
      </c>
      <c r="Y47" s="1"/>
      <c r="Z47" s="5">
        <f t="shared" si="35"/>
        <v>6.5504450531809491E-2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6">
        <v>3404.64</v>
      </c>
      <c r="E48" s="2"/>
      <c r="F48" s="7">
        <f t="shared" si="28"/>
        <v>3.2841719741475053E-2</v>
      </c>
      <c r="G48" s="2"/>
      <c r="H48" s="6">
        <v>3090.68</v>
      </c>
      <c r="I48" s="2"/>
      <c r="J48" s="7">
        <f t="shared" si="29"/>
        <v>3.0529181501094807E-2</v>
      </c>
      <c r="K48" s="2"/>
      <c r="L48" s="6">
        <f t="shared" si="30"/>
        <v>313.96000000000004</v>
      </c>
      <c r="M48" s="2"/>
      <c r="N48" s="7">
        <f t="shared" si="31"/>
        <v>0.10158282319748406</v>
      </c>
      <c r="O48" s="11"/>
      <c r="P48" s="6">
        <v>7798.8</v>
      </c>
      <c r="Q48" s="2"/>
      <c r="R48" s="7">
        <f t="shared" si="32"/>
        <v>3.2605598189057283E-2</v>
      </c>
      <c r="S48" s="2"/>
      <c r="T48" s="6">
        <v>7319.35</v>
      </c>
      <c r="U48" s="2"/>
      <c r="V48" s="7">
        <f t="shared" si="33"/>
        <v>3.0624062525496171E-2</v>
      </c>
      <c r="W48" s="2"/>
      <c r="X48" s="6">
        <f t="shared" si="34"/>
        <v>479.44999999999982</v>
      </c>
      <c r="Y48" s="2"/>
      <c r="Z48" s="7">
        <f t="shared" si="35"/>
        <v>6.5504450531809491E-2</v>
      </c>
    </row>
    <row r="49" spans="1:26" s="27" customFormat="1" outlineLevel="1" collapsed="1" x14ac:dyDescent="0.25">
      <c r="A49" s="25"/>
      <c r="B49" s="13" t="str">
        <f>CONCATENATE("     ","Discounts and Markdowns                           ")</f>
        <v xml:space="preserve">     Discounts and Markdowns                           </v>
      </c>
      <c r="C49" s="13"/>
      <c r="D49" s="1">
        <f>SUM(OSRRefD22_5x_0)</f>
        <v>17.260000000000002</v>
      </c>
      <c r="E49" s="1"/>
      <c r="F49" s="5">
        <f t="shared" si="28"/>
        <v>1.6649281061664655E-4</v>
      </c>
      <c r="G49" s="1"/>
      <c r="H49" s="1">
        <f>SUM(OSRRefH22_5x_0)</f>
        <v>23.76</v>
      </c>
      <c r="I49" s="1"/>
      <c r="J49" s="5">
        <f t="shared" si="29"/>
        <v>2.346970092232171E-4</v>
      </c>
      <c r="K49" s="1"/>
      <c r="L49" s="1">
        <f t="shared" si="30"/>
        <v>-6.5</v>
      </c>
      <c r="M49" s="1"/>
      <c r="N49" s="5">
        <f t="shared" si="31"/>
        <v>-0.27356902356902357</v>
      </c>
      <c r="O49" s="13"/>
      <c r="P49" s="1">
        <f>SUM(OSRRefP22_5x_0)</f>
        <v>49.16</v>
      </c>
      <c r="Q49" s="1"/>
      <c r="R49" s="5">
        <f t="shared" si="32"/>
        <v>2.0553049276479147E-4</v>
      </c>
      <c r="S49" s="1"/>
      <c r="T49" s="1">
        <f>SUM(OSRRefT22_5x_0)</f>
        <v>54.57</v>
      </c>
      <c r="U49" s="1"/>
      <c r="V49" s="5">
        <f t="shared" si="33"/>
        <v>2.2832015028879967E-4</v>
      </c>
      <c r="W49" s="1"/>
      <c r="X49" s="1">
        <f t="shared" si="34"/>
        <v>-5.4100000000000037</v>
      </c>
      <c r="Y49" s="1"/>
      <c r="Z49" s="5">
        <f t="shared" si="35"/>
        <v>-9.913872090892438E-2</v>
      </c>
    </row>
    <row r="50" spans="1:26" s="24" customFormat="1" hidden="1" outlineLevel="2" x14ac:dyDescent="0.25">
      <c r="A50" s="26"/>
      <c r="B50" s="11" t="str">
        <f>CONCATENATE("          ", "6382", " - ", "DISCOUNTS/MARK DOWNS")</f>
        <v xml:space="preserve">          6382 - DISCOUNTS/MARK DOWNS</v>
      </c>
      <c r="C50" s="11"/>
      <c r="D50" s="6">
        <v>17.260000000000002</v>
      </c>
      <c r="E50" s="2"/>
      <c r="F50" s="7">
        <f t="shared" si="28"/>
        <v>1.6649281061664655E-4</v>
      </c>
      <c r="G50" s="2"/>
      <c r="H50" s="6">
        <v>23.76</v>
      </c>
      <c r="I50" s="2"/>
      <c r="J50" s="7">
        <f t="shared" si="29"/>
        <v>2.346970092232171E-4</v>
      </c>
      <c r="K50" s="2"/>
      <c r="L50" s="6">
        <f t="shared" si="30"/>
        <v>-6.5</v>
      </c>
      <c r="M50" s="2"/>
      <c r="N50" s="7">
        <f t="shared" si="31"/>
        <v>-0.27356902356902357</v>
      </c>
      <c r="O50" s="11"/>
      <c r="P50" s="6">
        <v>49.16</v>
      </c>
      <c r="Q50" s="2"/>
      <c r="R50" s="7">
        <f t="shared" si="32"/>
        <v>2.0553049276479147E-4</v>
      </c>
      <c r="S50" s="2"/>
      <c r="T50" s="6">
        <v>54.57</v>
      </c>
      <c r="U50" s="2"/>
      <c r="V50" s="7">
        <f t="shared" si="33"/>
        <v>2.2832015028879967E-4</v>
      </c>
      <c r="W50" s="2"/>
      <c r="X50" s="6">
        <f t="shared" si="34"/>
        <v>-5.4100000000000037</v>
      </c>
      <c r="Y50" s="2"/>
      <c r="Z50" s="7">
        <f t="shared" si="35"/>
        <v>-9.913872090892438E-2</v>
      </c>
    </row>
    <row r="51" spans="1:26" s="27" customFormat="1" outlineLevel="1" collapsed="1" x14ac:dyDescent="0.25">
      <c r="A51" s="25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23.35</v>
      </c>
      <c r="I51" s="1"/>
      <c r="J51" s="5">
        <f t="shared" si="29"/>
        <v>2.3064710291928112E-4</v>
      </c>
      <c r="K51" s="1"/>
      <c r="L51" s="1">
        <f t="shared" si="30"/>
        <v>-23.35</v>
      </c>
      <c r="M51" s="1"/>
      <c r="N51" s="5">
        <f t="shared" si="31"/>
        <v>-1</v>
      </c>
      <c r="O51" s="13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37.729999999999997</v>
      </c>
      <c r="U51" s="1"/>
      <c r="V51" s="5">
        <f t="shared" si="33"/>
        <v>1.5786181547363773E-4</v>
      </c>
      <c r="W51" s="1"/>
      <c r="X51" s="1">
        <f t="shared" si="34"/>
        <v>-37.729999999999997</v>
      </c>
      <c r="Y51" s="1"/>
      <c r="Z51" s="5">
        <f t="shared" si="35"/>
        <v>-1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8"/>
        <v>0</v>
      </c>
      <c r="G52" s="2"/>
      <c r="H52" s="6">
        <v>23.35</v>
      </c>
      <c r="I52" s="2"/>
      <c r="J52" s="7">
        <f t="shared" si="29"/>
        <v>2.3064710291928112E-4</v>
      </c>
      <c r="K52" s="2"/>
      <c r="L52" s="6">
        <f t="shared" si="30"/>
        <v>-23.35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37.729999999999997</v>
      </c>
      <c r="U52" s="2"/>
      <c r="V52" s="7">
        <f t="shared" si="33"/>
        <v>1.5786181547363773E-4</v>
      </c>
      <c r="W52" s="2"/>
      <c r="X52" s="6">
        <f t="shared" si="34"/>
        <v>-37.729999999999997</v>
      </c>
      <c r="Y52" s="2"/>
      <c r="Z52" s="7">
        <f t="shared" si="35"/>
        <v>-1</v>
      </c>
    </row>
    <row r="53" spans="1:26" s="27" customFormat="1" outlineLevel="1" collapsed="1" x14ac:dyDescent="0.25">
      <c r="A53" s="25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SUM(OSRRefD22_7x_0)</f>
        <v>25.76</v>
      </c>
      <c r="E53" s="1"/>
      <c r="F53" s="5">
        <f t="shared" si="28"/>
        <v>2.4848521445450841E-4</v>
      </c>
      <c r="G53" s="1"/>
      <c r="H53" s="1">
        <f>SUM(OSRRefH22_7x_0)</f>
        <v>54.23</v>
      </c>
      <c r="I53" s="1"/>
      <c r="J53" s="5">
        <f t="shared" si="29"/>
        <v>5.3567419234743527E-4</v>
      </c>
      <c r="K53" s="1"/>
      <c r="L53" s="1">
        <f t="shared" si="30"/>
        <v>-28.469999999999995</v>
      </c>
      <c r="M53" s="1"/>
      <c r="N53" s="5">
        <f t="shared" si="31"/>
        <v>-0.52498617001659598</v>
      </c>
      <c r="O53" s="13"/>
      <c r="P53" s="1">
        <f>SUM(OSRRefP22_7x_0)</f>
        <v>171.28</v>
      </c>
      <c r="Q53" s="1"/>
      <c r="R53" s="5">
        <f t="shared" si="32"/>
        <v>7.1609566315609214E-4</v>
      </c>
      <c r="S53" s="1"/>
      <c r="T53" s="1">
        <f>SUM(OSRRefT22_7x_0)</f>
        <v>149.37</v>
      </c>
      <c r="U53" s="1"/>
      <c r="V53" s="5">
        <f t="shared" si="33"/>
        <v>6.2496208262118394E-4</v>
      </c>
      <c r="W53" s="1"/>
      <c r="X53" s="1">
        <f t="shared" si="34"/>
        <v>21.909999999999997</v>
      </c>
      <c r="Y53" s="1"/>
      <c r="Z53" s="5">
        <f t="shared" si="35"/>
        <v>0.14668273415009705</v>
      </c>
    </row>
    <row r="54" spans="1:26" s="24" customFormat="1" hidden="1" outlineLevel="2" x14ac:dyDescent="0.25">
      <c r="A54" s="26"/>
      <c r="B54" s="11" t="str">
        <f>CONCATENATE("          ", "6305", " - ", "FREIGHT OUT")</f>
        <v xml:space="preserve">          6305 - FREIGHT OUT</v>
      </c>
      <c r="C54" s="11"/>
      <c r="D54" s="6">
        <v>25.76</v>
      </c>
      <c r="E54" s="2"/>
      <c r="F54" s="7">
        <f t="shared" si="28"/>
        <v>2.4848521445450841E-4</v>
      </c>
      <c r="G54" s="2"/>
      <c r="H54" s="6">
        <v>54.23</v>
      </c>
      <c r="I54" s="2"/>
      <c r="J54" s="7">
        <f t="shared" si="29"/>
        <v>5.3567419234743527E-4</v>
      </c>
      <c r="K54" s="2"/>
      <c r="L54" s="6">
        <f t="shared" si="30"/>
        <v>-28.469999999999995</v>
      </c>
      <c r="M54" s="2"/>
      <c r="N54" s="7">
        <f t="shared" si="31"/>
        <v>-0.52498617001659598</v>
      </c>
      <c r="O54" s="11"/>
      <c r="P54" s="6">
        <v>171.28</v>
      </c>
      <c r="Q54" s="2"/>
      <c r="R54" s="7">
        <f t="shared" si="32"/>
        <v>7.1609566315609214E-4</v>
      </c>
      <c r="S54" s="2"/>
      <c r="T54" s="6">
        <v>149.37</v>
      </c>
      <c r="U54" s="2"/>
      <c r="V54" s="7">
        <f t="shared" si="33"/>
        <v>6.2496208262118394E-4</v>
      </c>
      <c r="W54" s="2"/>
      <c r="X54" s="6">
        <f t="shared" si="34"/>
        <v>21.909999999999997</v>
      </c>
      <c r="Y54" s="2"/>
      <c r="Z54" s="7">
        <f t="shared" si="35"/>
        <v>0.14668273415009705</v>
      </c>
    </row>
    <row r="55" spans="1:26" s="27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SUM(OSRRefD22_8x_0)</f>
        <v>47.75</v>
      </c>
      <c r="E55" s="1"/>
      <c r="F55" s="5">
        <f t="shared" si="28"/>
        <v>4.6060438626563572E-4</v>
      </c>
      <c r="G55" s="1"/>
      <c r="H55" s="1">
        <f>SUM(OSRRefH22_8x_0)</f>
        <v>55.5</v>
      </c>
      <c r="I55" s="1"/>
      <c r="J55" s="5">
        <f t="shared" si="29"/>
        <v>5.4821902406938339E-4</v>
      </c>
      <c r="K55" s="1"/>
      <c r="L55" s="1">
        <f t="shared" si="30"/>
        <v>-7.75</v>
      </c>
      <c r="M55" s="1"/>
      <c r="N55" s="5">
        <f t="shared" si="31"/>
        <v>-0.13963963963963963</v>
      </c>
      <c r="O55" s="13"/>
      <c r="P55" s="1">
        <f>SUM(OSRRefP22_8x_0)</f>
        <v>908.35</v>
      </c>
      <c r="Q55" s="1"/>
      <c r="R55" s="5">
        <f t="shared" si="32"/>
        <v>3.7976733747538314E-3</v>
      </c>
      <c r="S55" s="1"/>
      <c r="T55" s="1">
        <f>SUM(OSRRefT22_8x_0)</f>
        <v>843.85</v>
      </c>
      <c r="U55" s="1"/>
      <c r="V55" s="5">
        <f t="shared" si="33"/>
        <v>3.5306571160198573E-3</v>
      </c>
      <c r="W55" s="1"/>
      <c r="X55" s="1">
        <f t="shared" si="34"/>
        <v>64.5</v>
      </c>
      <c r="Y55" s="1"/>
      <c r="Z55" s="5">
        <f t="shared" si="35"/>
        <v>7.6435385435800196E-2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47.75</v>
      </c>
      <c r="E56" s="2"/>
      <c r="F56" s="7">
        <f t="shared" si="28"/>
        <v>4.6060438626563572E-4</v>
      </c>
      <c r="G56" s="2"/>
      <c r="H56" s="6">
        <v>55.5</v>
      </c>
      <c r="I56" s="2"/>
      <c r="J56" s="7">
        <f t="shared" si="29"/>
        <v>5.4821902406938339E-4</v>
      </c>
      <c r="K56" s="2"/>
      <c r="L56" s="6">
        <f t="shared" si="30"/>
        <v>-7.75</v>
      </c>
      <c r="M56" s="2"/>
      <c r="N56" s="7">
        <f t="shared" si="31"/>
        <v>-0.13963963963963963</v>
      </c>
      <c r="O56" s="11"/>
      <c r="P56" s="6">
        <v>908.35</v>
      </c>
      <c r="Q56" s="2"/>
      <c r="R56" s="7">
        <f t="shared" si="32"/>
        <v>3.7976733747538314E-3</v>
      </c>
      <c r="S56" s="2"/>
      <c r="T56" s="6">
        <v>843.85</v>
      </c>
      <c r="U56" s="2"/>
      <c r="V56" s="7">
        <f t="shared" si="33"/>
        <v>3.5306571160198573E-3</v>
      </c>
      <c r="W56" s="2"/>
      <c r="X56" s="6">
        <f t="shared" si="34"/>
        <v>64.5</v>
      </c>
      <c r="Y56" s="2"/>
      <c r="Z56" s="7">
        <f t="shared" si="35"/>
        <v>7.6435385435800196E-2</v>
      </c>
    </row>
    <row r="57" spans="1:26" s="27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22.83</v>
      </c>
      <c r="E57" s="1"/>
      <c r="F57" s="5">
        <f t="shared" si="28"/>
        <v>2.2022195054333953E-4</v>
      </c>
      <c r="G57" s="1"/>
      <c r="H57" s="1">
        <f>SUM(OSRRefH22_9x_0)</f>
        <v>0</v>
      </c>
      <c r="I57" s="1"/>
      <c r="J57" s="5">
        <f t="shared" si="29"/>
        <v>0</v>
      </c>
      <c r="K57" s="1"/>
      <c r="L57" s="1">
        <f t="shared" si="30"/>
        <v>22.83</v>
      </c>
      <c r="M57" s="1"/>
      <c r="N57" s="5">
        <f t="shared" si="31"/>
        <v>0</v>
      </c>
      <c r="O57" s="13"/>
      <c r="P57" s="1">
        <f>SUM(OSRRefP22_9x_0)</f>
        <v>1040.72</v>
      </c>
      <c r="Q57" s="1"/>
      <c r="R57" s="5">
        <f t="shared" si="32"/>
        <v>4.3510922382053261E-3</v>
      </c>
      <c r="S57" s="1"/>
      <c r="T57" s="1">
        <f>SUM(OSRRefT22_9x_0)</f>
        <v>258.48</v>
      </c>
      <c r="U57" s="1"/>
      <c r="V57" s="5">
        <f t="shared" si="33"/>
        <v>1.081476863599944E-3</v>
      </c>
      <c r="W57" s="1"/>
      <c r="X57" s="1">
        <f t="shared" si="34"/>
        <v>782.24</v>
      </c>
      <c r="Y57" s="1"/>
      <c r="Z57" s="5">
        <f t="shared" si="35"/>
        <v>3.0263076446920456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>
        <v>437.31</v>
      </c>
      <c r="Q58" s="2"/>
      <c r="R58" s="7">
        <f t="shared" si="32"/>
        <v>1.8283266841125096E-3</v>
      </c>
      <c r="S58" s="2"/>
      <c r="T58" s="6"/>
      <c r="U58" s="2"/>
      <c r="V58" s="7">
        <f t="shared" si="33"/>
        <v>0</v>
      </c>
      <c r="W58" s="2"/>
      <c r="X58" s="6">
        <f t="shared" si="34"/>
        <v>437.31</v>
      </c>
      <c r="Y58" s="2"/>
      <c r="Z58" s="7">
        <f t="shared" si="35"/>
        <v>0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6">
        <v>22.83</v>
      </c>
      <c r="E59" s="2"/>
      <c r="F59" s="7">
        <f t="shared" si="28"/>
        <v>2.2022195054333953E-4</v>
      </c>
      <c r="G59" s="2"/>
      <c r="H59" s="6"/>
      <c r="I59" s="2"/>
      <c r="J59" s="7">
        <f t="shared" si="29"/>
        <v>0</v>
      </c>
      <c r="K59" s="2"/>
      <c r="L59" s="6">
        <f t="shared" si="30"/>
        <v>22.83</v>
      </c>
      <c r="M59" s="2"/>
      <c r="N59" s="7">
        <f t="shared" si="31"/>
        <v>0</v>
      </c>
      <c r="O59" s="11"/>
      <c r="P59" s="6">
        <v>22.83</v>
      </c>
      <c r="Q59" s="2"/>
      <c r="R59" s="7">
        <f t="shared" si="32"/>
        <v>9.5448762201387087E-5</v>
      </c>
      <c r="S59" s="2"/>
      <c r="T59" s="6">
        <v>22.49</v>
      </c>
      <c r="U59" s="2"/>
      <c r="V59" s="7">
        <f t="shared" si="33"/>
        <v>9.4097859263241794E-5</v>
      </c>
      <c r="W59" s="2"/>
      <c r="X59" s="6">
        <f t="shared" si="34"/>
        <v>0.33999999999999986</v>
      </c>
      <c r="Y59" s="2"/>
      <c r="Z59" s="7">
        <f t="shared" si="35"/>
        <v>1.5117830146731875E-2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580.58000000000004</v>
      </c>
      <c r="Q60" s="2"/>
      <c r="R60" s="7">
        <f t="shared" si="32"/>
        <v>2.4273167918914293E-3</v>
      </c>
      <c r="S60" s="2"/>
      <c r="T60" s="6">
        <v>235.99</v>
      </c>
      <c r="U60" s="2"/>
      <c r="V60" s="7">
        <f t="shared" si="33"/>
        <v>9.8737900433670226E-4</v>
      </c>
      <c r="W60" s="2"/>
      <c r="X60" s="6">
        <f t="shared" si="34"/>
        <v>344.59000000000003</v>
      </c>
      <c r="Y60" s="2"/>
      <c r="Z60" s="7">
        <f t="shared" si="35"/>
        <v>1.4601889910589432</v>
      </c>
    </row>
    <row r="61" spans="1:26" s="27" customFormat="1" outlineLevel="1" collapsed="1" x14ac:dyDescent="0.25">
      <c r="A61" s="25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SUM(OSRRefD22_10x_0)</f>
        <v>172.25</v>
      </c>
      <c r="E61" s="1"/>
      <c r="F61" s="5">
        <f t="shared" ref="F61:F71" si="36">IF(D$12=0,0,D61/D$12)</f>
        <v>1.6615519483613771E-3</v>
      </c>
      <c r="G61" s="1"/>
      <c r="H61" s="1">
        <f>SUM(OSRRefH22_10x_0)</f>
        <v>156.35</v>
      </c>
      <c r="I61" s="1"/>
      <c r="J61" s="5">
        <f t="shared" ref="J61:J71" si="37">IF(H$12=0,0,H61/H$12)</f>
        <v>1.5443971966351007E-3</v>
      </c>
      <c r="K61" s="1"/>
      <c r="L61" s="1">
        <f t="shared" ref="L61:L71" si="38">+D61-H61</f>
        <v>15.900000000000006</v>
      </c>
      <c r="M61" s="1"/>
      <c r="N61" s="5">
        <f t="shared" ref="N61:N71" si="39">IF(H61=0,0,L61/H61)</f>
        <v>0.10169491525423732</v>
      </c>
      <c r="O61" s="13"/>
      <c r="P61" s="1">
        <f>SUM(OSRRefP22_10x_0)</f>
        <v>629.11</v>
      </c>
      <c r="Q61" s="1"/>
      <c r="R61" s="5">
        <f t="shared" ref="R61:R71" si="40">IF(P$12=0,0,P61/P$12)</f>
        <v>2.6302133503510574E-3</v>
      </c>
      <c r="S61" s="1"/>
      <c r="T61" s="1">
        <f>SUM(OSRRefT22_10x_0)</f>
        <v>562.86</v>
      </c>
      <c r="U61" s="1"/>
      <c r="V61" s="5">
        <f t="shared" ref="V61:V71" si="41">IF(T$12=0,0,T61/T$12)</f>
        <v>2.354998713424112E-3</v>
      </c>
      <c r="W61" s="1"/>
      <c r="X61" s="1">
        <f t="shared" ref="X61:X71" si="42">+P61-T61</f>
        <v>66.25</v>
      </c>
      <c r="Y61" s="1"/>
      <c r="Z61" s="5">
        <f t="shared" ref="Z61:Z71" si="43">IF(T61=0,0,X61/T61)</f>
        <v>0.11770244821092278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>
        <v>172.25</v>
      </c>
      <c r="E62" s="2"/>
      <c r="F62" s="7">
        <f t="shared" si="36"/>
        <v>1.6615519483613771E-3</v>
      </c>
      <c r="G62" s="2"/>
      <c r="H62" s="6">
        <v>156.35</v>
      </c>
      <c r="I62" s="2"/>
      <c r="J62" s="7">
        <f t="shared" si="37"/>
        <v>1.5443971966351007E-3</v>
      </c>
      <c r="K62" s="2"/>
      <c r="L62" s="6">
        <f t="shared" si="38"/>
        <v>15.900000000000006</v>
      </c>
      <c r="M62" s="2"/>
      <c r="N62" s="7">
        <f t="shared" si="39"/>
        <v>0.10169491525423732</v>
      </c>
      <c r="O62" s="11"/>
      <c r="P62" s="6">
        <v>629.11</v>
      </c>
      <c r="Q62" s="2"/>
      <c r="R62" s="7">
        <f t="shared" si="40"/>
        <v>2.6302133503510574E-3</v>
      </c>
      <c r="S62" s="2"/>
      <c r="T62" s="6">
        <v>562.86</v>
      </c>
      <c r="U62" s="2"/>
      <c r="V62" s="7">
        <f t="shared" si="41"/>
        <v>2.354998713424112E-3</v>
      </c>
      <c r="W62" s="2"/>
      <c r="X62" s="6">
        <f t="shared" si="42"/>
        <v>66.25</v>
      </c>
      <c r="Y62" s="2"/>
      <c r="Z62" s="7">
        <f t="shared" si="43"/>
        <v>0.11770244821092278</v>
      </c>
    </row>
    <row r="63" spans="1:26" s="27" customFormat="1" outlineLevel="1" collapsed="1" x14ac:dyDescent="0.25">
      <c r="A63" s="25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SUM(OSRRefD22_11x_0)</f>
        <v>0</v>
      </c>
      <c r="E63" s="1"/>
      <c r="F63" s="5">
        <f t="shared" si="36"/>
        <v>0</v>
      </c>
      <c r="G63" s="1"/>
      <c r="H63" s="1">
        <f>SUM(OSRRefH22_11x_0)</f>
        <v>-6.82</v>
      </c>
      <c r="I63" s="1"/>
      <c r="J63" s="5">
        <f t="shared" si="37"/>
        <v>-6.736673412888639E-5</v>
      </c>
      <c r="K63" s="1"/>
      <c r="L63" s="1">
        <f t="shared" si="38"/>
        <v>6.82</v>
      </c>
      <c r="M63" s="1"/>
      <c r="N63" s="5">
        <f t="shared" si="39"/>
        <v>-1</v>
      </c>
      <c r="O63" s="13"/>
      <c r="P63" s="1">
        <f>SUM(OSRRefP22_11x_0)</f>
        <v>0</v>
      </c>
      <c r="Q63" s="1"/>
      <c r="R63" s="5">
        <f t="shared" si="40"/>
        <v>0</v>
      </c>
      <c r="S63" s="1"/>
      <c r="T63" s="1">
        <f>SUM(OSRRefT22_11x_0)</f>
        <v>-6.82</v>
      </c>
      <c r="U63" s="1"/>
      <c r="V63" s="5">
        <f t="shared" si="41"/>
        <v>-2.8534788802814989E-5</v>
      </c>
      <c r="W63" s="1"/>
      <c r="X63" s="1">
        <f t="shared" si="42"/>
        <v>6.82</v>
      </c>
      <c r="Y63" s="1"/>
      <c r="Z63" s="5">
        <f t="shared" si="43"/>
        <v>-1</v>
      </c>
    </row>
    <row r="64" spans="1:26" s="24" customFormat="1" hidden="1" outlineLevel="2" x14ac:dyDescent="0.25">
      <c r="A64" s="26"/>
      <c r="B64" s="11" t="str">
        <f>CONCATENATE("          ", "6275", " - ", "SUBSCRIPTIONS")</f>
        <v xml:space="preserve">          6275 - SUBSCRIPTIONS</v>
      </c>
      <c r="C64" s="11"/>
      <c r="D64" s="6"/>
      <c r="E64" s="2"/>
      <c r="F64" s="7">
        <f t="shared" si="36"/>
        <v>0</v>
      </c>
      <c r="G64" s="2"/>
      <c r="H64" s="6">
        <v>-6.82</v>
      </c>
      <c r="I64" s="2"/>
      <c r="J64" s="7">
        <f t="shared" si="37"/>
        <v>-6.736673412888639E-5</v>
      </c>
      <c r="K64" s="2"/>
      <c r="L64" s="6">
        <f t="shared" si="38"/>
        <v>6.82</v>
      </c>
      <c r="M64" s="2"/>
      <c r="N64" s="7">
        <f t="shared" si="39"/>
        <v>-1</v>
      </c>
      <c r="O64" s="11"/>
      <c r="P64" s="6"/>
      <c r="Q64" s="2"/>
      <c r="R64" s="7">
        <f t="shared" si="40"/>
        <v>0</v>
      </c>
      <c r="S64" s="2"/>
      <c r="T64" s="6">
        <v>-6.82</v>
      </c>
      <c r="U64" s="2"/>
      <c r="V64" s="7">
        <f t="shared" si="41"/>
        <v>-2.8534788802814989E-5</v>
      </c>
      <c r="W64" s="2"/>
      <c r="X64" s="6">
        <f t="shared" si="42"/>
        <v>6.82</v>
      </c>
      <c r="Y64" s="2"/>
      <c r="Z64" s="7">
        <f t="shared" si="43"/>
        <v>-1</v>
      </c>
    </row>
    <row r="65" spans="1:26" s="27" customFormat="1" outlineLevel="1" collapsed="1" x14ac:dyDescent="0.25">
      <c r="A65" s="25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SUM(OSRRefD22_12x_0)</f>
        <v>330.16999999999996</v>
      </c>
      <c r="E65" s="1"/>
      <c r="F65" s="5">
        <f t="shared" si="36"/>
        <v>3.1848743500172759E-3</v>
      </c>
      <c r="G65" s="1"/>
      <c r="H65" s="1">
        <f>SUM(OSRRefH22_12x_0)</f>
        <v>674.36</v>
      </c>
      <c r="I65" s="1"/>
      <c r="J65" s="5">
        <f t="shared" si="37"/>
        <v>6.6612068661518805E-3</v>
      </c>
      <c r="K65" s="1"/>
      <c r="L65" s="1">
        <f t="shared" si="38"/>
        <v>-344.19000000000005</v>
      </c>
      <c r="M65" s="1"/>
      <c r="N65" s="5">
        <f t="shared" si="39"/>
        <v>-0.51039504122427193</v>
      </c>
      <c r="O65" s="13"/>
      <c r="P65" s="1">
        <f>SUM(OSRRefP22_12x_0)</f>
        <v>3059.16</v>
      </c>
      <c r="Q65" s="1"/>
      <c r="R65" s="5">
        <f t="shared" si="40"/>
        <v>1.2789883284099664E-2</v>
      </c>
      <c r="S65" s="1"/>
      <c r="T65" s="1">
        <f>SUM(OSRRefT22_12x_0)</f>
        <v>1336.98</v>
      </c>
      <c r="U65" s="1"/>
      <c r="V65" s="5">
        <f t="shared" si="41"/>
        <v>5.5939064418750115E-3</v>
      </c>
      <c r="W65" s="1"/>
      <c r="X65" s="1">
        <f t="shared" si="42"/>
        <v>1722.1799999999998</v>
      </c>
      <c r="Y65" s="1"/>
      <c r="Z65" s="5">
        <f t="shared" si="43"/>
        <v>1.2881120136426871</v>
      </c>
    </row>
    <row r="66" spans="1:26" s="24" customFormat="1" hidden="1" outlineLevel="2" x14ac:dyDescent="0.25">
      <c r="A66" s="26"/>
      <c r="B66" s="11" t="str">
        <f>CONCATENATE("          ", "6234", " - ", "EXPENDABLE SUPPLIES &amp; EQUIPMEN")</f>
        <v xml:space="preserve">          6234 - EXPENDABLE SUPPLIES &amp; EQUIPMEN</v>
      </c>
      <c r="C66" s="11"/>
      <c r="D66" s="6"/>
      <c r="E66" s="2"/>
      <c r="F66" s="7">
        <f t="shared" si="36"/>
        <v>0</v>
      </c>
      <c r="G66" s="2"/>
      <c r="H66" s="6"/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354.82</v>
      </c>
      <c r="Q66" s="2"/>
      <c r="R66" s="7">
        <f t="shared" si="40"/>
        <v>1.483448524060279E-3</v>
      </c>
      <c r="S66" s="2"/>
      <c r="T66" s="6"/>
      <c r="U66" s="2"/>
      <c r="V66" s="7">
        <f t="shared" si="41"/>
        <v>0</v>
      </c>
      <c r="W66" s="2"/>
      <c r="X66" s="6">
        <f t="shared" si="42"/>
        <v>354.82</v>
      </c>
      <c r="Y66" s="2"/>
      <c r="Z66" s="7">
        <f t="shared" si="43"/>
        <v>0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6">
        <v>39.979999999999997</v>
      </c>
      <c r="E67" s="2"/>
      <c r="F67" s="7">
        <f t="shared" si="36"/>
        <v>3.8565368299267253E-4</v>
      </c>
      <c r="G67" s="2"/>
      <c r="H67" s="6"/>
      <c r="I67" s="2"/>
      <c r="J67" s="7">
        <f t="shared" si="37"/>
        <v>0</v>
      </c>
      <c r="K67" s="2"/>
      <c r="L67" s="6">
        <f t="shared" si="38"/>
        <v>39.979999999999997</v>
      </c>
      <c r="M67" s="2"/>
      <c r="N67" s="7">
        <f t="shared" si="39"/>
        <v>0</v>
      </c>
      <c r="O67" s="11"/>
      <c r="P67" s="6">
        <v>151.25</v>
      </c>
      <c r="Q67" s="2"/>
      <c r="R67" s="7">
        <f t="shared" si="40"/>
        <v>6.3235327564431878E-4</v>
      </c>
      <c r="S67" s="2"/>
      <c r="T67" s="6">
        <v>40.21</v>
      </c>
      <c r="U67" s="2"/>
      <c r="V67" s="7">
        <f t="shared" si="41"/>
        <v>1.6823810231102502E-4</v>
      </c>
      <c r="W67" s="2"/>
      <c r="X67" s="6">
        <f t="shared" si="42"/>
        <v>111.03999999999999</v>
      </c>
      <c r="Y67" s="2"/>
      <c r="Z67" s="7">
        <f t="shared" si="43"/>
        <v>2.7615021139020142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>
        <v>131.03</v>
      </c>
      <c r="E68" s="2"/>
      <c r="F68" s="7">
        <f t="shared" si="36"/>
        <v>1.2639370205735339E-3</v>
      </c>
      <c r="G68" s="2"/>
      <c r="H68" s="6"/>
      <c r="I68" s="2"/>
      <c r="J68" s="7">
        <f t="shared" si="37"/>
        <v>0</v>
      </c>
      <c r="K68" s="2"/>
      <c r="L68" s="6">
        <f t="shared" si="38"/>
        <v>131.03</v>
      </c>
      <c r="M68" s="2"/>
      <c r="N68" s="7">
        <f t="shared" si="39"/>
        <v>0</v>
      </c>
      <c r="O68" s="11"/>
      <c r="P68" s="6">
        <v>261.22000000000003</v>
      </c>
      <c r="Q68" s="2"/>
      <c r="R68" s="7">
        <f t="shared" si="40"/>
        <v>1.0921211415789024E-3</v>
      </c>
      <c r="S68" s="2"/>
      <c r="T68" s="6">
        <v>136.93</v>
      </c>
      <c r="U68" s="2"/>
      <c r="V68" s="7">
        <f t="shared" si="41"/>
        <v>5.7291328896912845E-4</v>
      </c>
      <c r="W68" s="2"/>
      <c r="X68" s="6">
        <f t="shared" si="42"/>
        <v>124.29000000000002</v>
      </c>
      <c r="Y68" s="2"/>
      <c r="Z68" s="7">
        <f t="shared" si="43"/>
        <v>0.90769006061491286</v>
      </c>
    </row>
    <row r="69" spans="1:26" s="24" customFormat="1" hidden="1" outlineLevel="2" x14ac:dyDescent="0.25">
      <c r="A69" s="26"/>
      <c r="B69" s="11" t="str">
        <f>CONCATENATE("          ", "6245", " - ", "PRINTING")</f>
        <v xml:space="preserve">          6245 - PRINTING</v>
      </c>
      <c r="C69" s="11"/>
      <c r="D69" s="6">
        <v>8.76</v>
      </c>
      <c r="E69" s="2"/>
      <c r="F69" s="7">
        <f t="shared" si="36"/>
        <v>8.4500406778784682E-5</v>
      </c>
      <c r="G69" s="2"/>
      <c r="H69" s="6"/>
      <c r="I69" s="2"/>
      <c r="J69" s="7">
        <f t="shared" si="37"/>
        <v>0</v>
      </c>
      <c r="K69" s="2"/>
      <c r="L69" s="6">
        <f t="shared" si="38"/>
        <v>8.76</v>
      </c>
      <c r="M69" s="2"/>
      <c r="N69" s="7">
        <f t="shared" si="39"/>
        <v>0</v>
      </c>
      <c r="O69" s="11"/>
      <c r="P69" s="6">
        <v>44.3</v>
      </c>
      <c r="Q69" s="2"/>
      <c r="R69" s="7">
        <f t="shared" si="40"/>
        <v>1.852115709821046E-4</v>
      </c>
      <c r="S69" s="2"/>
      <c r="T69" s="6"/>
      <c r="U69" s="2"/>
      <c r="V69" s="7">
        <f t="shared" si="41"/>
        <v>0</v>
      </c>
      <c r="W69" s="2"/>
      <c r="X69" s="6">
        <f t="shared" si="42"/>
        <v>44.3</v>
      </c>
      <c r="Y69" s="2"/>
      <c r="Z69" s="7">
        <f t="shared" si="43"/>
        <v>0</v>
      </c>
    </row>
    <row r="70" spans="1:26" s="24" customFormat="1" hidden="1" outlineLevel="2" x14ac:dyDescent="0.25">
      <c r="A70" s="26"/>
      <c r="B70" s="11" t="str">
        <f>CONCATENATE("          ", "6247", " - ", "STORE SUPPLIES")</f>
        <v xml:space="preserve">          6247 - STORE SUPPLIES</v>
      </c>
      <c r="C70" s="11"/>
      <c r="D70" s="6">
        <v>150.4</v>
      </c>
      <c r="E70" s="2"/>
      <c r="F70" s="7">
        <f t="shared" si="36"/>
        <v>1.450783239672285E-3</v>
      </c>
      <c r="G70" s="2"/>
      <c r="H70" s="6">
        <v>674.36</v>
      </c>
      <c r="I70" s="2"/>
      <c r="J70" s="7">
        <f t="shared" si="37"/>
        <v>6.6612068661518805E-3</v>
      </c>
      <c r="K70" s="2"/>
      <c r="L70" s="6">
        <f t="shared" si="38"/>
        <v>-523.96</v>
      </c>
      <c r="M70" s="2"/>
      <c r="N70" s="7">
        <f t="shared" si="39"/>
        <v>-0.77697372323388103</v>
      </c>
      <c r="O70" s="11"/>
      <c r="P70" s="6">
        <v>2247.5700000000002</v>
      </c>
      <c r="Q70" s="2"/>
      <c r="R70" s="7">
        <f t="shared" si="40"/>
        <v>9.3967487718340618E-3</v>
      </c>
      <c r="S70" s="2"/>
      <c r="T70" s="6">
        <v>971.97</v>
      </c>
      <c r="U70" s="2"/>
      <c r="V70" s="7">
        <f t="shared" si="41"/>
        <v>4.0667094827964928E-3</v>
      </c>
      <c r="W70" s="2"/>
      <c r="X70" s="6">
        <f t="shared" si="42"/>
        <v>1275.6000000000001</v>
      </c>
      <c r="Y70" s="2"/>
      <c r="Z70" s="7">
        <f t="shared" si="43"/>
        <v>1.312386184758789</v>
      </c>
    </row>
    <row r="71" spans="1:26" s="24" customFormat="1" hidden="1" outlineLevel="2" x14ac:dyDescent="0.25">
      <c r="A71" s="26"/>
      <c r="B71" s="11" t="str">
        <f>CONCATENATE("          ", "6248", " - ", "UNIFORMS")</f>
        <v xml:space="preserve">          6248 - UNIFORMS</v>
      </c>
      <c r="C71" s="11"/>
      <c r="D71" s="6"/>
      <c r="E71" s="2"/>
      <c r="F71" s="7">
        <f t="shared" si="36"/>
        <v>0</v>
      </c>
      <c r="G71" s="2"/>
      <c r="H71" s="6"/>
      <c r="I71" s="2"/>
      <c r="J71" s="7">
        <f t="shared" si="37"/>
        <v>0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/>
      <c r="Q71" s="2"/>
      <c r="R71" s="7">
        <f t="shared" si="40"/>
        <v>0</v>
      </c>
      <c r="S71" s="2"/>
      <c r="T71" s="6">
        <v>187.87</v>
      </c>
      <c r="U71" s="2"/>
      <c r="V71" s="7">
        <f t="shared" si="41"/>
        <v>7.8604556779836537E-4</v>
      </c>
      <c r="W71" s="2"/>
      <c r="X71" s="6">
        <f t="shared" si="42"/>
        <v>-187.87</v>
      </c>
      <c r="Y71" s="2"/>
      <c r="Z71" s="7">
        <f t="shared" si="43"/>
        <v>-1</v>
      </c>
    </row>
    <row r="72" spans="1:26" s="27" customFormat="1" outlineLevel="1" collapsed="1" x14ac:dyDescent="0.25">
      <c r="A72" s="25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SUM(OSRRefD22_13x_0)</f>
        <v>124.25</v>
      </c>
      <c r="E72" s="1"/>
      <c r="F72" s="5">
        <f t="shared" ref="F72:F75" si="44">IF(D$12=0,0,D72/D$12)</f>
        <v>1.1985360208063925E-3</v>
      </c>
      <c r="G72" s="1"/>
      <c r="H72" s="1">
        <f>SUM(OSRRefH22_13x_0)</f>
        <v>123</v>
      </c>
      <c r="I72" s="1"/>
      <c r="J72" s="5">
        <f t="shared" ref="J72:J75" si="45">IF(H$12=0,0,H72/H$12)</f>
        <v>1.2149718911807956E-3</v>
      </c>
      <c r="K72" s="1"/>
      <c r="L72" s="1">
        <f t="shared" ref="L72:L75" si="46">+D72-H72</f>
        <v>1.25</v>
      </c>
      <c r="M72" s="1"/>
      <c r="N72" s="5">
        <f t="shared" ref="N72:N75" si="47">IF(H72=0,0,L72/H72)</f>
        <v>1.016260162601626E-2</v>
      </c>
      <c r="O72" s="13"/>
      <c r="P72" s="1">
        <f>SUM(OSRRefP22_13x_0)</f>
        <v>447.85</v>
      </c>
      <c r="Q72" s="1"/>
      <c r="R72" s="5">
        <f t="shared" ref="R72:R75" si="48">IF(P$12=0,0,P72/P$12)</f>
        <v>1.8723928231226988E-3</v>
      </c>
      <c r="S72" s="1"/>
      <c r="T72" s="1">
        <f>SUM(OSRRefT22_13x_0)</f>
        <v>582.35</v>
      </c>
      <c r="U72" s="1"/>
      <c r="V72" s="5">
        <f t="shared" ref="V72:V75" si="49">IF(T$12=0,0,T72/T$12)</f>
        <v>2.4365446128034175E-3</v>
      </c>
      <c r="W72" s="1"/>
      <c r="X72" s="1">
        <f t="shared" ref="X72:X75" si="50">+P72-T72</f>
        <v>-134.5</v>
      </c>
      <c r="Y72" s="1"/>
      <c r="Z72" s="5">
        <f t="shared" ref="Z72:Z75" si="51">IF(T72=0,0,X72/T72)</f>
        <v>-0.23096076242809307</v>
      </c>
    </row>
    <row r="73" spans="1:26" s="24" customFormat="1" hidden="1" outlineLevel="2" x14ac:dyDescent="0.25">
      <c r="A73" s="26"/>
      <c r="B73" s="11" t="str">
        <f>CONCATENATE("          ", "6309", " - ", "TELEPHONE")</f>
        <v xml:space="preserve">          6309 - TELEPHONE</v>
      </c>
      <c r="C73" s="11"/>
      <c r="D73" s="6">
        <v>124.25</v>
      </c>
      <c r="E73" s="2"/>
      <c r="F73" s="7">
        <f t="shared" si="44"/>
        <v>1.1985360208063925E-3</v>
      </c>
      <c r="G73" s="2"/>
      <c r="H73" s="6">
        <v>123</v>
      </c>
      <c r="I73" s="2"/>
      <c r="J73" s="7">
        <f t="shared" si="45"/>
        <v>1.2149718911807956E-3</v>
      </c>
      <c r="K73" s="2"/>
      <c r="L73" s="6">
        <f t="shared" si="46"/>
        <v>1.25</v>
      </c>
      <c r="M73" s="2"/>
      <c r="N73" s="7">
        <f t="shared" si="47"/>
        <v>1.016260162601626E-2</v>
      </c>
      <c r="O73" s="11"/>
      <c r="P73" s="6">
        <v>447.85</v>
      </c>
      <c r="Q73" s="2"/>
      <c r="R73" s="7">
        <f t="shared" si="48"/>
        <v>1.8723928231226988E-3</v>
      </c>
      <c r="S73" s="2"/>
      <c r="T73" s="6">
        <v>582.35</v>
      </c>
      <c r="U73" s="2"/>
      <c r="V73" s="7">
        <f t="shared" si="49"/>
        <v>2.4365446128034175E-3</v>
      </c>
      <c r="W73" s="2"/>
      <c r="X73" s="6">
        <f t="shared" si="50"/>
        <v>-134.5</v>
      </c>
      <c r="Y73" s="2"/>
      <c r="Z73" s="7">
        <f t="shared" si="51"/>
        <v>-0.23096076242809307</v>
      </c>
    </row>
    <row r="74" spans="1:26" s="27" customFormat="1" outlineLevel="1" collapsed="1" x14ac:dyDescent="0.25">
      <c r="A74" s="25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SUM(OSRRefD22_14x_0)</f>
        <v>0</v>
      </c>
      <c r="E74" s="1"/>
      <c r="F74" s="5">
        <f t="shared" si="44"/>
        <v>0</v>
      </c>
      <c r="G74" s="1"/>
      <c r="H74" s="1">
        <f>SUM(OSRRefH22_14x_0)</f>
        <v>0</v>
      </c>
      <c r="I74" s="1"/>
      <c r="J74" s="5">
        <f t="shared" si="45"/>
        <v>0</v>
      </c>
      <c r="K74" s="1"/>
      <c r="L74" s="1">
        <f t="shared" si="46"/>
        <v>0</v>
      </c>
      <c r="M74" s="1"/>
      <c r="N74" s="5">
        <f t="shared" si="47"/>
        <v>0</v>
      </c>
      <c r="O74" s="13"/>
      <c r="P74" s="1">
        <f>SUM(OSRRefP22_14x_0)</f>
        <v>96</v>
      </c>
      <c r="Q74" s="1"/>
      <c r="R74" s="5">
        <f t="shared" si="48"/>
        <v>4.0136141792961722E-4</v>
      </c>
      <c r="S74" s="1"/>
      <c r="T74" s="1">
        <f>SUM(OSRRefT22_14x_0)</f>
        <v>98.82</v>
      </c>
      <c r="U74" s="1"/>
      <c r="V74" s="5">
        <f t="shared" si="49"/>
        <v>4.1346155857685876E-4</v>
      </c>
      <c r="W74" s="1"/>
      <c r="X74" s="1">
        <f t="shared" si="50"/>
        <v>-2.8199999999999932</v>
      </c>
      <c r="Y74" s="1"/>
      <c r="Z74" s="5">
        <f t="shared" si="51"/>
        <v>-2.8536733454766174E-2</v>
      </c>
    </row>
    <row r="75" spans="1:26" s="24" customFormat="1" hidden="1" outlineLevel="2" x14ac:dyDescent="0.25">
      <c r="A75" s="26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44"/>
        <v>0</v>
      </c>
      <c r="G75" s="2"/>
      <c r="H75" s="6"/>
      <c r="I75" s="2"/>
      <c r="J75" s="7">
        <f t="shared" si="45"/>
        <v>0</v>
      </c>
      <c r="K75" s="2"/>
      <c r="L75" s="6">
        <f t="shared" si="46"/>
        <v>0</v>
      </c>
      <c r="M75" s="2"/>
      <c r="N75" s="7">
        <f t="shared" si="47"/>
        <v>0</v>
      </c>
      <c r="O75" s="11"/>
      <c r="P75" s="6">
        <v>96</v>
      </c>
      <c r="Q75" s="2"/>
      <c r="R75" s="7">
        <f t="shared" si="48"/>
        <v>4.0136141792961722E-4</v>
      </c>
      <c r="S75" s="2"/>
      <c r="T75" s="6">
        <v>98.82</v>
      </c>
      <c r="U75" s="2"/>
      <c r="V75" s="7">
        <f t="shared" si="49"/>
        <v>4.1346155857685876E-4</v>
      </c>
      <c r="W75" s="2"/>
      <c r="X75" s="6">
        <f t="shared" si="50"/>
        <v>-2.8199999999999932</v>
      </c>
      <c r="Y75" s="2"/>
      <c r="Z75" s="7">
        <f t="shared" si="51"/>
        <v>-2.8536733454766174E-2</v>
      </c>
    </row>
    <row r="76" spans="1:26" s="55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3</v>
      </c>
      <c r="C79" s="28"/>
      <c r="D79" s="21">
        <f>+D25-D27+D77</f>
        <v>26631.070000000003</v>
      </c>
      <c r="E79" s="14"/>
      <c r="F79" s="22">
        <f>IF(D$12=0,0,D79/D$12)</f>
        <v>0.25688769953816093</v>
      </c>
      <c r="G79" s="14"/>
      <c r="H79" s="21">
        <f>+H25-H27+H77</f>
        <v>21540.070000000007</v>
      </c>
      <c r="I79" s="14"/>
      <c r="J79" s="22">
        <f>IF(H$12=0,0,H79/H$12)</f>
        <v>0.21276893970785957</v>
      </c>
      <c r="K79" s="16"/>
      <c r="L79" s="21">
        <f>+D79-H79</f>
        <v>5090.9999999999964</v>
      </c>
      <c r="M79" s="16"/>
      <c r="N79" s="22">
        <f>IF(H79=0,0,L79/H79)</f>
        <v>0.23635020684705271</v>
      </c>
      <c r="O79" s="29"/>
      <c r="P79" s="21">
        <f>+P25-P27+P77</f>
        <v>45341.149999999965</v>
      </c>
      <c r="Q79" s="14"/>
      <c r="R79" s="22">
        <f>IF(P$12=0,0,P79/P$12)</f>
        <v>0.18956446098499427</v>
      </c>
      <c r="S79" s="14"/>
      <c r="T79" s="21">
        <f>+T25-T27+T77</f>
        <v>41304.00999999998</v>
      </c>
      <c r="U79" s="14"/>
      <c r="V79" s="22">
        <f>IF(T$12=0,0,T79/T$12)</f>
        <v>0.17281542552189996</v>
      </c>
      <c r="W79" s="16"/>
      <c r="X79" s="21">
        <f>+P79-T79</f>
        <v>4037.1399999999849</v>
      </c>
      <c r="Y79" s="16"/>
      <c r="Z79" s="22">
        <f>IF(T79=0,0,X79/T79)</f>
        <v>9.7742083637883753E-2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1"/>
      <c r="B81" s="10" t="s">
        <v>13</v>
      </c>
      <c r="C81" s="10"/>
      <c r="D81" s="4">
        <v>9520.67</v>
      </c>
      <c r="E81" s="4"/>
      <c r="F81" s="12">
        <f>IF(D$12=0,0,D81/D$12)</f>
        <v>9.1837955229060728E-2</v>
      </c>
      <c r="G81" s="4"/>
      <c r="H81" s="4">
        <v>9709.8799999999992</v>
      </c>
      <c r="I81" s="4"/>
      <c r="J81" s="12">
        <f>IF(H$12=0,0,H81/H$12)</f>
        <v>9.5912449323077908E-2</v>
      </c>
      <c r="K81" s="4"/>
      <c r="L81" s="4">
        <f>+D81-H81</f>
        <v>-189.20999999999913</v>
      </c>
      <c r="M81" s="4"/>
      <c r="N81" s="12">
        <f>IF(H81=0,0,L81/H81)</f>
        <v>-1.9486337627241442E-2</v>
      </c>
      <c r="O81" s="10"/>
      <c r="P81" s="4">
        <v>24077.070000000003</v>
      </c>
      <c r="Q81" s="4"/>
      <c r="R81" s="12">
        <f>IF(P$12=0,0,P81/P$12)</f>
        <v>0.10066257244573594</v>
      </c>
      <c r="S81" s="4"/>
      <c r="T81" s="4">
        <v>21950.31</v>
      </c>
      <c r="U81" s="4"/>
      <c r="V81" s="12">
        <f>IF(T$12=0,0,T81/T$12)</f>
        <v>9.1839803519987953E-2</v>
      </c>
      <c r="W81" s="4"/>
      <c r="X81" s="4">
        <f>+P81-T81</f>
        <v>2126.760000000002</v>
      </c>
      <c r="Y81" s="4"/>
      <c r="Z81" s="12">
        <f>IF(T81=0,0,X81/T81)</f>
        <v>9.6889747798550543E-2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4</v>
      </c>
      <c r="C83" s="28"/>
      <c r="D83" s="31">
        <f>+D79-D81</f>
        <v>17110.400000000001</v>
      </c>
      <c r="E83" s="14"/>
      <c r="F83" s="34">
        <f>IF(D$12=0,0,D83/D$12)</f>
        <v>0.16504974430910019</v>
      </c>
      <c r="G83" s="14"/>
      <c r="H83" s="31">
        <f>+H79-H81</f>
        <v>11830.190000000008</v>
      </c>
      <c r="I83" s="14"/>
      <c r="J83" s="34">
        <f>IF(H$12=0,0,H83/H$12)</f>
        <v>0.11685649038478167</v>
      </c>
      <c r="K83" s="16"/>
      <c r="L83" s="31">
        <f>D83-H83</f>
        <v>5280.2099999999937</v>
      </c>
      <c r="M83" s="16"/>
      <c r="N83" s="34">
        <f>IF(H83=0,0,L83/H83)</f>
        <v>0.44633349083996032</v>
      </c>
      <c r="O83" s="29"/>
      <c r="P83" s="31">
        <f>+P79-P81</f>
        <v>21264.079999999962</v>
      </c>
      <c r="Q83" s="14"/>
      <c r="R83" s="34">
        <f>IF(P$12=0,0,P83/P$12)</f>
        <v>8.8901888539258331E-2</v>
      </c>
      <c r="S83" s="14"/>
      <c r="T83" s="31">
        <f>+T79-T81</f>
        <v>19353.699999999979</v>
      </c>
      <c r="U83" s="14"/>
      <c r="V83" s="34">
        <f>IF(T$12=0,0,T83/T$12)</f>
        <v>8.0975622001911995E-2</v>
      </c>
      <c r="W83" s="16"/>
      <c r="X83" s="31">
        <f>P83-T83</f>
        <v>1910.3799999999828</v>
      </c>
      <c r="Y83" s="16"/>
      <c r="Z83" s="34">
        <f>IF(T83=0,0,X83/T83)</f>
        <v>9.8708774032871482E-2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5</v>
      </c>
      <c r="C86" s="28"/>
      <c r="D86" s="36">
        <f>SUM(D83:D85)</f>
        <v>17110.400000000001</v>
      </c>
      <c r="E86" s="14"/>
      <c r="F86" s="33">
        <f>IF(D$12=0,0,D86/D$12)</f>
        <v>0.16504974430910019</v>
      </c>
      <c r="G86" s="14"/>
      <c r="H86" s="36">
        <f>SUM(H83:H85)</f>
        <v>11830.190000000008</v>
      </c>
      <c r="I86" s="14"/>
      <c r="J86" s="33">
        <f>IF(H$12=0,0,H86/H$12)</f>
        <v>0.11685649038478167</v>
      </c>
      <c r="K86" s="16"/>
      <c r="L86" s="36">
        <f>+D86-H86</f>
        <v>5280.2099999999937</v>
      </c>
      <c r="M86" s="16"/>
      <c r="N86" s="33">
        <f>IF(H86=0,0,L86/H86)</f>
        <v>0.44633349083996032</v>
      </c>
      <c r="O86" s="29"/>
      <c r="P86" s="36">
        <f>SUM(P83:P85)</f>
        <v>21264.079999999962</v>
      </c>
      <c r="Q86" s="14"/>
      <c r="R86" s="33">
        <f>IF(P$12=0,0,P86/P$12)</f>
        <v>8.8901888539258331E-2</v>
      </c>
      <c r="S86" s="14"/>
      <c r="T86" s="36">
        <f>SUM(T83:T85)</f>
        <v>19353.699999999979</v>
      </c>
      <c r="U86" s="14"/>
      <c r="V86" s="33">
        <f>IF(T$12=0,0,T86/T$12)</f>
        <v>8.0975622001911995E-2</v>
      </c>
      <c r="W86" s="16"/>
      <c r="X86" s="36">
        <f>+P86-T86</f>
        <v>1910.3799999999828</v>
      </c>
      <c r="Y86" s="16"/>
      <c r="Z86" s="33">
        <f>IF(T86=0,0,X86/T86)</f>
        <v>9.8708774032871482E-2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61">
        <v>43791.355303206015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6" t="s">
        <v>313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7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","321", " - ", "Student Union C-Store")</f>
        <v>Department 321 - Student Union C-Store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62250.740000000005</v>
      </c>
      <c r="E12" s="4"/>
      <c r="F12" s="12"/>
      <c r="G12" s="4"/>
      <c r="H12" s="4">
        <f>SUM(OSRRefH13x_0)</f>
        <v>52156.380000000005</v>
      </c>
      <c r="I12" s="4"/>
      <c r="J12" s="12"/>
      <c r="K12" s="4"/>
      <c r="L12" s="4">
        <f t="shared" ref="L12:L14" si="0">+D12-H12</f>
        <v>10094.36</v>
      </c>
      <c r="M12" s="4"/>
      <c r="N12" s="12">
        <f t="shared" ref="N12:N14" si="1">IF(H12=0,0,L12/H12)</f>
        <v>0.19354027254192105</v>
      </c>
      <c r="O12" s="10"/>
      <c r="P12" s="4">
        <f>SUM(OSRRefP13x_0)</f>
        <v>134186.04999999999</v>
      </c>
      <c r="Q12" s="4"/>
      <c r="R12" s="12"/>
      <c r="S12" s="4"/>
      <c r="T12" s="4">
        <f>SUM(OSRRefT13x_0)</f>
        <v>119553.68</v>
      </c>
      <c r="U12" s="4"/>
      <c r="V12" s="12"/>
      <c r="W12" s="4"/>
      <c r="X12" s="4">
        <f t="shared" ref="X12:X14" si="2">+P12-T12</f>
        <v>14632.369999999995</v>
      </c>
      <c r="Y12" s="4"/>
      <c r="Z12" s="12">
        <f t="shared" ref="Z12:Z14" si="3">IF(T12=0,0,X12/T12)</f>
        <v>0.12239163194307358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--13667.44</f>
        <v>13667.44</v>
      </c>
      <c r="E13" s="2"/>
      <c r="F13" s="19"/>
      <c r="G13" s="2"/>
      <c r="H13" s="2">
        <f>--12359.16</f>
        <v>12359.16</v>
      </c>
      <c r="I13" s="2"/>
      <c r="J13" s="19"/>
      <c r="K13" s="2"/>
      <c r="L13" s="2">
        <f t="shared" si="0"/>
        <v>1308.2800000000007</v>
      </c>
      <c r="M13" s="2"/>
      <c r="N13" s="19">
        <f t="shared" si="1"/>
        <v>0.10585509047540453</v>
      </c>
      <c r="O13" s="11"/>
      <c r="P13" s="2">
        <f>--31189.72</f>
        <v>31189.72</v>
      </c>
      <c r="Q13" s="2"/>
      <c r="R13" s="19"/>
      <c r="S13" s="2"/>
      <c r="T13" s="2">
        <f>--29651.75</f>
        <v>29651.75</v>
      </c>
      <c r="U13" s="2"/>
      <c r="V13" s="19"/>
      <c r="W13" s="2"/>
      <c r="X13" s="2">
        <f t="shared" si="2"/>
        <v>1537.9700000000012</v>
      </c>
      <c r="Y13" s="2"/>
      <c r="Z13" s="19">
        <f t="shared" si="3"/>
        <v>5.1867764971713345E-2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--48583.3</f>
        <v>48583.3</v>
      </c>
      <c r="E14" s="2"/>
      <c r="F14" s="19"/>
      <c r="G14" s="2"/>
      <c r="H14" s="2">
        <f>--39797.22</f>
        <v>39797.22</v>
      </c>
      <c r="I14" s="2"/>
      <c r="J14" s="19"/>
      <c r="K14" s="2"/>
      <c r="L14" s="2">
        <f t="shared" si="0"/>
        <v>8786.0800000000017</v>
      </c>
      <c r="M14" s="2"/>
      <c r="N14" s="19">
        <f t="shared" si="1"/>
        <v>0.22077119959635375</v>
      </c>
      <c r="O14" s="11"/>
      <c r="P14" s="2">
        <f>--102996.33</f>
        <v>102996.33</v>
      </c>
      <c r="Q14" s="2"/>
      <c r="R14" s="19"/>
      <c r="S14" s="2"/>
      <c r="T14" s="2">
        <f>--89901.93</f>
        <v>89901.93</v>
      </c>
      <c r="U14" s="2"/>
      <c r="V14" s="19"/>
      <c r="W14" s="2"/>
      <c r="X14" s="2">
        <f t="shared" si="2"/>
        <v>13094.400000000009</v>
      </c>
      <c r="Y14" s="2"/>
      <c r="Z14" s="19">
        <f t="shared" si="3"/>
        <v>0.14565204551225996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31771.040000000001</v>
      </c>
      <c r="E16" s="4"/>
      <c r="F16" s="12">
        <f t="shared" ref="F16:F18" si="4">IF(D$12=0,0,D16/D$12)</f>
        <v>0.51037208553665381</v>
      </c>
      <c r="G16" s="4"/>
      <c r="H16" s="4">
        <f>SUM(OSRRefH16x_0)</f>
        <v>25538.39</v>
      </c>
      <c r="I16" s="4"/>
      <c r="J16" s="12">
        <f t="shared" ref="J16:J18" si="5">IF(H$12=0,0,H16/H$12)</f>
        <v>0.4896503553352437</v>
      </c>
      <c r="K16" s="4"/>
      <c r="L16" s="4">
        <f t="shared" ref="L16:L18" si="6">+D16-H16</f>
        <v>6232.6500000000015</v>
      </c>
      <c r="M16" s="4"/>
      <c r="N16" s="12">
        <f t="shared" ref="N16:N18" si="7">IF(H16=0,0,L16/H16)</f>
        <v>0.24405023182745669</v>
      </c>
      <c r="O16" s="10"/>
      <c r="P16" s="4">
        <f>SUM(OSRRefP16x_0)</f>
        <v>65694.209999999992</v>
      </c>
      <c r="Q16" s="4"/>
      <c r="R16" s="12">
        <f t="shared" ref="R16:R18" si="8">IF(P$12=0,0,P16/P$12)</f>
        <v>0.48957555573027151</v>
      </c>
      <c r="S16" s="4"/>
      <c r="T16" s="4">
        <f>SUM(OSRRefT16x_0)</f>
        <v>57430.47</v>
      </c>
      <c r="U16" s="4"/>
      <c r="V16" s="12">
        <f t="shared" ref="V16:V18" si="9">IF(T$12=0,0,T16/T$12)</f>
        <v>0.48037392073585694</v>
      </c>
      <c r="W16" s="4"/>
      <c r="X16" s="4">
        <f t="shared" ref="X16:X18" si="10">+P16-T16</f>
        <v>8263.7399999999907</v>
      </c>
      <c r="Y16" s="4"/>
      <c r="Z16" s="12">
        <f t="shared" ref="Z16:Z18" si="11">IF(T16=0,0,X16/T16)</f>
        <v>0.14389121314869946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27866.799999999999</v>
      </c>
      <c r="E17" s="2"/>
      <c r="F17" s="19">
        <f t="shared" si="4"/>
        <v>0.44765411624022455</v>
      </c>
      <c r="G17" s="2"/>
      <c r="H17" s="2">
        <v>21190.240000000002</v>
      </c>
      <c r="I17" s="2"/>
      <c r="J17" s="19">
        <f t="shared" si="5"/>
        <v>0.40628279800093486</v>
      </c>
      <c r="K17" s="2"/>
      <c r="L17" s="2">
        <f t="shared" si="6"/>
        <v>6676.5599999999977</v>
      </c>
      <c r="M17" s="2"/>
      <c r="N17" s="19">
        <f t="shared" si="7"/>
        <v>0.31507712984845843</v>
      </c>
      <c r="O17" s="11"/>
      <c r="P17" s="2">
        <v>66697.2</v>
      </c>
      <c r="Q17" s="2"/>
      <c r="R17" s="19">
        <f t="shared" si="8"/>
        <v>0.49705017771966609</v>
      </c>
      <c r="S17" s="2"/>
      <c r="T17" s="2">
        <v>56614.96</v>
      </c>
      <c r="U17" s="2"/>
      <c r="V17" s="19">
        <f t="shared" si="9"/>
        <v>0.47355263342792964</v>
      </c>
      <c r="W17" s="2"/>
      <c r="X17" s="2">
        <f t="shared" si="10"/>
        <v>10082.239999999998</v>
      </c>
      <c r="Y17" s="2"/>
      <c r="Z17" s="19">
        <f t="shared" si="11"/>
        <v>0.17808437911110417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3904.24</v>
      </c>
      <c r="E18" s="2"/>
      <c r="F18" s="19">
        <f t="shared" si="4"/>
        <v>6.2717969296429241E-2</v>
      </c>
      <c r="G18" s="2"/>
      <c r="H18" s="2">
        <v>4348.1499999999996</v>
      </c>
      <c r="I18" s="2"/>
      <c r="J18" s="19">
        <f t="shared" si="5"/>
        <v>8.3367557334308853E-2</v>
      </c>
      <c r="K18" s="2"/>
      <c r="L18" s="2">
        <f t="shared" si="6"/>
        <v>-443.90999999999985</v>
      </c>
      <c r="M18" s="2"/>
      <c r="N18" s="19">
        <f t="shared" si="7"/>
        <v>-0.1020916941687844</v>
      </c>
      <c r="O18" s="11"/>
      <c r="P18" s="2">
        <v>-1002.99</v>
      </c>
      <c r="Q18" s="2"/>
      <c r="R18" s="19">
        <f t="shared" si="8"/>
        <v>-7.4746219893945766E-3</v>
      </c>
      <c r="S18" s="2"/>
      <c r="T18" s="2">
        <v>815.51</v>
      </c>
      <c r="U18" s="2"/>
      <c r="V18" s="19">
        <f t="shared" si="9"/>
        <v>6.8212873079272849E-3</v>
      </c>
      <c r="W18" s="2"/>
      <c r="X18" s="2">
        <f t="shared" si="10"/>
        <v>-1818.5</v>
      </c>
      <c r="Y18" s="2"/>
      <c r="Z18" s="19">
        <f t="shared" si="11"/>
        <v>-2.2298929504236611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30479.700000000004</v>
      </c>
      <c r="E20" s="14"/>
      <c r="F20" s="22">
        <f>IF(D$12=0,0,D20/D$12)</f>
        <v>0.48962791446334619</v>
      </c>
      <c r="G20" s="14"/>
      <c r="H20" s="21">
        <f>H12-H16</f>
        <v>26617.990000000005</v>
      </c>
      <c r="I20" s="14"/>
      <c r="J20" s="22">
        <f>IF(H$12=0,0,H20/H$12)</f>
        <v>0.5103496446647563</v>
      </c>
      <c r="K20" s="16"/>
      <c r="L20" s="21">
        <f>+D20-H20</f>
        <v>3861.7099999999991</v>
      </c>
      <c r="M20" s="16"/>
      <c r="N20" s="22">
        <f>IF(H20=0,0,L20/H20)</f>
        <v>0.14507894848559183</v>
      </c>
      <c r="O20" s="29"/>
      <c r="P20" s="21">
        <f>P12-P16</f>
        <v>68491.839999999997</v>
      </c>
      <c r="Q20" s="14"/>
      <c r="R20" s="22">
        <f>IF(P$12=0,0,P20/P$12)</f>
        <v>0.51042444426972855</v>
      </c>
      <c r="S20" s="14"/>
      <c r="T20" s="21">
        <f>T12-T16</f>
        <v>62123.209999999992</v>
      </c>
      <c r="U20" s="14"/>
      <c r="V20" s="22">
        <f>IF(T$12=0,0,T20/T$12)</f>
        <v>0.51962607926414306</v>
      </c>
      <c r="W20" s="16"/>
      <c r="X20" s="21">
        <f>+P20-T20</f>
        <v>6368.6300000000047</v>
      </c>
      <c r="Y20" s="16"/>
      <c r="Z20" s="22">
        <f>IF(T20=0,0,X20/T20)</f>
        <v>0.10251611273789628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16290.52</v>
      </c>
      <c r="E22" s="20"/>
      <c r="F22" s="35">
        <f t="shared" ref="F22:F30" si="12">IF(D$12=0,0,D22/D$12)</f>
        <v>0.26169198952494377</v>
      </c>
      <c r="G22" s="20"/>
      <c r="H22" s="20">
        <f>SUM(OSRRefH22x_0)</f>
        <v>9476.76</v>
      </c>
      <c r="I22" s="20"/>
      <c r="J22" s="35">
        <f t="shared" ref="J22:J30" si="13">IF(H$12=0,0,H22/H$12)</f>
        <v>0.18169895993548632</v>
      </c>
      <c r="K22" s="4"/>
      <c r="L22" s="20">
        <f t="shared" ref="L22:L30" si="14">+D22-H22</f>
        <v>6813.76</v>
      </c>
      <c r="M22" s="4"/>
      <c r="N22" s="35">
        <f t="shared" ref="N22:N30" si="15">IF(H22=0,0,L22/H22)</f>
        <v>0.71899678793174038</v>
      </c>
      <c r="O22" s="10"/>
      <c r="P22" s="20">
        <f>SUM(OSRRefP22x_0)</f>
        <v>53247.88</v>
      </c>
      <c r="Q22" s="20"/>
      <c r="R22" s="35">
        <f t="shared" ref="R22:R30" si="16">IF(P$12=0,0,P22/P$12)</f>
        <v>0.39682127911209847</v>
      </c>
      <c r="S22" s="20"/>
      <c r="T22" s="20">
        <f>SUM(OSRRefT22x_0)</f>
        <v>29942.720000000001</v>
      </c>
      <c r="U22" s="20"/>
      <c r="V22" s="35">
        <f t="shared" ref="V22:V30" si="17">IF(T$12=0,0,T22/T$12)</f>
        <v>0.25045418928133373</v>
      </c>
      <c r="W22" s="4"/>
      <c r="X22" s="20">
        <f t="shared" ref="X22:X30" si="18">+P22-T22</f>
        <v>23305.159999999996</v>
      </c>
      <c r="Y22" s="4"/>
      <c r="Z22" s="35">
        <f t="shared" ref="Z22:Z30" si="19">IF(T22=0,0,X22/T22)</f>
        <v>0.77832474805228102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1835.59</v>
      </c>
      <c r="E23" s="1"/>
      <c r="F23" s="5">
        <f t="shared" si="12"/>
        <v>2.9487039029576192E-2</v>
      </c>
      <c r="G23" s="1"/>
      <c r="H23" s="1">
        <f>SUM(OSRRefH22_0x_0)</f>
        <v>101.07000000000001</v>
      </c>
      <c r="I23" s="1"/>
      <c r="J23" s="5">
        <f t="shared" si="13"/>
        <v>1.9378262064966931E-3</v>
      </c>
      <c r="K23" s="1"/>
      <c r="L23" s="1">
        <f t="shared" si="14"/>
        <v>1734.52</v>
      </c>
      <c r="M23" s="1"/>
      <c r="N23" s="5">
        <f t="shared" si="15"/>
        <v>17.161571188285347</v>
      </c>
      <c r="O23" s="13"/>
      <c r="P23" s="1">
        <f>SUM(OSRRefP22_0x_0)</f>
        <v>6509.73</v>
      </c>
      <c r="Q23" s="1"/>
      <c r="R23" s="5">
        <f t="shared" si="16"/>
        <v>4.8512717976272497E-2</v>
      </c>
      <c r="S23" s="1"/>
      <c r="T23" s="1">
        <f>SUM(OSRRefT22_0x_0)</f>
        <v>332.69</v>
      </c>
      <c r="U23" s="1"/>
      <c r="V23" s="5">
        <f t="shared" si="17"/>
        <v>2.7827667036263545E-3</v>
      </c>
      <c r="W23" s="1"/>
      <c r="X23" s="1">
        <f t="shared" si="18"/>
        <v>6177.04</v>
      </c>
      <c r="Y23" s="1"/>
      <c r="Z23" s="5">
        <f t="shared" si="19"/>
        <v>18.56695422164778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390.65</v>
      </c>
      <c r="E24" s="2"/>
      <c r="F24" s="7">
        <f t="shared" si="12"/>
        <v>6.2754274085737765E-3</v>
      </c>
      <c r="G24" s="2"/>
      <c r="H24" s="6">
        <v>3.79</v>
      </c>
      <c r="I24" s="2"/>
      <c r="J24" s="7">
        <f t="shared" si="13"/>
        <v>7.2666086104902219E-5</v>
      </c>
      <c r="K24" s="2"/>
      <c r="L24" s="6">
        <f t="shared" si="14"/>
        <v>386.85999999999996</v>
      </c>
      <c r="M24" s="2"/>
      <c r="N24" s="7">
        <f t="shared" si="15"/>
        <v>102.07387862796833</v>
      </c>
      <c r="O24" s="11"/>
      <c r="P24" s="6">
        <v>1244.96</v>
      </c>
      <c r="Q24" s="2"/>
      <c r="R24" s="7">
        <f t="shared" si="16"/>
        <v>9.2778645768319453E-3</v>
      </c>
      <c r="S24" s="2"/>
      <c r="T24" s="6">
        <v>181.73</v>
      </c>
      <c r="U24" s="2"/>
      <c r="V24" s="7">
        <f t="shared" si="17"/>
        <v>1.5200703148577274E-3</v>
      </c>
      <c r="W24" s="2"/>
      <c r="X24" s="6">
        <f t="shared" si="18"/>
        <v>1063.23</v>
      </c>
      <c r="Y24" s="2"/>
      <c r="Z24" s="7">
        <f t="shared" si="19"/>
        <v>5.8506025422329833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108.19</v>
      </c>
      <c r="E25" s="2"/>
      <c r="F25" s="7">
        <f t="shared" si="12"/>
        <v>1.7379713076503185E-3</v>
      </c>
      <c r="G25" s="2"/>
      <c r="H25" s="6">
        <v>87.29</v>
      </c>
      <c r="I25" s="2"/>
      <c r="J25" s="7">
        <f t="shared" si="13"/>
        <v>1.6736207535875765E-3</v>
      </c>
      <c r="K25" s="2"/>
      <c r="L25" s="6">
        <f t="shared" si="14"/>
        <v>20.899999999999991</v>
      </c>
      <c r="M25" s="2"/>
      <c r="N25" s="7">
        <f t="shared" si="15"/>
        <v>0.23943177912704766</v>
      </c>
      <c r="O25" s="11"/>
      <c r="P25" s="6">
        <v>360.62</v>
      </c>
      <c r="Q25" s="2"/>
      <c r="R25" s="7">
        <f t="shared" si="16"/>
        <v>2.6874626684368461E-3</v>
      </c>
      <c r="S25" s="2"/>
      <c r="T25" s="6">
        <v>123.89</v>
      </c>
      <c r="U25" s="2"/>
      <c r="V25" s="7">
        <f t="shared" si="17"/>
        <v>1.036270903580718E-3</v>
      </c>
      <c r="W25" s="2"/>
      <c r="X25" s="6">
        <f t="shared" si="18"/>
        <v>236.73000000000002</v>
      </c>
      <c r="Y25" s="2"/>
      <c r="Z25" s="7">
        <f t="shared" si="19"/>
        <v>1.9108079748163695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935.3</v>
      </c>
      <c r="E26" s="2"/>
      <c r="F26" s="7">
        <f t="shared" si="12"/>
        <v>1.5024720991268536E-2</v>
      </c>
      <c r="G26" s="2"/>
      <c r="H26" s="6"/>
      <c r="I26" s="2"/>
      <c r="J26" s="7">
        <f t="shared" si="13"/>
        <v>0</v>
      </c>
      <c r="K26" s="2"/>
      <c r="L26" s="6">
        <f t="shared" si="14"/>
        <v>935.3</v>
      </c>
      <c r="M26" s="2"/>
      <c r="N26" s="7">
        <f t="shared" si="15"/>
        <v>0</v>
      </c>
      <c r="O26" s="11"/>
      <c r="P26" s="6">
        <v>3741.2</v>
      </c>
      <c r="Q26" s="2"/>
      <c r="R26" s="7">
        <f t="shared" si="16"/>
        <v>2.7880692516099849E-2</v>
      </c>
      <c r="S26" s="2"/>
      <c r="T26" s="6"/>
      <c r="U26" s="2"/>
      <c r="V26" s="7">
        <f t="shared" si="17"/>
        <v>0</v>
      </c>
      <c r="W26" s="2"/>
      <c r="X26" s="6">
        <f t="shared" si="18"/>
        <v>3741.2</v>
      </c>
      <c r="Y26" s="2"/>
      <c r="Z26" s="7">
        <f t="shared" si="19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23.62</v>
      </c>
      <c r="E27" s="2"/>
      <c r="F27" s="7">
        <f t="shared" si="12"/>
        <v>3.7943324047232211E-4</v>
      </c>
      <c r="G27" s="2"/>
      <c r="H27" s="6">
        <v>9.99</v>
      </c>
      <c r="I27" s="2"/>
      <c r="J27" s="7">
        <f t="shared" si="13"/>
        <v>1.9153936680421454E-4</v>
      </c>
      <c r="K27" s="2"/>
      <c r="L27" s="6">
        <f t="shared" si="14"/>
        <v>13.63</v>
      </c>
      <c r="M27" s="2"/>
      <c r="N27" s="7">
        <f t="shared" si="15"/>
        <v>1.3643643643643644</v>
      </c>
      <c r="O27" s="11"/>
      <c r="P27" s="6">
        <v>57.83</v>
      </c>
      <c r="Q27" s="2"/>
      <c r="R27" s="7">
        <f t="shared" si="16"/>
        <v>4.3096879295575065E-4</v>
      </c>
      <c r="S27" s="2"/>
      <c r="T27" s="6">
        <v>27.07</v>
      </c>
      <c r="U27" s="2"/>
      <c r="V27" s="7">
        <f t="shared" si="17"/>
        <v>2.2642548518790891E-4</v>
      </c>
      <c r="W27" s="2"/>
      <c r="X27" s="6">
        <f t="shared" si="18"/>
        <v>30.759999999999998</v>
      </c>
      <c r="Y27" s="2"/>
      <c r="Z27" s="7">
        <f t="shared" si="19"/>
        <v>1.1363132619135574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134.11000000000001</v>
      </c>
      <c r="E28" s="2"/>
      <c r="F28" s="7">
        <f t="shared" si="12"/>
        <v>2.1543519000737981E-3</v>
      </c>
      <c r="G28" s="2"/>
      <c r="H28" s="6"/>
      <c r="I28" s="2"/>
      <c r="J28" s="7">
        <f t="shared" si="13"/>
        <v>0</v>
      </c>
      <c r="K28" s="2"/>
      <c r="L28" s="6">
        <f t="shared" si="14"/>
        <v>134.11000000000001</v>
      </c>
      <c r="M28" s="2"/>
      <c r="N28" s="7">
        <f t="shared" si="15"/>
        <v>0</v>
      </c>
      <c r="O28" s="11"/>
      <c r="P28" s="6">
        <v>536.44000000000005</v>
      </c>
      <c r="Q28" s="2"/>
      <c r="R28" s="7">
        <f t="shared" si="16"/>
        <v>3.997732998325833E-3</v>
      </c>
      <c r="S28" s="2"/>
      <c r="T28" s="6"/>
      <c r="U28" s="2"/>
      <c r="V28" s="7">
        <f t="shared" si="17"/>
        <v>0</v>
      </c>
      <c r="W28" s="2"/>
      <c r="X28" s="6">
        <f t="shared" si="18"/>
        <v>536.44000000000005</v>
      </c>
      <c r="Y28" s="2"/>
      <c r="Z28" s="7">
        <f t="shared" si="19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110.88</v>
      </c>
      <c r="E29" s="2"/>
      <c r="F29" s="7">
        <f t="shared" si="12"/>
        <v>1.781183645367107E-3</v>
      </c>
      <c r="G29" s="2"/>
      <c r="H29" s="6"/>
      <c r="I29" s="2"/>
      <c r="J29" s="7">
        <f t="shared" si="13"/>
        <v>0</v>
      </c>
      <c r="K29" s="2"/>
      <c r="L29" s="6">
        <f t="shared" si="14"/>
        <v>110.88</v>
      </c>
      <c r="M29" s="2"/>
      <c r="N29" s="7">
        <f t="shared" si="15"/>
        <v>0</v>
      </c>
      <c r="O29" s="11"/>
      <c r="P29" s="6">
        <v>258.72000000000003</v>
      </c>
      <c r="Q29" s="2"/>
      <c r="R29" s="7">
        <f t="shared" si="16"/>
        <v>1.9280692739670037E-3</v>
      </c>
      <c r="S29" s="2"/>
      <c r="T29" s="6"/>
      <c r="U29" s="2"/>
      <c r="V29" s="7">
        <f t="shared" si="17"/>
        <v>0</v>
      </c>
      <c r="W29" s="2"/>
      <c r="X29" s="6">
        <f t="shared" si="18"/>
        <v>258.72000000000003</v>
      </c>
      <c r="Y29" s="2"/>
      <c r="Z29" s="7">
        <f t="shared" si="19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132.84</v>
      </c>
      <c r="E30" s="2"/>
      <c r="F30" s="7">
        <f t="shared" si="12"/>
        <v>2.1339505361703329E-3</v>
      </c>
      <c r="G30" s="2"/>
      <c r="H30" s="6"/>
      <c r="I30" s="2"/>
      <c r="J30" s="7">
        <f t="shared" si="13"/>
        <v>0</v>
      </c>
      <c r="K30" s="2"/>
      <c r="L30" s="6">
        <f t="shared" si="14"/>
        <v>132.84</v>
      </c>
      <c r="M30" s="2"/>
      <c r="N30" s="7">
        <f t="shared" si="15"/>
        <v>0</v>
      </c>
      <c r="O30" s="11"/>
      <c r="P30" s="6">
        <v>309.95999999999998</v>
      </c>
      <c r="Q30" s="2"/>
      <c r="R30" s="7">
        <f t="shared" si="16"/>
        <v>2.3099271496552737E-3</v>
      </c>
      <c r="S30" s="2"/>
      <c r="T30" s="6"/>
      <c r="U30" s="2"/>
      <c r="V30" s="7">
        <f t="shared" si="17"/>
        <v>0</v>
      </c>
      <c r="W30" s="2"/>
      <c r="X30" s="6">
        <f t="shared" si="18"/>
        <v>309.95999999999998</v>
      </c>
      <c r="Y30" s="2"/>
      <c r="Z30" s="7">
        <f t="shared" si="19"/>
        <v>0</v>
      </c>
    </row>
    <row r="31" spans="1:26" s="27" customFormat="1" outlineLevel="1" collapsed="1" x14ac:dyDescent="0.25">
      <c r="A31" s="25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8942.18</v>
      </c>
      <c r="E31" s="1"/>
      <c r="F31" s="5">
        <f t="shared" ref="F31:F36" si="20">IF(D$12=0,0,D31/D$12)</f>
        <v>0.143647770291566</v>
      </c>
      <c r="G31" s="1"/>
      <c r="H31" s="1">
        <f>SUM(OSRRefH22_1x_0)</f>
        <v>5557.18</v>
      </c>
      <c r="I31" s="1"/>
      <c r="J31" s="5">
        <f t="shared" ref="J31:J36" si="21">IF(H$12=0,0,H31/H$12)</f>
        <v>0.10654842226396848</v>
      </c>
      <c r="K31" s="1"/>
      <c r="L31" s="1">
        <f t="shared" ref="L31:L36" si="22">+D31-H31</f>
        <v>3385</v>
      </c>
      <c r="M31" s="1"/>
      <c r="N31" s="5">
        <f t="shared" ref="N31:N36" si="23">IF(H31=0,0,L31/H31)</f>
        <v>0.60912189275855733</v>
      </c>
      <c r="O31" s="13"/>
      <c r="P31" s="1">
        <f>SUM(OSRRefP22_1x_0)</f>
        <v>25638.870000000003</v>
      </c>
      <c r="Q31" s="1"/>
      <c r="R31" s="5">
        <f t="shared" ref="R31:R36" si="24">IF(P$12=0,0,P31/P$12)</f>
        <v>0.19106956349039267</v>
      </c>
      <c r="S31" s="1"/>
      <c r="T31" s="1">
        <f>SUM(OSRRefT22_1x_0)</f>
        <v>12373.07</v>
      </c>
      <c r="U31" s="1"/>
      <c r="V31" s="5">
        <f t="shared" ref="V31:V36" si="25">IF(T$12=0,0,T31/T$12)</f>
        <v>0.10349384477332693</v>
      </c>
      <c r="W31" s="1"/>
      <c r="X31" s="1">
        <f t="shared" ref="X31:X36" si="26">+P31-T31</f>
        <v>13265.800000000003</v>
      </c>
      <c r="Y31" s="1"/>
      <c r="Z31" s="5">
        <f t="shared" ref="Z31:Z36" si="27">IF(T31=0,0,X31/T31)</f>
        <v>1.0721510506285024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>
        <v>2400</v>
      </c>
      <c r="E32" s="2"/>
      <c r="F32" s="7">
        <f t="shared" si="20"/>
        <v>3.8553758557729592E-2</v>
      </c>
      <c r="G32" s="2"/>
      <c r="H32" s="6"/>
      <c r="I32" s="2"/>
      <c r="J32" s="7">
        <f t="shared" si="21"/>
        <v>0</v>
      </c>
      <c r="K32" s="2"/>
      <c r="L32" s="6">
        <f t="shared" si="22"/>
        <v>2400</v>
      </c>
      <c r="M32" s="2"/>
      <c r="N32" s="7">
        <f t="shared" si="23"/>
        <v>0</v>
      </c>
      <c r="O32" s="11"/>
      <c r="P32" s="6">
        <v>8448</v>
      </c>
      <c r="Q32" s="2"/>
      <c r="R32" s="7">
        <f t="shared" si="24"/>
        <v>6.2957364047902156E-2</v>
      </c>
      <c r="S32" s="2"/>
      <c r="T32" s="6"/>
      <c r="U32" s="2"/>
      <c r="V32" s="7">
        <f t="shared" si="25"/>
        <v>0</v>
      </c>
      <c r="W32" s="2"/>
      <c r="X32" s="6">
        <f t="shared" si="26"/>
        <v>8448</v>
      </c>
      <c r="Y32" s="2"/>
      <c r="Z32" s="7">
        <f t="shared" si="27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20"/>
        <v>0</v>
      </c>
      <c r="G33" s="2"/>
      <c r="H33" s="6"/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>
        <v>1708.78</v>
      </c>
      <c r="Q33" s="2"/>
      <c r="R33" s="7">
        <f t="shared" si="24"/>
        <v>1.273440868108123E-2</v>
      </c>
      <c r="S33" s="2"/>
      <c r="T33" s="6"/>
      <c r="U33" s="2"/>
      <c r="V33" s="7">
        <f t="shared" si="25"/>
        <v>0</v>
      </c>
      <c r="W33" s="2"/>
      <c r="X33" s="6">
        <f t="shared" si="26"/>
        <v>1708.78</v>
      </c>
      <c r="Y33" s="2"/>
      <c r="Z33" s="7">
        <f t="shared" si="27"/>
        <v>0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>
        <v>2226.4699999999998</v>
      </c>
      <c r="E34" s="2"/>
      <c r="F34" s="7">
        <f t="shared" si="20"/>
        <v>3.5766161173345079E-2</v>
      </c>
      <c r="G34" s="2"/>
      <c r="H34" s="6">
        <v>49.5</v>
      </c>
      <c r="I34" s="2"/>
      <c r="J34" s="7">
        <f t="shared" si="21"/>
        <v>9.4906893461547742E-4</v>
      </c>
      <c r="K34" s="2"/>
      <c r="L34" s="6">
        <f t="shared" si="22"/>
        <v>2176.9699999999998</v>
      </c>
      <c r="M34" s="2"/>
      <c r="N34" s="7">
        <f t="shared" si="23"/>
        <v>43.979191919191912</v>
      </c>
      <c r="O34" s="11"/>
      <c r="P34" s="6">
        <v>4526.25</v>
      </c>
      <c r="Q34" s="2"/>
      <c r="R34" s="7">
        <f t="shared" si="24"/>
        <v>3.3731151636105246E-2</v>
      </c>
      <c r="S34" s="2"/>
      <c r="T34" s="6">
        <v>625.26</v>
      </c>
      <c r="U34" s="2"/>
      <c r="V34" s="7">
        <f t="shared" si="25"/>
        <v>5.2299519345619478E-3</v>
      </c>
      <c r="W34" s="2"/>
      <c r="X34" s="6">
        <f t="shared" si="26"/>
        <v>3900.99</v>
      </c>
      <c r="Y34" s="2"/>
      <c r="Z34" s="7">
        <f t="shared" si="27"/>
        <v>6.2389885807504077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>
        <v>3925.71</v>
      </c>
      <c r="E35" s="2"/>
      <c r="F35" s="7">
        <f t="shared" si="20"/>
        <v>6.3062864794860271E-2</v>
      </c>
      <c r="G35" s="2"/>
      <c r="H35" s="6">
        <v>5507.68</v>
      </c>
      <c r="I35" s="2"/>
      <c r="J35" s="7">
        <f t="shared" si="21"/>
        <v>0.105599353329353</v>
      </c>
      <c r="K35" s="2"/>
      <c r="L35" s="6">
        <f t="shared" si="22"/>
        <v>-1581.9700000000003</v>
      </c>
      <c r="M35" s="2"/>
      <c r="N35" s="7">
        <f t="shared" si="23"/>
        <v>-0.28722983179850686</v>
      </c>
      <c r="O35" s="11"/>
      <c r="P35" s="6">
        <v>10372.530000000001</v>
      </c>
      <c r="Q35" s="2"/>
      <c r="R35" s="7">
        <f t="shared" si="24"/>
        <v>7.729961497488004E-2</v>
      </c>
      <c r="S35" s="2"/>
      <c r="T35" s="6">
        <v>11747.81</v>
      </c>
      <c r="U35" s="2"/>
      <c r="V35" s="7">
        <f t="shared" si="25"/>
        <v>9.826389283876498E-2</v>
      </c>
      <c r="W35" s="2"/>
      <c r="X35" s="6">
        <f t="shared" si="26"/>
        <v>-1375.2799999999988</v>
      </c>
      <c r="Y35" s="2"/>
      <c r="Z35" s="7">
        <f t="shared" si="27"/>
        <v>-0.11706692566529411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>
        <v>390</v>
      </c>
      <c r="E36" s="2"/>
      <c r="F36" s="7">
        <f t="shared" si="20"/>
        <v>6.2649857656310584E-3</v>
      </c>
      <c r="G36" s="2"/>
      <c r="H36" s="6"/>
      <c r="I36" s="2"/>
      <c r="J36" s="7">
        <f t="shared" si="21"/>
        <v>0</v>
      </c>
      <c r="K36" s="2"/>
      <c r="L36" s="6">
        <f t="shared" si="22"/>
        <v>390</v>
      </c>
      <c r="M36" s="2"/>
      <c r="N36" s="7">
        <f t="shared" si="23"/>
        <v>0</v>
      </c>
      <c r="O36" s="11"/>
      <c r="P36" s="6">
        <v>583.30999999999995</v>
      </c>
      <c r="Q36" s="2"/>
      <c r="R36" s="7">
        <f t="shared" si="24"/>
        <v>4.347024150423982E-3</v>
      </c>
      <c r="S36" s="2"/>
      <c r="T36" s="6"/>
      <c r="U36" s="2"/>
      <c r="V36" s="7">
        <f t="shared" si="25"/>
        <v>0</v>
      </c>
      <c r="W36" s="2"/>
      <c r="X36" s="6">
        <f t="shared" si="26"/>
        <v>583.30999999999995</v>
      </c>
      <c r="Y36" s="2"/>
      <c r="Z36" s="7">
        <f t="shared" si="27"/>
        <v>0</v>
      </c>
    </row>
    <row r="37" spans="1:26" s="27" customFormat="1" outlineLevel="1" collapsed="1" x14ac:dyDescent="0.25">
      <c r="A37" s="25"/>
      <c r="B37" s="13" t="str">
        <f>CONCATENATE("     ","Bad Debts/Over/Short                              ")</f>
        <v xml:space="preserve">     Bad Debts/Over/Short                              </v>
      </c>
      <c r="C37" s="13"/>
      <c r="D37" s="1">
        <f>SUM(OSRRefD22_2x_0)</f>
        <v>-13.45</v>
      </c>
      <c r="E37" s="1"/>
      <c r="F37" s="5">
        <f t="shared" ref="F37:F48" si="28">IF(D$12=0,0,D37/D$12)</f>
        <v>-2.1606168858394291E-4</v>
      </c>
      <c r="G37" s="1"/>
      <c r="H37" s="1">
        <f>SUM(OSRRefH22_2x_0)</f>
        <v>-3.37</v>
      </c>
      <c r="I37" s="1"/>
      <c r="J37" s="5">
        <f t="shared" ref="J37:J48" si="29">IF(H$12=0,0,H37/H$12)</f>
        <v>-6.4613379993013319E-5</v>
      </c>
      <c r="K37" s="1"/>
      <c r="L37" s="1">
        <f t="shared" ref="L37:L48" si="30">+D37-H37</f>
        <v>-10.079999999999998</v>
      </c>
      <c r="M37" s="1"/>
      <c r="N37" s="5">
        <f t="shared" ref="N37:N48" si="31">IF(H37=0,0,L37/H37)</f>
        <v>2.991097922848664</v>
      </c>
      <c r="O37" s="13"/>
      <c r="P37" s="1">
        <f>SUM(OSRRefP22_2x_0)</f>
        <v>-39.770000000000003</v>
      </c>
      <c r="Q37" s="1"/>
      <c r="R37" s="5">
        <f t="shared" ref="R37:R48" si="32">IF(P$12=0,0,P37/P$12)</f>
        <v>-2.9637954168857349E-4</v>
      </c>
      <c r="S37" s="1"/>
      <c r="T37" s="1">
        <f>SUM(OSRRefT22_2x_0)</f>
        <v>-48.4</v>
      </c>
      <c r="U37" s="1"/>
      <c r="V37" s="5">
        <f t="shared" ref="V37:V48" si="33">IF(T$12=0,0,T37/T$12)</f>
        <v>-4.048390647615364E-4</v>
      </c>
      <c r="W37" s="1"/>
      <c r="X37" s="1">
        <f t="shared" ref="X37:X48" si="34">+P37-T37</f>
        <v>8.6299999999999955</v>
      </c>
      <c r="Y37" s="1"/>
      <c r="Z37" s="5">
        <f t="shared" ref="Z37:Z48" si="35">IF(T37=0,0,X37/T37)</f>
        <v>-0.17830578512396686</v>
      </c>
    </row>
    <row r="38" spans="1:26" s="24" customFormat="1" hidden="1" outlineLevel="2" x14ac:dyDescent="0.25">
      <c r="A38" s="26"/>
      <c r="B38" s="11" t="str">
        <f>CONCATENATE("          ", "6272", " - ", "CASH (OVER/SHORT)")</f>
        <v xml:space="preserve">          6272 - CASH (OVER/SHORT)</v>
      </c>
      <c r="C38" s="11"/>
      <c r="D38" s="6">
        <v>-13.45</v>
      </c>
      <c r="E38" s="2"/>
      <c r="F38" s="7">
        <f t="shared" si="28"/>
        <v>-2.1606168858394291E-4</v>
      </c>
      <c r="G38" s="2"/>
      <c r="H38" s="6">
        <v>-3.37</v>
      </c>
      <c r="I38" s="2"/>
      <c r="J38" s="7">
        <f t="shared" si="29"/>
        <v>-6.4613379993013319E-5</v>
      </c>
      <c r="K38" s="2"/>
      <c r="L38" s="6">
        <f t="shared" si="30"/>
        <v>-10.079999999999998</v>
      </c>
      <c r="M38" s="2"/>
      <c r="N38" s="7">
        <f t="shared" si="31"/>
        <v>2.991097922848664</v>
      </c>
      <c r="O38" s="11"/>
      <c r="P38" s="6">
        <v>-39.770000000000003</v>
      </c>
      <c r="Q38" s="2"/>
      <c r="R38" s="7">
        <f t="shared" si="32"/>
        <v>-2.9637954168857349E-4</v>
      </c>
      <c r="S38" s="2"/>
      <c r="T38" s="6">
        <v>-48.4</v>
      </c>
      <c r="U38" s="2"/>
      <c r="V38" s="7">
        <f t="shared" si="33"/>
        <v>-4.048390647615364E-4</v>
      </c>
      <c r="W38" s="2"/>
      <c r="X38" s="6">
        <f t="shared" si="34"/>
        <v>8.6299999999999955</v>
      </c>
      <c r="Y38" s="2"/>
      <c r="Z38" s="7">
        <f t="shared" si="35"/>
        <v>-0.17830578512396686</v>
      </c>
    </row>
    <row r="39" spans="1:26" s="27" customFormat="1" outlineLevel="1" collapsed="1" x14ac:dyDescent="0.25">
      <c r="A39" s="25"/>
      <c r="B39" s="13" t="str">
        <f>CONCATENATE("     ","Bank/card Fees                                    ")</f>
        <v xml:space="preserve">     Bank/card Fees                                    </v>
      </c>
      <c r="C39" s="13"/>
      <c r="D39" s="1">
        <f>SUM(OSRRefD22_3x_0)</f>
        <v>2111.5500000000002</v>
      </c>
      <c r="E39" s="1"/>
      <c r="F39" s="5">
        <f t="shared" si="28"/>
        <v>3.392007870107247E-2</v>
      </c>
      <c r="G39" s="1"/>
      <c r="H39" s="1">
        <f>SUM(OSRRefH22_3x_0)</f>
        <v>1483.06</v>
      </c>
      <c r="I39" s="1"/>
      <c r="J39" s="5">
        <f t="shared" si="29"/>
        <v>2.843487220547131E-2</v>
      </c>
      <c r="K39" s="1"/>
      <c r="L39" s="1">
        <f t="shared" si="30"/>
        <v>628.49000000000024</v>
      </c>
      <c r="M39" s="1"/>
      <c r="N39" s="5">
        <f t="shared" si="31"/>
        <v>0.4237792132482841</v>
      </c>
      <c r="O39" s="13"/>
      <c r="P39" s="1">
        <f>SUM(OSRRefP22_3x_0)</f>
        <v>4545.5600000000004</v>
      </c>
      <c r="Q39" s="1"/>
      <c r="R39" s="5">
        <f t="shared" si="32"/>
        <v>3.3875056311740308E-2</v>
      </c>
      <c r="S39" s="1"/>
      <c r="T39" s="1">
        <f>SUM(OSRRefT22_3x_0)</f>
        <v>3615.39</v>
      </c>
      <c r="U39" s="1"/>
      <c r="V39" s="5">
        <f t="shared" si="33"/>
        <v>3.0240725337772958E-2</v>
      </c>
      <c r="W39" s="1"/>
      <c r="X39" s="1">
        <f t="shared" si="34"/>
        <v>930.17000000000053</v>
      </c>
      <c r="Y39" s="1"/>
      <c r="Z39" s="5">
        <f t="shared" si="35"/>
        <v>0.25728068064579496</v>
      </c>
    </row>
    <row r="40" spans="1:26" s="24" customFormat="1" hidden="1" outlineLevel="2" x14ac:dyDescent="0.25">
      <c r="A40" s="26"/>
      <c r="B40" s="11" t="str">
        <f>CONCATENATE("          ", "6381", " - ", "BANK/CREDIT CARD FEES")</f>
        <v xml:space="preserve">          6381 - BANK/CREDIT CARD FEES</v>
      </c>
      <c r="C40" s="11"/>
      <c r="D40" s="6">
        <v>2111.5500000000002</v>
      </c>
      <c r="E40" s="2"/>
      <c r="F40" s="7">
        <f t="shared" si="28"/>
        <v>3.392007870107247E-2</v>
      </c>
      <c r="G40" s="2"/>
      <c r="H40" s="6">
        <v>1483.06</v>
      </c>
      <c r="I40" s="2"/>
      <c r="J40" s="7">
        <f t="shared" si="29"/>
        <v>2.843487220547131E-2</v>
      </c>
      <c r="K40" s="2"/>
      <c r="L40" s="6">
        <f t="shared" si="30"/>
        <v>628.49000000000024</v>
      </c>
      <c r="M40" s="2"/>
      <c r="N40" s="7">
        <f t="shared" si="31"/>
        <v>0.4237792132482841</v>
      </c>
      <c r="O40" s="11"/>
      <c r="P40" s="6">
        <v>4545.5600000000004</v>
      </c>
      <c r="Q40" s="2"/>
      <c r="R40" s="7">
        <f t="shared" si="32"/>
        <v>3.3875056311740308E-2</v>
      </c>
      <c r="S40" s="2"/>
      <c r="T40" s="6">
        <v>3615.39</v>
      </c>
      <c r="U40" s="2"/>
      <c r="V40" s="7">
        <f t="shared" si="33"/>
        <v>3.0240725337772958E-2</v>
      </c>
      <c r="W40" s="2"/>
      <c r="X40" s="6">
        <f t="shared" si="34"/>
        <v>930.17000000000053</v>
      </c>
      <c r="Y40" s="2"/>
      <c r="Z40" s="7">
        <f t="shared" si="35"/>
        <v>0.25728068064579496</v>
      </c>
    </row>
    <row r="41" spans="1:26" s="27" customFormat="1" outlineLevel="1" collapsed="1" x14ac:dyDescent="0.25">
      <c r="A41" s="25"/>
      <c r="B41" s="13" t="str">
        <f>CONCATENATE("     ","Depreciation                                      ")</f>
        <v xml:space="preserve">     Depreciation                                      </v>
      </c>
      <c r="C41" s="13"/>
      <c r="D41" s="1">
        <f>SUM(OSRRefD22_4x_0)</f>
        <v>968.86</v>
      </c>
      <c r="E41" s="1"/>
      <c r="F41" s="5">
        <f t="shared" si="28"/>
        <v>1.5563831048434121E-2</v>
      </c>
      <c r="G41" s="1"/>
      <c r="H41" s="1">
        <f>SUM(OSRRefH22_4x_0)</f>
        <v>968.86</v>
      </c>
      <c r="I41" s="1"/>
      <c r="J41" s="5">
        <f t="shared" si="29"/>
        <v>1.8576059151344474E-2</v>
      </c>
      <c r="K41" s="1"/>
      <c r="L41" s="1">
        <f t="shared" si="30"/>
        <v>0</v>
      </c>
      <c r="M41" s="1"/>
      <c r="N41" s="5">
        <f t="shared" si="31"/>
        <v>0</v>
      </c>
      <c r="O41" s="13"/>
      <c r="P41" s="1">
        <f>SUM(OSRRefP22_4x_0)</f>
        <v>3875.44</v>
      </c>
      <c r="Q41" s="1"/>
      <c r="R41" s="5">
        <f t="shared" si="32"/>
        <v>2.8881094569815569E-2</v>
      </c>
      <c r="S41" s="1"/>
      <c r="T41" s="1">
        <f>SUM(OSRRefT22_4x_0)</f>
        <v>3875.44</v>
      </c>
      <c r="U41" s="1"/>
      <c r="V41" s="5">
        <f t="shared" si="33"/>
        <v>3.2415898866517537E-2</v>
      </c>
      <c r="W41" s="1"/>
      <c r="X41" s="1">
        <f t="shared" si="34"/>
        <v>0</v>
      </c>
      <c r="Y41" s="1"/>
      <c r="Z41" s="5">
        <f t="shared" si="35"/>
        <v>0</v>
      </c>
    </row>
    <row r="42" spans="1:26" s="24" customFormat="1" hidden="1" outlineLevel="2" x14ac:dyDescent="0.25">
      <c r="A42" s="26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968.86</v>
      </c>
      <c r="E42" s="2"/>
      <c r="F42" s="7">
        <f t="shared" si="28"/>
        <v>1.5563831048434121E-2</v>
      </c>
      <c r="G42" s="2"/>
      <c r="H42" s="6">
        <v>968.86</v>
      </c>
      <c r="I42" s="2"/>
      <c r="J42" s="7">
        <f t="shared" si="29"/>
        <v>1.8576059151344474E-2</v>
      </c>
      <c r="K42" s="2"/>
      <c r="L42" s="6">
        <f t="shared" si="30"/>
        <v>0</v>
      </c>
      <c r="M42" s="2"/>
      <c r="N42" s="7">
        <f t="shared" si="31"/>
        <v>0</v>
      </c>
      <c r="O42" s="11"/>
      <c r="P42" s="6">
        <v>3875.44</v>
      </c>
      <c r="Q42" s="2"/>
      <c r="R42" s="7">
        <f t="shared" si="32"/>
        <v>2.8881094569815569E-2</v>
      </c>
      <c r="S42" s="2"/>
      <c r="T42" s="6">
        <v>3875.44</v>
      </c>
      <c r="U42" s="2"/>
      <c r="V42" s="7">
        <f t="shared" si="33"/>
        <v>3.2415898866517537E-2</v>
      </c>
      <c r="W42" s="2"/>
      <c r="X42" s="6">
        <f t="shared" si="34"/>
        <v>0</v>
      </c>
      <c r="Y42" s="2"/>
      <c r="Z42" s="7">
        <f t="shared" si="35"/>
        <v>0</v>
      </c>
    </row>
    <row r="43" spans="1:26" s="27" customFormat="1" outlineLevel="1" collapsed="1" x14ac:dyDescent="0.25">
      <c r="A43" s="25"/>
      <c r="B43" s="13" t="str">
        <f>CONCATENATE("     ","General                                           ")</f>
        <v xml:space="preserve">     General                                           </v>
      </c>
      <c r="C43" s="13"/>
      <c r="D43" s="1">
        <f>SUM(OSRRefD22_5x_0)</f>
        <v>284.89</v>
      </c>
      <c r="E43" s="1"/>
      <c r="F43" s="5">
        <f t="shared" si="28"/>
        <v>4.5764917814631592E-3</v>
      </c>
      <c r="G43" s="1"/>
      <c r="H43" s="1">
        <f>SUM(OSRRefH22_5x_0)</f>
        <v>280.83999999999997</v>
      </c>
      <c r="I43" s="1"/>
      <c r="J43" s="5">
        <f t="shared" si="29"/>
        <v>5.3845761534830434E-3</v>
      </c>
      <c r="K43" s="1"/>
      <c r="L43" s="1">
        <f t="shared" si="30"/>
        <v>4.0500000000000114</v>
      </c>
      <c r="M43" s="1"/>
      <c r="N43" s="5">
        <f t="shared" si="31"/>
        <v>1.4421022646346716E-2</v>
      </c>
      <c r="O43" s="13"/>
      <c r="P43" s="1">
        <f>SUM(OSRRefP22_5x_0)</f>
        <v>1031.19</v>
      </c>
      <c r="Q43" s="1"/>
      <c r="R43" s="5">
        <f t="shared" si="32"/>
        <v>7.6847779631340225E-3</v>
      </c>
      <c r="S43" s="1"/>
      <c r="T43" s="1">
        <f>SUM(OSRRefT22_5x_0)</f>
        <v>1015.79</v>
      </c>
      <c r="U43" s="1"/>
      <c r="V43" s="5">
        <f t="shared" si="33"/>
        <v>8.4965180494653118E-3</v>
      </c>
      <c r="W43" s="1"/>
      <c r="X43" s="1">
        <f t="shared" si="34"/>
        <v>15.400000000000091</v>
      </c>
      <c r="Y43" s="1"/>
      <c r="Z43" s="5">
        <f t="shared" si="35"/>
        <v>1.5160613906417755E-2</v>
      </c>
    </row>
    <row r="44" spans="1:26" s="24" customFormat="1" hidden="1" outlineLevel="2" x14ac:dyDescent="0.25">
      <c r="A44" s="26"/>
      <c r="B44" s="11" t="str">
        <f>CONCATENATE("          ", "6279", " - ", "GENERAL EXPENSE")</f>
        <v xml:space="preserve">          6279 - GENERAL EXPENSE</v>
      </c>
      <c r="C44" s="11"/>
      <c r="D44" s="6">
        <v>284.89</v>
      </c>
      <c r="E44" s="2"/>
      <c r="F44" s="7">
        <f t="shared" si="28"/>
        <v>4.5764917814631592E-3</v>
      </c>
      <c r="G44" s="2"/>
      <c r="H44" s="6">
        <v>280.83999999999997</v>
      </c>
      <c r="I44" s="2"/>
      <c r="J44" s="7">
        <f t="shared" si="29"/>
        <v>5.3845761534830434E-3</v>
      </c>
      <c r="K44" s="2"/>
      <c r="L44" s="6">
        <f t="shared" si="30"/>
        <v>4.0500000000000114</v>
      </c>
      <c r="M44" s="2"/>
      <c r="N44" s="7">
        <f t="shared" si="31"/>
        <v>1.4421022646346716E-2</v>
      </c>
      <c r="O44" s="11"/>
      <c r="P44" s="6">
        <v>1031.19</v>
      </c>
      <c r="Q44" s="2"/>
      <c r="R44" s="7">
        <f t="shared" si="32"/>
        <v>7.6847779631340225E-3</v>
      </c>
      <c r="S44" s="2"/>
      <c r="T44" s="6">
        <v>1015.79</v>
      </c>
      <c r="U44" s="2"/>
      <c r="V44" s="7">
        <f t="shared" si="33"/>
        <v>8.4965180494653118E-3</v>
      </c>
      <c r="W44" s="2"/>
      <c r="X44" s="6">
        <f t="shared" si="34"/>
        <v>15.400000000000091</v>
      </c>
      <c r="Y44" s="2"/>
      <c r="Z44" s="7">
        <f t="shared" si="35"/>
        <v>1.5160613906417755E-2</v>
      </c>
    </row>
    <row r="45" spans="1:26" s="27" customFormat="1" outlineLevel="1" collapsed="1" x14ac:dyDescent="0.25">
      <c r="A45" s="25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SUM(OSRRefD22_6x_0)</f>
        <v>366.17999999999995</v>
      </c>
      <c r="E45" s="1"/>
      <c r="F45" s="5">
        <f t="shared" si="28"/>
        <v>5.8823397119455913E-3</v>
      </c>
      <c r="G45" s="1"/>
      <c r="H45" s="1">
        <f>SUM(OSRRefH22_6x_0)</f>
        <v>44.54</v>
      </c>
      <c r="I45" s="1"/>
      <c r="J45" s="5">
        <f t="shared" si="29"/>
        <v>8.5397031005602752E-4</v>
      </c>
      <c r="K45" s="1"/>
      <c r="L45" s="1">
        <f t="shared" si="30"/>
        <v>321.63999999999993</v>
      </c>
      <c r="M45" s="1"/>
      <c r="N45" s="5">
        <f t="shared" si="31"/>
        <v>7.2213740458015252</v>
      </c>
      <c r="O45" s="13"/>
      <c r="P45" s="1">
        <f>SUM(OSRRefP22_6x_0)</f>
        <v>839.91</v>
      </c>
      <c r="Q45" s="1"/>
      <c r="R45" s="5">
        <f t="shared" si="32"/>
        <v>6.2592944646630557E-3</v>
      </c>
      <c r="S45" s="1"/>
      <c r="T45" s="1">
        <f>SUM(OSRRefT22_6x_0)</f>
        <v>89.52</v>
      </c>
      <c r="U45" s="1"/>
      <c r="V45" s="5">
        <f t="shared" si="33"/>
        <v>7.4878498093910615E-4</v>
      </c>
      <c r="W45" s="1"/>
      <c r="X45" s="1">
        <f t="shared" si="34"/>
        <v>750.39</v>
      </c>
      <c r="Y45" s="1"/>
      <c r="Z45" s="5">
        <f t="shared" si="35"/>
        <v>8.3823726541554961</v>
      </c>
    </row>
    <row r="46" spans="1:26" s="24" customFormat="1" hidden="1" outlineLevel="2" x14ac:dyDescent="0.25">
      <c r="A46" s="26"/>
      <c r="B46" s="11" t="str">
        <f>CONCATENATE("          ", "6371", " - ", "COMPUTER SOFTWARE MAINTENANCE")</f>
        <v xml:space="preserve">          6371 - COMPUTER SOFTWARE MAINTENANCE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437.31</v>
      </c>
      <c r="Q46" s="2"/>
      <c r="R46" s="7">
        <f t="shared" si="32"/>
        <v>3.258982584255219E-3</v>
      </c>
      <c r="S46" s="2"/>
      <c r="T46" s="6"/>
      <c r="U46" s="2"/>
      <c r="V46" s="7">
        <f t="shared" si="33"/>
        <v>0</v>
      </c>
      <c r="W46" s="2"/>
      <c r="X46" s="6">
        <f t="shared" si="34"/>
        <v>437.31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"6373", " - ", "MAINTENANCE CONTRACTS")</f>
        <v xml:space="preserve">          6373 - MAINTENANCE CONTRACTS</v>
      </c>
      <c r="C47" s="11"/>
      <c r="D47" s="6">
        <v>45.65</v>
      </c>
      <c r="E47" s="2"/>
      <c r="F47" s="7">
        <f t="shared" si="28"/>
        <v>7.333246159001482E-4</v>
      </c>
      <c r="G47" s="2"/>
      <c r="H47" s="6"/>
      <c r="I47" s="2"/>
      <c r="J47" s="7">
        <f t="shared" si="29"/>
        <v>0</v>
      </c>
      <c r="K47" s="2"/>
      <c r="L47" s="6">
        <f t="shared" si="30"/>
        <v>45.65</v>
      </c>
      <c r="M47" s="2"/>
      <c r="N47" s="7">
        <f t="shared" si="31"/>
        <v>0</v>
      </c>
      <c r="O47" s="11"/>
      <c r="P47" s="6">
        <v>45.65</v>
      </c>
      <c r="Q47" s="2"/>
      <c r="R47" s="7">
        <f t="shared" si="32"/>
        <v>3.4019929791509625E-4</v>
      </c>
      <c r="S47" s="2"/>
      <c r="T47" s="6">
        <v>44.98</v>
      </c>
      <c r="U47" s="2"/>
      <c r="V47" s="7">
        <f t="shared" si="33"/>
        <v>3.7623266803665101E-4</v>
      </c>
      <c r="W47" s="2"/>
      <c r="X47" s="6">
        <f t="shared" si="34"/>
        <v>0.67000000000000171</v>
      </c>
      <c r="Y47" s="2"/>
      <c r="Z47" s="7">
        <f t="shared" si="35"/>
        <v>1.4895509115162334E-2</v>
      </c>
    </row>
    <row r="48" spans="1:26" s="24" customFormat="1" hidden="1" outlineLevel="2" x14ac:dyDescent="0.25">
      <c r="A48" s="26"/>
      <c r="B48" s="11" t="str">
        <f>CONCATENATE("          ", "6375", " - ", "OUTSIDE REPAIRS &amp; MAINTENANCE")</f>
        <v xml:space="preserve">          6375 - OUTSIDE REPAIRS &amp; MAINTENANCE</v>
      </c>
      <c r="C48" s="11"/>
      <c r="D48" s="6">
        <v>320.52999999999997</v>
      </c>
      <c r="E48" s="2"/>
      <c r="F48" s="7">
        <f t="shared" si="28"/>
        <v>5.149015096045444E-3</v>
      </c>
      <c r="G48" s="2"/>
      <c r="H48" s="6">
        <v>44.54</v>
      </c>
      <c r="I48" s="2"/>
      <c r="J48" s="7">
        <f t="shared" si="29"/>
        <v>8.5397031005602752E-4</v>
      </c>
      <c r="K48" s="2"/>
      <c r="L48" s="6">
        <f t="shared" si="30"/>
        <v>275.98999999999995</v>
      </c>
      <c r="M48" s="2"/>
      <c r="N48" s="7">
        <f t="shared" si="31"/>
        <v>6.1964526268522668</v>
      </c>
      <c r="O48" s="11"/>
      <c r="P48" s="6">
        <v>356.95</v>
      </c>
      <c r="Q48" s="2"/>
      <c r="R48" s="7">
        <f t="shared" si="32"/>
        <v>2.6601125824927407E-3</v>
      </c>
      <c r="S48" s="2"/>
      <c r="T48" s="6">
        <v>44.54</v>
      </c>
      <c r="U48" s="2"/>
      <c r="V48" s="7">
        <f t="shared" si="33"/>
        <v>3.725523129024552E-4</v>
      </c>
      <c r="W48" s="2"/>
      <c r="X48" s="6">
        <f t="shared" si="34"/>
        <v>312.40999999999997</v>
      </c>
      <c r="Y48" s="2"/>
      <c r="Z48" s="7">
        <f t="shared" si="35"/>
        <v>7.0141445891333625</v>
      </c>
    </row>
    <row r="49" spans="1:26" s="27" customFormat="1" outlineLevel="1" collapsed="1" x14ac:dyDescent="0.25">
      <c r="A49" s="25"/>
      <c r="B49" s="13" t="str">
        <f>CONCATENATE("     ","Royalty &amp; Commissions                             ")</f>
        <v xml:space="preserve">     Royalty &amp; Commissions                             </v>
      </c>
      <c r="C49" s="13"/>
      <c r="D49" s="1">
        <f>SUM(OSRRefD22_7x_0)</f>
        <v>0</v>
      </c>
      <c r="E49" s="1"/>
      <c r="F49" s="5">
        <f t="shared" ref="F49:F54" si="36">IF(D$12=0,0,D49/D$12)</f>
        <v>0</v>
      </c>
      <c r="G49" s="1"/>
      <c r="H49" s="1">
        <f>SUM(OSRRefH22_7x_0)</f>
        <v>0</v>
      </c>
      <c r="I49" s="1"/>
      <c r="J49" s="5">
        <f t="shared" ref="J49:J54" si="37">IF(H$12=0,0,H49/H$12)</f>
        <v>0</v>
      </c>
      <c r="K49" s="1"/>
      <c r="L49" s="1">
        <f t="shared" ref="L49:L54" si="38">+D49-H49</f>
        <v>0</v>
      </c>
      <c r="M49" s="1"/>
      <c r="N49" s="5">
        <f t="shared" ref="N49:N54" si="39">IF(H49=0,0,L49/H49)</f>
        <v>0</v>
      </c>
      <c r="O49" s="13"/>
      <c r="P49" s="1">
        <f>SUM(OSRRefP22_7x_0)</f>
        <v>5673.45</v>
      </c>
      <c r="Q49" s="1"/>
      <c r="R49" s="5">
        <f t="shared" ref="R49:R54" si="40">IF(P$12=0,0,P49/P$12)</f>
        <v>4.2280475503973777E-2</v>
      </c>
      <c r="S49" s="1"/>
      <c r="T49" s="1">
        <f>SUM(OSRRefT22_7x_0)</f>
        <v>5350.8</v>
      </c>
      <c r="U49" s="1"/>
      <c r="V49" s="5">
        <f t="shared" ref="V49:V54" si="41">IF(T$12=0,0,T49/T$12)</f>
        <v>4.4756464209215481E-2</v>
      </c>
      <c r="W49" s="1"/>
      <c r="X49" s="1">
        <f t="shared" ref="X49:X54" si="42">+P49-T49</f>
        <v>322.64999999999964</v>
      </c>
      <c r="Y49" s="1"/>
      <c r="Z49" s="5">
        <f t="shared" ref="Z49:Z54" si="43">IF(T49=0,0,X49/T49)</f>
        <v>6.0299394483067884E-2</v>
      </c>
    </row>
    <row r="50" spans="1:26" s="24" customFormat="1" hidden="1" outlineLevel="2" x14ac:dyDescent="0.25">
      <c r="A50" s="26"/>
      <c r="B50" s="11" t="str">
        <f>CONCATENATE("          ", "6254", " - ", "ROYALTY &amp; COMMISSIONS")</f>
        <v xml:space="preserve">          6254 - ROYALTY &amp; COMMISSIONS</v>
      </c>
      <c r="C50" s="11"/>
      <c r="D50" s="6"/>
      <c r="E50" s="2"/>
      <c r="F50" s="7">
        <f t="shared" si="36"/>
        <v>0</v>
      </c>
      <c r="G50" s="2"/>
      <c r="H50" s="6"/>
      <c r="I50" s="2"/>
      <c r="J50" s="7">
        <f t="shared" si="37"/>
        <v>0</v>
      </c>
      <c r="K50" s="2"/>
      <c r="L50" s="6">
        <f t="shared" si="38"/>
        <v>0</v>
      </c>
      <c r="M50" s="2"/>
      <c r="N50" s="7">
        <f t="shared" si="39"/>
        <v>0</v>
      </c>
      <c r="O50" s="11"/>
      <c r="P50" s="6">
        <v>5673.45</v>
      </c>
      <c r="Q50" s="2"/>
      <c r="R50" s="7">
        <f t="shared" si="40"/>
        <v>4.2280475503973777E-2</v>
      </c>
      <c r="S50" s="2"/>
      <c r="T50" s="6">
        <v>5350.8</v>
      </c>
      <c r="U50" s="2"/>
      <c r="V50" s="7">
        <f t="shared" si="41"/>
        <v>4.4756464209215481E-2</v>
      </c>
      <c r="W50" s="2"/>
      <c r="X50" s="6">
        <f t="shared" si="42"/>
        <v>322.64999999999964</v>
      </c>
      <c r="Y50" s="2"/>
      <c r="Z50" s="7">
        <f t="shared" si="43"/>
        <v>6.0299394483067884E-2</v>
      </c>
    </row>
    <row r="51" spans="1:26" s="27" customFormat="1" outlineLevel="1" collapsed="1" x14ac:dyDescent="0.25">
      <c r="A51" s="25"/>
      <c r="B51" s="13" t="str">
        <f>CONCATENATE("     ","Services                                          ")</f>
        <v xml:space="preserve">     Services                                          </v>
      </c>
      <c r="C51" s="13"/>
      <c r="D51" s="1">
        <f>SUM(OSRRefD22_8x_0)</f>
        <v>244.22</v>
      </c>
      <c r="E51" s="1"/>
      <c r="F51" s="5">
        <f t="shared" si="36"/>
        <v>3.9231662145703004E-3</v>
      </c>
      <c r="G51" s="1"/>
      <c r="H51" s="1">
        <f>SUM(OSRRefH22_8x_0)</f>
        <v>216.8</v>
      </c>
      <c r="I51" s="1"/>
      <c r="J51" s="5">
        <f t="shared" si="37"/>
        <v>4.1567302025178896E-3</v>
      </c>
      <c r="K51" s="1"/>
      <c r="L51" s="1">
        <f t="shared" si="38"/>
        <v>27.419999999999987</v>
      </c>
      <c r="M51" s="1"/>
      <c r="N51" s="5">
        <f t="shared" si="39"/>
        <v>0.12647601476014753</v>
      </c>
      <c r="O51" s="13"/>
      <c r="P51" s="1">
        <f>SUM(OSRRefP22_8x_0)</f>
        <v>807.76</v>
      </c>
      <c r="Q51" s="1"/>
      <c r="R51" s="5">
        <f t="shared" si="40"/>
        <v>6.0197017499210989E-3</v>
      </c>
      <c r="S51" s="1"/>
      <c r="T51" s="1">
        <f>SUM(OSRRefT22_8x_0)</f>
        <v>621.38</v>
      </c>
      <c r="U51" s="1"/>
      <c r="V51" s="5">
        <f t="shared" si="41"/>
        <v>5.1974978938331305E-3</v>
      </c>
      <c r="W51" s="1"/>
      <c r="X51" s="1">
        <f t="shared" si="42"/>
        <v>186.38</v>
      </c>
      <c r="Y51" s="1"/>
      <c r="Z51" s="5">
        <f t="shared" si="43"/>
        <v>0.299945283079597</v>
      </c>
    </row>
    <row r="52" spans="1:26" s="24" customFormat="1" hidden="1" outlineLevel="2" x14ac:dyDescent="0.25">
      <c r="A52" s="26"/>
      <c r="B52" s="11" t="str">
        <f>CONCATENATE("          ", "6282", " - ", "JANITORIAL/EXTERMINATOR EXPENS")</f>
        <v xml:space="preserve">          6282 - JANITORIAL/EXTERMINATOR EXPENS</v>
      </c>
      <c r="C52" s="11"/>
      <c r="D52" s="6"/>
      <c r="E52" s="2"/>
      <c r="F52" s="7">
        <f t="shared" si="36"/>
        <v>0</v>
      </c>
      <c r="G52" s="2"/>
      <c r="H52" s="6">
        <v>38.5</v>
      </c>
      <c r="I52" s="2"/>
      <c r="J52" s="7">
        <f t="shared" si="37"/>
        <v>7.3816472692314909E-4</v>
      </c>
      <c r="K52" s="2"/>
      <c r="L52" s="6">
        <f t="shared" si="38"/>
        <v>-38.5</v>
      </c>
      <c r="M52" s="2"/>
      <c r="N52" s="7">
        <f t="shared" si="39"/>
        <v>-1</v>
      </c>
      <c r="O52" s="11"/>
      <c r="P52" s="6">
        <v>41</v>
      </c>
      <c r="Q52" s="2"/>
      <c r="R52" s="7">
        <f t="shared" si="40"/>
        <v>3.0554591926657058E-4</v>
      </c>
      <c r="S52" s="2"/>
      <c r="T52" s="6">
        <v>77</v>
      </c>
      <c r="U52" s="2"/>
      <c r="V52" s="7">
        <f t="shared" si="41"/>
        <v>6.4406214848426247E-4</v>
      </c>
      <c r="W52" s="2"/>
      <c r="X52" s="6">
        <f t="shared" si="42"/>
        <v>-36</v>
      </c>
      <c r="Y52" s="2"/>
      <c r="Z52" s="7">
        <f t="shared" si="43"/>
        <v>-0.46753246753246752</v>
      </c>
    </row>
    <row r="53" spans="1:26" s="24" customFormat="1" hidden="1" outlineLevel="2" x14ac:dyDescent="0.25">
      <c r="A53" s="26"/>
      <c r="B53" s="11" t="str">
        <f>CONCATENATE("          ", "6285", " - ", "JANITORIAL SERVICES")</f>
        <v xml:space="preserve">          6285 - JANITORIAL SERVICES</v>
      </c>
      <c r="C53" s="11"/>
      <c r="D53" s="6">
        <v>22.62</v>
      </c>
      <c r="E53" s="2"/>
      <c r="F53" s="7">
        <f t="shared" si="36"/>
        <v>3.6336917440660141E-4</v>
      </c>
      <c r="G53" s="2"/>
      <c r="H53" s="6">
        <v>21</v>
      </c>
      <c r="I53" s="2"/>
      <c r="J53" s="7">
        <f t="shared" si="37"/>
        <v>4.0263530559444497E-4</v>
      </c>
      <c r="K53" s="2"/>
      <c r="L53" s="6">
        <f t="shared" si="38"/>
        <v>1.620000000000001</v>
      </c>
      <c r="M53" s="2"/>
      <c r="N53" s="7">
        <f t="shared" si="39"/>
        <v>7.7142857142857194E-2</v>
      </c>
      <c r="O53" s="11"/>
      <c r="P53" s="6">
        <v>90.48</v>
      </c>
      <c r="Q53" s="2"/>
      <c r="R53" s="7">
        <f t="shared" si="40"/>
        <v>6.7428767744486114E-4</v>
      </c>
      <c r="S53" s="2"/>
      <c r="T53" s="6">
        <v>84</v>
      </c>
      <c r="U53" s="2"/>
      <c r="V53" s="7">
        <f t="shared" si="41"/>
        <v>7.0261325289192272E-4</v>
      </c>
      <c r="W53" s="2"/>
      <c r="X53" s="6">
        <f t="shared" si="42"/>
        <v>6.480000000000004</v>
      </c>
      <c r="Y53" s="2"/>
      <c r="Z53" s="7">
        <f t="shared" si="43"/>
        <v>7.7142857142857194E-2</v>
      </c>
    </row>
    <row r="54" spans="1:26" s="24" customFormat="1" hidden="1" outlineLevel="2" x14ac:dyDescent="0.25">
      <c r="A54" s="26"/>
      <c r="B54" s="11" t="str">
        <f>CONCATENATE("          ", "6286", " - ", "LAUNDRY EXPENSE")</f>
        <v xml:space="preserve">          6286 - LAUNDRY EXPENSE</v>
      </c>
      <c r="C54" s="11"/>
      <c r="D54" s="6">
        <v>221.6</v>
      </c>
      <c r="E54" s="2"/>
      <c r="F54" s="7">
        <f t="shared" si="36"/>
        <v>3.5597970401636987E-3</v>
      </c>
      <c r="G54" s="2"/>
      <c r="H54" s="6">
        <v>157.30000000000001</v>
      </c>
      <c r="I54" s="2"/>
      <c r="J54" s="7">
        <f t="shared" si="37"/>
        <v>3.0159301700002951E-3</v>
      </c>
      <c r="K54" s="2"/>
      <c r="L54" s="6">
        <f t="shared" si="38"/>
        <v>64.299999999999983</v>
      </c>
      <c r="M54" s="2"/>
      <c r="N54" s="7">
        <f t="shared" si="39"/>
        <v>0.40877304513668139</v>
      </c>
      <c r="O54" s="11"/>
      <c r="P54" s="6">
        <v>676.28</v>
      </c>
      <c r="Q54" s="2"/>
      <c r="R54" s="7">
        <f t="shared" si="40"/>
        <v>5.0398681532096666E-3</v>
      </c>
      <c r="S54" s="2"/>
      <c r="T54" s="6">
        <v>460.38</v>
      </c>
      <c r="U54" s="2"/>
      <c r="V54" s="7">
        <f t="shared" si="41"/>
        <v>3.8508224924569449E-3</v>
      </c>
      <c r="W54" s="2"/>
      <c r="X54" s="6">
        <f t="shared" si="42"/>
        <v>215.89999999999998</v>
      </c>
      <c r="Y54" s="2"/>
      <c r="Z54" s="7">
        <f t="shared" si="43"/>
        <v>0.46896042399756716</v>
      </c>
    </row>
    <row r="55" spans="1:26" s="27" customFormat="1" outlineLevel="1" collapsed="1" x14ac:dyDescent="0.25">
      <c r="A55" s="25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SUM(OSRRefD22_9x_0)</f>
        <v>1446</v>
      </c>
      <c r="E55" s="1"/>
      <c r="F55" s="5">
        <f t="shared" ref="F55:F60" si="44">IF(D$12=0,0,D55/D$12)</f>
        <v>2.3228639531032078E-2</v>
      </c>
      <c r="G55" s="1"/>
      <c r="H55" s="1">
        <f>SUM(OSRRefH22_9x_0)</f>
        <v>508.28</v>
      </c>
      <c r="I55" s="1"/>
      <c r="J55" s="5">
        <f t="shared" ref="J55:J60" si="45">IF(H$12=0,0,H55/H$12)</f>
        <v>9.7453082441687853E-3</v>
      </c>
      <c r="K55" s="1"/>
      <c r="L55" s="1">
        <f t="shared" ref="L55:L60" si="46">+D55-H55</f>
        <v>937.72</v>
      </c>
      <c r="M55" s="1"/>
      <c r="N55" s="5">
        <f t="shared" ref="N55:N60" si="47">IF(H55=0,0,L55/H55)</f>
        <v>1.8448886440544583</v>
      </c>
      <c r="O55" s="13"/>
      <c r="P55" s="1">
        <f>SUM(OSRRefP22_9x_0)</f>
        <v>4939.62</v>
      </c>
      <c r="Q55" s="1"/>
      <c r="R55" s="5">
        <f t="shared" ref="R55:R60" si="48">IF(P$12=0,0,P55/P$12)</f>
        <v>3.6811725212866762E-2</v>
      </c>
      <c r="S55" s="1"/>
      <c r="T55" s="1">
        <f>SUM(OSRRefT22_9x_0)</f>
        <v>2341.8199999999997</v>
      </c>
      <c r="U55" s="1"/>
      <c r="V55" s="5">
        <f t="shared" ref="V55:V60" si="49">IF(T$12=0,0,T55/T$12)</f>
        <v>1.9588021046278121E-2</v>
      </c>
      <c r="W55" s="1"/>
      <c r="X55" s="1">
        <f t="shared" ref="X55:X60" si="50">+P55-T55</f>
        <v>2597.8000000000002</v>
      </c>
      <c r="Y55" s="1"/>
      <c r="Z55" s="5">
        <f t="shared" ref="Z55:Z60" si="51">IF(T55=0,0,X55/T55)</f>
        <v>1.1093081449470927</v>
      </c>
    </row>
    <row r="56" spans="1:26" s="24" customFormat="1" hidden="1" outlineLevel="2" x14ac:dyDescent="0.25">
      <c r="A56" s="26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44"/>
        <v>0</v>
      </c>
      <c r="G56" s="2"/>
      <c r="H56" s="6"/>
      <c r="I56" s="2"/>
      <c r="J56" s="7">
        <f t="shared" si="45"/>
        <v>0</v>
      </c>
      <c r="K56" s="2"/>
      <c r="L56" s="6">
        <f t="shared" si="46"/>
        <v>0</v>
      </c>
      <c r="M56" s="2"/>
      <c r="N56" s="7">
        <f t="shared" si="47"/>
        <v>0</v>
      </c>
      <c r="O56" s="11"/>
      <c r="P56" s="6">
        <v>354.71</v>
      </c>
      <c r="Q56" s="2"/>
      <c r="R56" s="7">
        <f t="shared" si="48"/>
        <v>2.6434193420254936E-3</v>
      </c>
      <c r="S56" s="2"/>
      <c r="T56" s="6"/>
      <c r="U56" s="2"/>
      <c r="V56" s="7">
        <f t="shared" si="49"/>
        <v>0</v>
      </c>
      <c r="W56" s="2"/>
      <c r="X56" s="6">
        <f t="shared" si="50"/>
        <v>354.71</v>
      </c>
      <c r="Y56" s="2"/>
      <c r="Z56" s="7">
        <f t="shared" si="51"/>
        <v>0</v>
      </c>
    </row>
    <row r="57" spans="1:26" s="24" customFormat="1" hidden="1" outlineLevel="2" x14ac:dyDescent="0.25">
      <c r="A57" s="26"/>
      <c r="B57" s="11" t="str">
        <f>CONCATENATE("          ", "6237", " - ", "JANITORIAL SUPPLIES")</f>
        <v xml:space="preserve">          6237 - JANITORIAL SUPPLIES</v>
      </c>
      <c r="C57" s="11"/>
      <c r="D57" s="6"/>
      <c r="E57" s="2"/>
      <c r="F57" s="7">
        <f t="shared" si="44"/>
        <v>0</v>
      </c>
      <c r="G57" s="2"/>
      <c r="H57" s="6"/>
      <c r="I57" s="2"/>
      <c r="J57" s="7">
        <f t="shared" si="45"/>
        <v>0</v>
      </c>
      <c r="K57" s="2"/>
      <c r="L57" s="6">
        <f t="shared" si="46"/>
        <v>0</v>
      </c>
      <c r="M57" s="2"/>
      <c r="N57" s="7">
        <f t="shared" si="47"/>
        <v>0</v>
      </c>
      <c r="O57" s="11"/>
      <c r="P57" s="6">
        <v>20.93</v>
      </c>
      <c r="Q57" s="2"/>
      <c r="R57" s="7">
        <f t="shared" si="48"/>
        <v>1.5597746561583713E-4</v>
      </c>
      <c r="S57" s="2"/>
      <c r="T57" s="6">
        <v>18.88</v>
      </c>
      <c r="U57" s="2"/>
      <c r="V57" s="7">
        <f t="shared" si="49"/>
        <v>1.5792069303094644E-4</v>
      </c>
      <c r="W57" s="2"/>
      <c r="X57" s="6">
        <f t="shared" si="50"/>
        <v>2.0500000000000007</v>
      </c>
      <c r="Y57" s="2"/>
      <c r="Z57" s="7">
        <f t="shared" si="51"/>
        <v>0.10858050847457631</v>
      </c>
    </row>
    <row r="58" spans="1:26" s="24" customFormat="1" hidden="1" outlineLevel="2" x14ac:dyDescent="0.25">
      <c r="A58" s="26"/>
      <c r="B58" s="11" t="str">
        <f>CONCATENATE("          ", "6243", " - ", "PAPER SUPPLIES")</f>
        <v xml:space="preserve">          6243 - PAPER SUPPLIES</v>
      </c>
      <c r="C58" s="11"/>
      <c r="D58" s="6"/>
      <c r="E58" s="2"/>
      <c r="F58" s="7">
        <f t="shared" si="44"/>
        <v>0</v>
      </c>
      <c r="G58" s="2"/>
      <c r="H58" s="6"/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/>
      <c r="Q58" s="2"/>
      <c r="R58" s="7">
        <f t="shared" si="48"/>
        <v>0</v>
      </c>
      <c r="S58" s="2"/>
      <c r="T58" s="6">
        <v>45.85</v>
      </c>
      <c r="U58" s="2"/>
      <c r="V58" s="7">
        <f t="shared" si="49"/>
        <v>3.8350973387017451E-4</v>
      </c>
      <c r="W58" s="2"/>
      <c r="X58" s="6">
        <f t="shared" si="50"/>
        <v>-45.85</v>
      </c>
      <c r="Y58" s="2"/>
      <c r="Z58" s="7">
        <f t="shared" si="51"/>
        <v>-1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6">
        <v>1446</v>
      </c>
      <c r="E59" s="2"/>
      <c r="F59" s="7">
        <f t="shared" si="44"/>
        <v>2.3228639531032078E-2</v>
      </c>
      <c r="G59" s="2"/>
      <c r="H59" s="6">
        <v>508.28</v>
      </c>
      <c r="I59" s="2"/>
      <c r="J59" s="7">
        <f t="shared" si="45"/>
        <v>9.7453082441687853E-3</v>
      </c>
      <c r="K59" s="2"/>
      <c r="L59" s="6">
        <f t="shared" si="46"/>
        <v>937.72</v>
      </c>
      <c r="M59" s="2"/>
      <c r="N59" s="7">
        <f t="shared" si="47"/>
        <v>1.8448886440544583</v>
      </c>
      <c r="O59" s="11"/>
      <c r="P59" s="6">
        <v>4563.9799999999996</v>
      </c>
      <c r="Q59" s="2"/>
      <c r="R59" s="7">
        <f t="shared" si="48"/>
        <v>3.4012328405225431E-2</v>
      </c>
      <c r="S59" s="2"/>
      <c r="T59" s="6">
        <v>2089.2199999999998</v>
      </c>
      <c r="U59" s="2"/>
      <c r="V59" s="7">
        <f t="shared" si="49"/>
        <v>1.7475162621510269E-2</v>
      </c>
      <c r="W59" s="2"/>
      <c r="X59" s="6">
        <f t="shared" si="50"/>
        <v>2474.7599999999998</v>
      </c>
      <c r="Y59" s="2"/>
      <c r="Z59" s="7">
        <f t="shared" si="51"/>
        <v>1.1845377700768709</v>
      </c>
    </row>
    <row r="60" spans="1:26" s="24" customFormat="1" hidden="1" outlineLevel="2" x14ac:dyDescent="0.25">
      <c r="A60" s="26"/>
      <c r="B60" s="11" t="str">
        <f>CONCATENATE("          ", "6248", " - ", "UNIFORMS")</f>
        <v xml:space="preserve">          6248 - UNIFORMS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187.87</v>
      </c>
      <c r="U60" s="2"/>
      <c r="V60" s="7">
        <f t="shared" si="49"/>
        <v>1.5714279978667324E-3</v>
      </c>
      <c r="W60" s="2"/>
      <c r="X60" s="6">
        <f t="shared" si="50"/>
        <v>-187.87</v>
      </c>
      <c r="Y60" s="2"/>
      <c r="Z60" s="7">
        <f t="shared" si="51"/>
        <v>-1</v>
      </c>
    </row>
    <row r="61" spans="1:26" s="27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52.5</v>
      </c>
      <c r="E61" s="1"/>
      <c r="F61" s="5">
        <f t="shared" ref="F61:F64" si="52">IF(D$12=0,0,D61/D$12)</f>
        <v>8.4336346845033481E-4</v>
      </c>
      <c r="G61" s="1"/>
      <c r="H61" s="1">
        <f>SUM(OSRRefH22_10x_0)</f>
        <v>52.5</v>
      </c>
      <c r="I61" s="1"/>
      <c r="J61" s="5">
        <f t="shared" ref="J61:J64" si="53">IF(H$12=0,0,H61/H$12)</f>
        <v>1.0065882639861124E-3</v>
      </c>
      <c r="K61" s="1"/>
      <c r="L61" s="1">
        <f t="shared" ref="L61:L64" si="54">+D61-H61</f>
        <v>0</v>
      </c>
      <c r="M61" s="1"/>
      <c r="N61" s="5">
        <f t="shared" ref="N61:N64" si="55">IF(H61=0,0,L61/H61)</f>
        <v>0</v>
      </c>
      <c r="O61" s="13"/>
      <c r="P61" s="1">
        <f>SUM(OSRRefP22_10x_0)</f>
        <v>225</v>
      </c>
      <c r="Q61" s="1"/>
      <c r="R61" s="5">
        <f t="shared" ref="R61:R64" si="56">IF(P$12=0,0,P61/P$12)</f>
        <v>1.676776386218985E-3</v>
      </c>
      <c r="S61" s="1"/>
      <c r="T61" s="1">
        <f>SUM(OSRRefT22_10x_0)</f>
        <v>210</v>
      </c>
      <c r="U61" s="1"/>
      <c r="V61" s="5">
        <f t="shared" ref="V61:V64" si="57">IF(T$12=0,0,T61/T$12)</f>
        <v>1.7565331322298068E-3</v>
      </c>
      <c r="W61" s="1"/>
      <c r="X61" s="1">
        <f t="shared" ref="X61:X64" si="58">+P61-T61</f>
        <v>15</v>
      </c>
      <c r="Y61" s="1"/>
      <c r="Z61" s="5">
        <f t="shared" ref="Z61:Z64" si="59">IF(T61=0,0,X61/T61)</f>
        <v>7.1428571428571425E-2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52.5</v>
      </c>
      <c r="E62" s="2"/>
      <c r="F62" s="7">
        <f t="shared" si="52"/>
        <v>8.4336346845033481E-4</v>
      </c>
      <c r="G62" s="2"/>
      <c r="H62" s="6">
        <v>52.5</v>
      </c>
      <c r="I62" s="2"/>
      <c r="J62" s="7">
        <f t="shared" si="53"/>
        <v>1.0065882639861124E-3</v>
      </c>
      <c r="K62" s="2"/>
      <c r="L62" s="6">
        <f t="shared" si="54"/>
        <v>0</v>
      </c>
      <c r="M62" s="2"/>
      <c r="N62" s="7">
        <f t="shared" si="55"/>
        <v>0</v>
      </c>
      <c r="O62" s="11"/>
      <c r="P62" s="6">
        <v>225</v>
      </c>
      <c r="Q62" s="2"/>
      <c r="R62" s="7">
        <f t="shared" si="56"/>
        <v>1.676776386218985E-3</v>
      </c>
      <c r="S62" s="2"/>
      <c r="T62" s="6">
        <v>210</v>
      </c>
      <c r="U62" s="2"/>
      <c r="V62" s="7">
        <f t="shared" si="57"/>
        <v>1.7565331322298068E-3</v>
      </c>
      <c r="W62" s="2"/>
      <c r="X62" s="6">
        <f t="shared" si="58"/>
        <v>15</v>
      </c>
      <c r="Y62" s="2"/>
      <c r="Z62" s="7">
        <f t="shared" si="59"/>
        <v>7.1428571428571425E-2</v>
      </c>
    </row>
    <row r="63" spans="1:26" s="27" customFormat="1" outlineLevel="1" collapsed="1" x14ac:dyDescent="0.25">
      <c r="A63" s="25"/>
      <c r="B63" s="13" t="str">
        <f>CONCATENATE("     ","Utilities                                         ")</f>
        <v xml:space="preserve">     Utilities                                         </v>
      </c>
      <c r="C63" s="13"/>
      <c r="D63" s="1">
        <f>SUM(OSRRefD22_11x_0)</f>
        <v>52</v>
      </c>
      <c r="E63" s="1"/>
      <c r="F63" s="5">
        <f t="shared" si="52"/>
        <v>8.3533143541747446E-4</v>
      </c>
      <c r="G63" s="1"/>
      <c r="H63" s="1">
        <f>SUM(OSRRefH22_11x_0)</f>
        <v>267</v>
      </c>
      <c r="I63" s="1"/>
      <c r="J63" s="5">
        <f t="shared" si="53"/>
        <v>5.1192203139865146E-3</v>
      </c>
      <c r="K63" s="1"/>
      <c r="L63" s="1">
        <f t="shared" si="54"/>
        <v>-215</v>
      </c>
      <c r="M63" s="1"/>
      <c r="N63" s="5">
        <f t="shared" si="55"/>
        <v>-0.80524344569288386</v>
      </c>
      <c r="O63" s="13"/>
      <c r="P63" s="1">
        <f>SUM(OSRRefP22_11x_0)</f>
        <v>-798.88</v>
      </c>
      <c r="Q63" s="1"/>
      <c r="R63" s="5">
        <f t="shared" si="56"/>
        <v>-5.9535249752116562E-3</v>
      </c>
      <c r="S63" s="1"/>
      <c r="T63" s="1">
        <f>SUM(OSRRefT22_11x_0)</f>
        <v>165.22</v>
      </c>
      <c r="U63" s="1"/>
      <c r="V63" s="5">
        <f t="shared" si="57"/>
        <v>1.3819733528905175E-3</v>
      </c>
      <c r="W63" s="1"/>
      <c r="X63" s="1">
        <f t="shared" si="58"/>
        <v>-964.1</v>
      </c>
      <c r="Y63" s="1"/>
      <c r="Z63" s="5">
        <f t="shared" si="59"/>
        <v>-5.8352499697373199</v>
      </c>
    </row>
    <row r="64" spans="1:26" s="24" customFormat="1" hidden="1" outlineLevel="2" x14ac:dyDescent="0.25">
      <c r="A64" s="26"/>
      <c r="B64" s="11" t="str">
        <f>CONCATENATE("          ", "6274", " - ", "UTILITIES")</f>
        <v xml:space="preserve">          6274 - UTILITIES</v>
      </c>
      <c r="C64" s="11"/>
      <c r="D64" s="6">
        <v>52</v>
      </c>
      <c r="E64" s="2"/>
      <c r="F64" s="7">
        <f t="shared" si="52"/>
        <v>8.3533143541747446E-4</v>
      </c>
      <c r="G64" s="2"/>
      <c r="H64" s="6">
        <v>267</v>
      </c>
      <c r="I64" s="2"/>
      <c r="J64" s="7">
        <f t="shared" si="53"/>
        <v>5.1192203139865146E-3</v>
      </c>
      <c r="K64" s="2"/>
      <c r="L64" s="6">
        <f t="shared" si="54"/>
        <v>-215</v>
      </c>
      <c r="M64" s="2"/>
      <c r="N64" s="7">
        <f t="shared" si="55"/>
        <v>-0.80524344569288386</v>
      </c>
      <c r="O64" s="11"/>
      <c r="P64" s="6">
        <v>-798.88</v>
      </c>
      <c r="Q64" s="2"/>
      <c r="R64" s="7">
        <f t="shared" si="56"/>
        <v>-5.9535249752116562E-3</v>
      </c>
      <c r="S64" s="2"/>
      <c r="T64" s="6">
        <v>165.22</v>
      </c>
      <c r="U64" s="2"/>
      <c r="V64" s="7">
        <f t="shared" si="57"/>
        <v>1.3819733528905175E-3</v>
      </c>
      <c r="W64" s="2"/>
      <c r="X64" s="6">
        <f t="shared" si="58"/>
        <v>-964.1</v>
      </c>
      <c r="Y64" s="2"/>
      <c r="Z64" s="7">
        <f t="shared" si="59"/>
        <v>-5.8352499697373199</v>
      </c>
    </row>
    <row r="65" spans="1:26" s="55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9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8" t="s">
        <v>3</v>
      </c>
      <c r="C68" s="28"/>
      <c r="D68" s="21">
        <f>+D20-D22+D66</f>
        <v>14189.180000000004</v>
      </c>
      <c r="E68" s="14"/>
      <c r="F68" s="22">
        <f>IF(D$12=0,0,D68/D$12)</f>
        <v>0.2279359249384024</v>
      </c>
      <c r="G68" s="14"/>
      <c r="H68" s="21">
        <f>+H20-H22+H66</f>
        <v>17141.230000000003</v>
      </c>
      <c r="I68" s="14"/>
      <c r="J68" s="22">
        <f>IF(H$12=0,0,H68/H$12)</f>
        <v>0.32865068472926995</v>
      </c>
      <c r="K68" s="16"/>
      <c r="L68" s="21">
        <f>+D68-H68</f>
        <v>-2952.0499999999993</v>
      </c>
      <c r="M68" s="16"/>
      <c r="N68" s="22">
        <f>IF(H68=0,0,L68/H68)</f>
        <v>-0.17221926314506011</v>
      </c>
      <c r="O68" s="29"/>
      <c r="P68" s="21">
        <f>+P20-P22+P66</f>
        <v>15243.96</v>
      </c>
      <c r="Q68" s="14"/>
      <c r="R68" s="22">
        <f>IF(P$12=0,0,P68/P$12)</f>
        <v>0.11360316515763003</v>
      </c>
      <c r="S68" s="14"/>
      <c r="T68" s="21">
        <f>+T20-T22+T66</f>
        <v>32180.489999999991</v>
      </c>
      <c r="U68" s="14"/>
      <c r="V68" s="22">
        <f>IF(T$12=0,0,T68/T$12)</f>
        <v>0.26917188998280933</v>
      </c>
      <c r="W68" s="16"/>
      <c r="X68" s="21">
        <f>+P68-T68</f>
        <v>-16936.529999999992</v>
      </c>
      <c r="Y68" s="16"/>
      <c r="Z68" s="22">
        <f>IF(T68=0,0,X68/T68)</f>
        <v>-0.52629807687825747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5780.7</v>
      </c>
      <c r="E70" s="4"/>
      <c r="F70" s="12">
        <f>IF(D$12=0,0,D70/D$12)</f>
        <v>9.2861546706111436E-2</v>
      </c>
      <c r="G70" s="4"/>
      <c r="H70" s="4">
        <v>4991.72</v>
      </c>
      <c r="I70" s="4"/>
      <c r="J70" s="12">
        <f>IF(H$12=0,0,H70/H$12)</f>
        <v>9.5706795601995381E-2</v>
      </c>
      <c r="K70" s="4"/>
      <c r="L70" s="4">
        <f>+D70-H70</f>
        <v>788.97999999999956</v>
      </c>
      <c r="M70" s="4"/>
      <c r="N70" s="12">
        <f>IF(H70=0,0,L70/H70)</f>
        <v>0.15805774362344033</v>
      </c>
      <c r="O70" s="10"/>
      <c r="P70" s="4">
        <v>13507.51</v>
      </c>
      <c r="Q70" s="4"/>
      <c r="R70" s="12">
        <f>IF(P$12=0,0,P70/P$12)</f>
        <v>0.10066255024274134</v>
      </c>
      <c r="S70" s="4"/>
      <c r="T70" s="4">
        <v>10979.78</v>
      </c>
      <c r="U70" s="4"/>
      <c r="V70" s="12">
        <f>IF(T$12=0,0,T70/T$12)</f>
        <v>9.1839749307591381E-2</v>
      </c>
      <c r="W70" s="4"/>
      <c r="X70" s="4">
        <f>+P70-T70</f>
        <v>2527.7299999999996</v>
      </c>
      <c r="Y70" s="4"/>
      <c r="Z70" s="12">
        <f>IF(T70=0,0,X70/T70)</f>
        <v>0.23021681673038979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4</v>
      </c>
      <c r="C72" s="28"/>
      <c r="D72" s="31">
        <f>+D68-D70</f>
        <v>8408.4800000000032</v>
      </c>
      <c r="E72" s="14"/>
      <c r="F72" s="34">
        <f>IF(D$12=0,0,D72/D$12)</f>
        <v>0.13507437823229093</v>
      </c>
      <c r="G72" s="14"/>
      <c r="H72" s="31">
        <f>+H68-H70</f>
        <v>12149.510000000002</v>
      </c>
      <c r="I72" s="14"/>
      <c r="J72" s="34">
        <f>IF(H$12=0,0,H72/H$12)</f>
        <v>0.23294388912727457</v>
      </c>
      <c r="K72" s="16"/>
      <c r="L72" s="31">
        <f>D72-H72</f>
        <v>-3741.0299999999988</v>
      </c>
      <c r="M72" s="16"/>
      <c r="N72" s="34">
        <f>IF(H72=0,0,L72/H72)</f>
        <v>-0.30791612172013505</v>
      </c>
      <c r="O72" s="29"/>
      <c r="P72" s="31">
        <f>+P68-P70</f>
        <v>1736.4499999999989</v>
      </c>
      <c r="Q72" s="14"/>
      <c r="R72" s="34">
        <f>IF(P$12=0,0,P72/P$12)</f>
        <v>1.2940614914888687E-2</v>
      </c>
      <c r="S72" s="14"/>
      <c r="T72" s="31">
        <f>+T68-T70</f>
        <v>21200.709999999992</v>
      </c>
      <c r="U72" s="14"/>
      <c r="V72" s="34">
        <f>IF(T$12=0,0,T72/T$12)</f>
        <v>0.17733214067521796</v>
      </c>
      <c r="W72" s="16"/>
      <c r="X72" s="31">
        <f>P72-T72</f>
        <v>-19464.259999999995</v>
      </c>
      <c r="Y72" s="16"/>
      <c r="Z72" s="34">
        <f>IF(T72=0,0,X72/T72)</f>
        <v>-0.91809472418612403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5</v>
      </c>
      <c r="C75" s="28"/>
      <c r="D75" s="36">
        <f>SUM(D72:D74)</f>
        <v>8408.4800000000032</v>
      </c>
      <c r="E75" s="14"/>
      <c r="F75" s="33">
        <f>IF(D$12=0,0,D75/D$12)</f>
        <v>0.13507437823229093</v>
      </c>
      <c r="G75" s="14"/>
      <c r="H75" s="36">
        <f>SUM(H72:H74)</f>
        <v>12149.510000000002</v>
      </c>
      <c r="I75" s="14"/>
      <c r="J75" s="33">
        <f>IF(H$12=0,0,H75/H$12)</f>
        <v>0.23294388912727457</v>
      </c>
      <c r="K75" s="16"/>
      <c r="L75" s="36">
        <f>+D75-H75</f>
        <v>-3741.0299999999988</v>
      </c>
      <c r="M75" s="16"/>
      <c r="N75" s="33">
        <f>IF(H75=0,0,L75/H75)</f>
        <v>-0.30791612172013505</v>
      </c>
      <c r="O75" s="29"/>
      <c r="P75" s="36">
        <f>SUM(P72:P74)</f>
        <v>1736.4499999999989</v>
      </c>
      <c r="Q75" s="14"/>
      <c r="R75" s="33">
        <f>IF(P$12=0,0,P75/P$12)</f>
        <v>1.2940614914888687E-2</v>
      </c>
      <c r="S75" s="14"/>
      <c r="T75" s="36">
        <f>SUM(T72:T74)</f>
        <v>21200.709999999992</v>
      </c>
      <c r="U75" s="14"/>
      <c r="V75" s="33">
        <f>IF(T$12=0,0,T75/T$12)</f>
        <v>0.17733214067521796</v>
      </c>
      <c r="W75" s="16"/>
      <c r="X75" s="36">
        <f>+P75-T75</f>
        <v>-19464.259999999995</v>
      </c>
      <c r="Y75" s="16"/>
      <c r="Z75" s="33">
        <f>IF(T75=0,0,X75/T75)</f>
        <v>-0.91809472418612403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61">
        <v>43791.355408530093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6" t="s">
        <v>313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7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","322", " - ", "Beach Hut")</f>
        <v>Department 322 - Beach Hut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160518.82</v>
      </c>
      <c r="E12" s="4"/>
      <c r="F12" s="12"/>
      <c r="G12" s="4"/>
      <c r="H12" s="4">
        <f>SUM(OSRRefH13x_0)</f>
        <v>146398.81</v>
      </c>
      <c r="I12" s="4"/>
      <c r="J12" s="12"/>
      <c r="K12" s="4"/>
      <c r="L12" s="4">
        <f t="shared" ref="L12:L14" si="0">+D12-H12</f>
        <v>14120.010000000009</v>
      </c>
      <c r="M12" s="4"/>
      <c r="N12" s="12">
        <f t="shared" ref="N12:N14" si="1">IF(H12=0,0,L12/H12)</f>
        <v>9.6448939714742277E-2</v>
      </c>
      <c r="O12" s="10"/>
      <c r="P12" s="4">
        <f>SUM(OSRRefP13x_0)</f>
        <v>322630.39</v>
      </c>
      <c r="Q12" s="4"/>
      <c r="R12" s="12"/>
      <c r="S12" s="4"/>
      <c r="T12" s="4">
        <f>SUM(OSRRefT13x_0)</f>
        <v>305990.78000000003</v>
      </c>
      <c r="U12" s="4"/>
      <c r="V12" s="12"/>
      <c r="W12" s="4"/>
      <c r="X12" s="4">
        <f t="shared" ref="X12:X14" si="2">+P12-T12</f>
        <v>16639.609999999986</v>
      </c>
      <c r="Y12" s="4"/>
      <c r="Z12" s="12">
        <f t="shared" ref="Z12:Z14" si="3">IF(T12=0,0,X12/T12)</f>
        <v>5.4379448949409472E-2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--19988.01</f>
        <v>19988.009999999998</v>
      </c>
      <c r="E13" s="2"/>
      <c r="F13" s="19"/>
      <c r="G13" s="2"/>
      <c r="H13" s="2">
        <f>--24016.79</f>
        <v>24016.79</v>
      </c>
      <c r="I13" s="2"/>
      <c r="J13" s="19"/>
      <c r="K13" s="2"/>
      <c r="L13" s="2">
        <f t="shared" si="0"/>
        <v>-4028.7800000000025</v>
      </c>
      <c r="M13" s="2"/>
      <c r="N13" s="19">
        <f t="shared" si="1"/>
        <v>-0.16774847929302802</v>
      </c>
      <c r="O13" s="11"/>
      <c r="P13" s="2">
        <f>--43246.11</f>
        <v>43246.11</v>
      </c>
      <c r="Q13" s="2"/>
      <c r="R13" s="19"/>
      <c r="S13" s="2"/>
      <c r="T13" s="2">
        <f>--54892.8</f>
        <v>54892.800000000003</v>
      </c>
      <c r="U13" s="2"/>
      <c r="V13" s="19"/>
      <c r="W13" s="2"/>
      <c r="X13" s="2">
        <f t="shared" si="2"/>
        <v>-11646.690000000002</v>
      </c>
      <c r="Y13" s="2"/>
      <c r="Z13" s="19">
        <f t="shared" si="3"/>
        <v>-0.2121715416229451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--140530.81</f>
        <v>140530.81</v>
      </c>
      <c r="E14" s="2"/>
      <c r="F14" s="19"/>
      <c r="G14" s="2"/>
      <c r="H14" s="2">
        <f>--122382.02</f>
        <v>122382.02</v>
      </c>
      <c r="I14" s="2"/>
      <c r="J14" s="19"/>
      <c r="K14" s="2"/>
      <c r="L14" s="2">
        <f t="shared" si="0"/>
        <v>18148.789999999994</v>
      </c>
      <c r="M14" s="2"/>
      <c r="N14" s="19">
        <f t="shared" si="1"/>
        <v>0.14829621213965902</v>
      </c>
      <c r="O14" s="11"/>
      <c r="P14" s="2">
        <f>--279384.28</f>
        <v>279384.28000000003</v>
      </c>
      <c r="Q14" s="2"/>
      <c r="R14" s="19"/>
      <c r="S14" s="2"/>
      <c r="T14" s="2">
        <f>--251097.98</f>
        <v>251097.98</v>
      </c>
      <c r="U14" s="2"/>
      <c r="V14" s="19"/>
      <c r="W14" s="2"/>
      <c r="X14" s="2">
        <f t="shared" si="2"/>
        <v>28286.300000000017</v>
      </c>
      <c r="Y14" s="2"/>
      <c r="Z14" s="19">
        <f t="shared" si="3"/>
        <v>0.11265044824335113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83981.89</v>
      </c>
      <c r="E16" s="4"/>
      <c r="F16" s="12">
        <f t="shared" ref="F16:F18" si="4">IF(D$12=0,0,D16/D$12)</f>
        <v>0.52319030254520926</v>
      </c>
      <c r="G16" s="4"/>
      <c r="H16" s="4">
        <f>SUM(OSRRefH16x_0)</f>
        <v>71473.799999999988</v>
      </c>
      <c r="I16" s="4"/>
      <c r="J16" s="12">
        <f t="shared" ref="J16:J18" si="5">IF(H$12=0,0,H16/H$12)</f>
        <v>0.48821298479133807</v>
      </c>
      <c r="K16" s="4"/>
      <c r="L16" s="4">
        <f t="shared" ref="L16:L18" si="6">+D16-H16</f>
        <v>12508.090000000011</v>
      </c>
      <c r="M16" s="4"/>
      <c r="N16" s="12">
        <f t="shared" ref="N16:N18" si="7">IF(H16=0,0,L16/H16)</f>
        <v>0.17500244844964186</v>
      </c>
      <c r="O16" s="10"/>
      <c r="P16" s="4">
        <f>SUM(OSRRefP16x_0)</f>
        <v>164482.16</v>
      </c>
      <c r="Q16" s="4"/>
      <c r="R16" s="12">
        <f t="shared" ref="R16:R18" si="8">IF(P$12=0,0,P16/P$12)</f>
        <v>0.50981607777246274</v>
      </c>
      <c r="S16" s="4"/>
      <c r="T16" s="4">
        <f>SUM(OSRRefT16x_0)</f>
        <v>145156.06999999998</v>
      </c>
      <c r="U16" s="4"/>
      <c r="V16" s="12">
        <f t="shared" ref="V16:V18" si="9">IF(T$12=0,0,T16/T$12)</f>
        <v>0.47438053525665042</v>
      </c>
      <c r="W16" s="4"/>
      <c r="X16" s="4">
        <f t="shared" ref="X16:X18" si="10">+P16-T16</f>
        <v>19326.090000000026</v>
      </c>
      <c r="Y16" s="4"/>
      <c r="Z16" s="12">
        <f t="shared" ref="Z16:Z18" si="11">IF(T16=0,0,X16/T16)</f>
        <v>0.13314007467961916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80257.929999999993</v>
      </c>
      <c r="E17" s="2"/>
      <c r="F17" s="19">
        <f t="shared" si="4"/>
        <v>0.49999077989733531</v>
      </c>
      <c r="G17" s="2"/>
      <c r="H17" s="2">
        <v>65599.87</v>
      </c>
      <c r="I17" s="2"/>
      <c r="J17" s="19">
        <f t="shared" si="5"/>
        <v>0.44809018597897071</v>
      </c>
      <c r="K17" s="2"/>
      <c r="L17" s="2">
        <f t="shared" si="6"/>
        <v>14658.059999999998</v>
      </c>
      <c r="M17" s="2"/>
      <c r="N17" s="19">
        <f t="shared" si="7"/>
        <v>0.22344647939088902</v>
      </c>
      <c r="O17" s="11"/>
      <c r="P17" s="2">
        <v>181640.14</v>
      </c>
      <c r="Q17" s="2"/>
      <c r="R17" s="19">
        <f t="shared" si="8"/>
        <v>0.56299761470083465</v>
      </c>
      <c r="S17" s="2"/>
      <c r="T17" s="2">
        <v>161783.76999999999</v>
      </c>
      <c r="U17" s="2"/>
      <c r="V17" s="19">
        <f t="shared" si="9"/>
        <v>0.52872106146466236</v>
      </c>
      <c r="W17" s="2"/>
      <c r="X17" s="2">
        <f t="shared" si="10"/>
        <v>19856.370000000024</v>
      </c>
      <c r="Y17" s="2"/>
      <c r="Z17" s="19">
        <f t="shared" si="11"/>
        <v>0.12273400477686992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3723.96</v>
      </c>
      <c r="E18" s="2"/>
      <c r="F18" s="19">
        <f t="shared" si="4"/>
        <v>2.3199522647873939E-2</v>
      </c>
      <c r="G18" s="2"/>
      <c r="H18" s="2">
        <v>5873.93</v>
      </c>
      <c r="I18" s="2"/>
      <c r="J18" s="19">
        <f t="shared" si="5"/>
        <v>4.0122798812367397E-2</v>
      </c>
      <c r="K18" s="2"/>
      <c r="L18" s="2">
        <f t="shared" si="6"/>
        <v>-2149.9700000000003</v>
      </c>
      <c r="M18" s="2"/>
      <c r="N18" s="19">
        <f t="shared" si="7"/>
        <v>-0.36601900260983705</v>
      </c>
      <c r="O18" s="11"/>
      <c r="P18" s="2">
        <v>-17157.98</v>
      </c>
      <c r="Q18" s="2"/>
      <c r="R18" s="19">
        <f t="shared" si="8"/>
        <v>-5.3181536928371811E-2</v>
      </c>
      <c r="S18" s="2"/>
      <c r="T18" s="2">
        <v>-16627.7</v>
      </c>
      <c r="U18" s="2"/>
      <c r="V18" s="19">
        <f t="shared" si="9"/>
        <v>-5.4340526208011886E-2</v>
      </c>
      <c r="W18" s="2"/>
      <c r="X18" s="2">
        <f t="shared" si="10"/>
        <v>-530.27999999999884</v>
      </c>
      <c r="Y18" s="2"/>
      <c r="Z18" s="19">
        <f t="shared" si="11"/>
        <v>3.1891362004366139E-2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76536.930000000008</v>
      </c>
      <c r="E20" s="14"/>
      <c r="F20" s="22">
        <f>IF(D$12=0,0,D20/D$12)</f>
        <v>0.47680969745479068</v>
      </c>
      <c r="G20" s="14"/>
      <c r="H20" s="21">
        <f>H12-H16</f>
        <v>74925.010000000009</v>
      </c>
      <c r="I20" s="14"/>
      <c r="J20" s="22">
        <f>IF(H$12=0,0,H20/H$12)</f>
        <v>0.51178701520866199</v>
      </c>
      <c r="K20" s="16"/>
      <c r="L20" s="21">
        <f>+D20-H20</f>
        <v>1611.9199999999983</v>
      </c>
      <c r="M20" s="16"/>
      <c r="N20" s="22">
        <f>IF(H20=0,0,L20/H20)</f>
        <v>2.1513777575738701E-2</v>
      </c>
      <c r="O20" s="29"/>
      <c r="P20" s="21">
        <f>P12-P16</f>
        <v>158148.23000000001</v>
      </c>
      <c r="Q20" s="14"/>
      <c r="R20" s="22">
        <f>IF(P$12=0,0,P20/P$12)</f>
        <v>0.49018392222753721</v>
      </c>
      <c r="S20" s="14"/>
      <c r="T20" s="21">
        <f>T12-T16</f>
        <v>160834.71000000005</v>
      </c>
      <c r="U20" s="14"/>
      <c r="V20" s="22">
        <f>IF(T$12=0,0,T20/T$12)</f>
        <v>0.52561946474334953</v>
      </c>
      <c r="W20" s="16"/>
      <c r="X20" s="21">
        <f>+P20-T20</f>
        <v>-2686.4800000000396</v>
      </c>
      <c r="Y20" s="16"/>
      <c r="Z20" s="22">
        <f>IF(T20=0,0,X20/T20)</f>
        <v>-1.6703359616839168E-2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40200.589999999997</v>
      </c>
      <c r="E22" s="20"/>
      <c r="F22" s="35">
        <f t="shared" ref="F22:F31" si="12">IF(D$12=0,0,D22/D$12)</f>
        <v>0.25044159930904047</v>
      </c>
      <c r="G22" s="20"/>
      <c r="H22" s="20">
        <f>SUM(OSRRefH22x_0)</f>
        <v>36762.909999999996</v>
      </c>
      <c r="I22" s="20"/>
      <c r="J22" s="35">
        <f t="shared" ref="J22:J31" si="13">IF(H$12=0,0,H22/H$12)</f>
        <v>0.2511148143895432</v>
      </c>
      <c r="K22" s="4"/>
      <c r="L22" s="20">
        <f t="shared" ref="L22:L31" si="14">+D22-H22</f>
        <v>3437.6800000000003</v>
      </c>
      <c r="M22" s="4"/>
      <c r="N22" s="35">
        <f t="shared" ref="N22:N31" si="15">IF(H22=0,0,L22/H22)</f>
        <v>9.3509463750285293E-2</v>
      </c>
      <c r="O22" s="10"/>
      <c r="P22" s="20">
        <f>SUM(OSRRefP22x_0)</f>
        <v>116335.38000000002</v>
      </c>
      <c r="Q22" s="20"/>
      <c r="R22" s="35">
        <f t="shared" ref="R22:R31" si="16">IF(P$12=0,0,P22/P$12)</f>
        <v>0.3605840726907345</v>
      </c>
      <c r="S22" s="20"/>
      <c r="T22" s="20">
        <f>SUM(OSRRefT22x_0)</f>
        <v>105037.33</v>
      </c>
      <c r="U22" s="20"/>
      <c r="V22" s="35">
        <f t="shared" ref="V22:V31" si="17">IF(T$12=0,0,T22/T$12)</f>
        <v>0.34326959132559481</v>
      </c>
      <c r="W22" s="4"/>
      <c r="X22" s="20">
        <f t="shared" ref="X22:X31" si="18">+P22-T22</f>
        <v>11298.050000000017</v>
      </c>
      <c r="Y22" s="4"/>
      <c r="Z22" s="35">
        <f t="shared" ref="Z22:Z31" si="19">IF(T22=0,0,X22/T22)</f>
        <v>0.10756223525483766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2591.04</v>
      </c>
      <c r="E23" s="1"/>
      <c r="F23" s="5">
        <f t="shared" si="12"/>
        <v>1.6141658654106727E-2</v>
      </c>
      <c r="G23" s="1"/>
      <c r="H23" s="1">
        <f>SUM(OSRRefH22_0x_0)</f>
        <v>3225.56</v>
      </c>
      <c r="I23" s="1"/>
      <c r="J23" s="5">
        <f t="shared" si="13"/>
        <v>2.2032692752079065E-2</v>
      </c>
      <c r="K23" s="1"/>
      <c r="L23" s="1">
        <f t="shared" si="14"/>
        <v>-634.52</v>
      </c>
      <c r="M23" s="1"/>
      <c r="N23" s="5">
        <f t="shared" si="15"/>
        <v>-0.19671622911990475</v>
      </c>
      <c r="O23" s="13"/>
      <c r="P23" s="1">
        <f>SUM(OSRRefP22_0x_0)</f>
        <v>9777.82</v>
      </c>
      <c r="Q23" s="1"/>
      <c r="R23" s="5">
        <f t="shared" si="16"/>
        <v>3.0306568454385216E-2</v>
      </c>
      <c r="S23" s="1"/>
      <c r="T23" s="1">
        <f>SUM(OSRRefT22_0x_0)</f>
        <v>9507.34</v>
      </c>
      <c r="U23" s="1"/>
      <c r="V23" s="5">
        <f t="shared" si="17"/>
        <v>3.1070674743859928E-2</v>
      </c>
      <c r="W23" s="1"/>
      <c r="X23" s="1">
        <f t="shared" si="18"/>
        <v>270.47999999999956</v>
      </c>
      <c r="Y23" s="1"/>
      <c r="Z23" s="5">
        <f t="shared" si="19"/>
        <v>2.8449597889630491E-2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868.61</v>
      </c>
      <c r="E24" s="2"/>
      <c r="F24" s="7">
        <f t="shared" si="12"/>
        <v>5.4112657942539076E-3</v>
      </c>
      <c r="G24" s="2"/>
      <c r="H24" s="6">
        <v>1017.64</v>
      </c>
      <c r="I24" s="2"/>
      <c r="J24" s="7">
        <f t="shared" si="13"/>
        <v>6.9511493980039868E-3</v>
      </c>
      <c r="K24" s="2"/>
      <c r="L24" s="6">
        <f t="shared" si="14"/>
        <v>-149.02999999999997</v>
      </c>
      <c r="M24" s="2"/>
      <c r="N24" s="7">
        <f t="shared" si="15"/>
        <v>-0.14644668055500962</v>
      </c>
      <c r="O24" s="11"/>
      <c r="P24" s="6">
        <v>2808.11</v>
      </c>
      <c r="Q24" s="2"/>
      <c r="R24" s="7">
        <f t="shared" si="16"/>
        <v>8.7037987958914851E-3</v>
      </c>
      <c r="S24" s="2"/>
      <c r="T24" s="6">
        <v>2776.99</v>
      </c>
      <c r="U24" s="2"/>
      <c r="V24" s="7">
        <f t="shared" si="17"/>
        <v>9.0754041674066116E-3</v>
      </c>
      <c r="W24" s="2"/>
      <c r="X24" s="6">
        <f t="shared" si="18"/>
        <v>31.120000000000346</v>
      </c>
      <c r="Y24" s="2"/>
      <c r="Z24" s="7">
        <f t="shared" si="19"/>
        <v>1.1206378128837463E-2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111.03</v>
      </c>
      <c r="E25" s="2"/>
      <c r="F25" s="7">
        <f t="shared" si="12"/>
        <v>6.9169459381772174E-4</v>
      </c>
      <c r="G25" s="2"/>
      <c r="H25" s="6">
        <v>496.5</v>
      </c>
      <c r="I25" s="2"/>
      <c r="J25" s="7">
        <f t="shared" si="13"/>
        <v>3.3914210095013753E-3</v>
      </c>
      <c r="K25" s="2"/>
      <c r="L25" s="6">
        <f t="shared" si="14"/>
        <v>-385.47</v>
      </c>
      <c r="M25" s="2"/>
      <c r="N25" s="7">
        <f t="shared" si="15"/>
        <v>-0.77637462235649557</v>
      </c>
      <c r="O25" s="11"/>
      <c r="P25" s="6">
        <v>890.31</v>
      </c>
      <c r="Q25" s="2"/>
      <c r="R25" s="7">
        <f t="shared" si="16"/>
        <v>2.7595354547970507E-3</v>
      </c>
      <c r="S25" s="2"/>
      <c r="T25" s="6">
        <v>742.1</v>
      </c>
      <c r="U25" s="2"/>
      <c r="V25" s="7">
        <f t="shared" si="17"/>
        <v>2.4252364728113702E-3</v>
      </c>
      <c r="W25" s="2"/>
      <c r="X25" s="6">
        <f t="shared" si="18"/>
        <v>148.20999999999992</v>
      </c>
      <c r="Y25" s="2"/>
      <c r="Z25" s="7">
        <f t="shared" si="19"/>
        <v>0.19971701926964011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641.14</v>
      </c>
      <c r="E26" s="2"/>
      <c r="F26" s="7">
        <f t="shared" si="12"/>
        <v>3.9941733934999021E-3</v>
      </c>
      <c r="G26" s="2"/>
      <c r="H26" s="6">
        <v>691.52</v>
      </c>
      <c r="I26" s="2"/>
      <c r="J26" s="7">
        <f t="shared" si="13"/>
        <v>4.7235356626191159E-3</v>
      </c>
      <c r="K26" s="2"/>
      <c r="L26" s="6">
        <f t="shared" si="14"/>
        <v>-50.379999999999995</v>
      </c>
      <c r="M26" s="2"/>
      <c r="N26" s="7">
        <f t="shared" si="15"/>
        <v>-7.2854002776492358E-2</v>
      </c>
      <c r="O26" s="11"/>
      <c r="P26" s="6">
        <v>2564.56</v>
      </c>
      <c r="Q26" s="2"/>
      <c r="R26" s="7">
        <f t="shared" si="16"/>
        <v>7.9489102065059651E-3</v>
      </c>
      <c r="S26" s="2"/>
      <c r="T26" s="6">
        <v>2339.84</v>
      </c>
      <c r="U26" s="2"/>
      <c r="V26" s="7">
        <f t="shared" si="17"/>
        <v>7.6467663502802269E-3</v>
      </c>
      <c r="W26" s="2"/>
      <c r="X26" s="6">
        <f t="shared" si="18"/>
        <v>224.7199999999998</v>
      </c>
      <c r="Y26" s="2"/>
      <c r="Z26" s="7">
        <f t="shared" si="19"/>
        <v>9.6040754923413477E-2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64.180000000000007</v>
      </c>
      <c r="E27" s="2"/>
      <c r="F27" s="7">
        <f t="shared" si="12"/>
        <v>3.9982850609043851E-4</v>
      </c>
      <c r="G27" s="2"/>
      <c r="H27" s="6">
        <v>57.65</v>
      </c>
      <c r="I27" s="2"/>
      <c r="J27" s="7">
        <f t="shared" si="13"/>
        <v>3.9378735387261685E-4</v>
      </c>
      <c r="K27" s="2"/>
      <c r="L27" s="6">
        <f t="shared" si="14"/>
        <v>6.5300000000000082</v>
      </c>
      <c r="M27" s="2"/>
      <c r="N27" s="7">
        <f t="shared" si="15"/>
        <v>0.11326973113616667</v>
      </c>
      <c r="O27" s="11"/>
      <c r="P27" s="6">
        <v>167</v>
      </c>
      <c r="Q27" s="2"/>
      <c r="R27" s="7">
        <f t="shared" si="16"/>
        <v>5.1762017830992303E-4</v>
      </c>
      <c r="S27" s="2"/>
      <c r="T27" s="6">
        <v>162.12</v>
      </c>
      <c r="U27" s="2"/>
      <c r="V27" s="7">
        <f t="shared" si="17"/>
        <v>5.298198854226915E-4</v>
      </c>
      <c r="W27" s="2"/>
      <c r="X27" s="6">
        <f t="shared" si="18"/>
        <v>4.8799999999999955</v>
      </c>
      <c r="Y27" s="2"/>
      <c r="Z27" s="7">
        <f t="shared" si="19"/>
        <v>3.0101159634838361E-2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134.11000000000001</v>
      </c>
      <c r="E28" s="2"/>
      <c r="F28" s="7">
        <f t="shared" si="12"/>
        <v>8.3547835699265675E-4</v>
      </c>
      <c r="G28" s="2"/>
      <c r="H28" s="6">
        <v>248.06</v>
      </c>
      <c r="I28" s="2"/>
      <c r="J28" s="7">
        <f t="shared" si="13"/>
        <v>1.6944126799937787E-3</v>
      </c>
      <c r="K28" s="2"/>
      <c r="L28" s="6">
        <f t="shared" si="14"/>
        <v>-113.94999999999999</v>
      </c>
      <c r="M28" s="2"/>
      <c r="N28" s="7">
        <f t="shared" si="15"/>
        <v>-0.45936466983794239</v>
      </c>
      <c r="O28" s="11"/>
      <c r="P28" s="6">
        <v>938.77</v>
      </c>
      <c r="Q28" s="2"/>
      <c r="R28" s="7">
        <f t="shared" si="16"/>
        <v>2.909738292167703E-3</v>
      </c>
      <c r="S28" s="2"/>
      <c r="T28" s="6">
        <v>1112.6600000000001</v>
      </c>
      <c r="U28" s="2"/>
      <c r="V28" s="7">
        <f t="shared" si="17"/>
        <v>3.6362533537775223E-3</v>
      </c>
      <c r="W28" s="2"/>
      <c r="X28" s="6">
        <f t="shared" si="18"/>
        <v>-173.8900000000001</v>
      </c>
      <c r="Y28" s="2"/>
      <c r="Z28" s="7">
        <f t="shared" si="19"/>
        <v>-0.15628314130102644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331.92</v>
      </c>
      <c r="E29" s="2"/>
      <c r="F29" s="7">
        <f t="shared" si="12"/>
        <v>2.0677949165088553E-3</v>
      </c>
      <c r="G29" s="2"/>
      <c r="H29" s="6">
        <v>313.38</v>
      </c>
      <c r="I29" s="2"/>
      <c r="J29" s="7">
        <f t="shared" si="13"/>
        <v>2.1405911701058225E-3</v>
      </c>
      <c r="K29" s="2"/>
      <c r="L29" s="6">
        <f t="shared" si="14"/>
        <v>18.54000000000002</v>
      </c>
      <c r="M29" s="2"/>
      <c r="N29" s="7">
        <f t="shared" si="15"/>
        <v>5.9161401493394668E-2</v>
      </c>
      <c r="O29" s="11"/>
      <c r="P29" s="6">
        <v>995.76</v>
      </c>
      <c r="Q29" s="2"/>
      <c r="R29" s="7">
        <f t="shared" si="16"/>
        <v>3.0863800524184963E-3</v>
      </c>
      <c r="S29" s="2"/>
      <c r="T29" s="6">
        <v>973.77</v>
      </c>
      <c r="U29" s="2"/>
      <c r="V29" s="7">
        <f t="shared" si="17"/>
        <v>3.1823507884780056E-3</v>
      </c>
      <c r="W29" s="2"/>
      <c r="X29" s="6">
        <f t="shared" si="18"/>
        <v>21.990000000000009</v>
      </c>
      <c r="Y29" s="2"/>
      <c r="Z29" s="7">
        <f t="shared" si="19"/>
        <v>2.2582334637542757E-2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265.68</v>
      </c>
      <c r="E30" s="2"/>
      <c r="F30" s="7">
        <f t="shared" si="12"/>
        <v>1.6551330242771532E-3</v>
      </c>
      <c r="G30" s="2"/>
      <c r="H30" s="6">
        <v>250.86</v>
      </c>
      <c r="I30" s="2"/>
      <c r="J30" s="7">
        <f t="shared" si="13"/>
        <v>1.7135385185166466E-3</v>
      </c>
      <c r="K30" s="2"/>
      <c r="L30" s="6">
        <f t="shared" si="14"/>
        <v>14.819999999999993</v>
      </c>
      <c r="M30" s="2"/>
      <c r="N30" s="7">
        <f t="shared" si="15"/>
        <v>5.907677589093515E-2</v>
      </c>
      <c r="O30" s="11"/>
      <c r="P30" s="6">
        <v>797.04</v>
      </c>
      <c r="Q30" s="2"/>
      <c r="R30" s="7">
        <f t="shared" si="16"/>
        <v>2.470443035449946E-3</v>
      </c>
      <c r="S30" s="2"/>
      <c r="T30" s="6">
        <v>800.37</v>
      </c>
      <c r="U30" s="2"/>
      <c r="V30" s="7">
        <f t="shared" si="17"/>
        <v>2.615667047222795E-3</v>
      </c>
      <c r="W30" s="2"/>
      <c r="X30" s="6">
        <f t="shared" si="18"/>
        <v>-3.3300000000000409</v>
      </c>
      <c r="Y30" s="2"/>
      <c r="Z30" s="7">
        <f t="shared" si="19"/>
        <v>-4.1605757337232043E-3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174.37</v>
      </c>
      <c r="E31" s="2"/>
      <c r="F31" s="7">
        <f t="shared" si="12"/>
        <v>1.0862900686660916E-3</v>
      </c>
      <c r="G31" s="2"/>
      <c r="H31" s="6">
        <v>149.94999999999999</v>
      </c>
      <c r="I31" s="2"/>
      <c r="J31" s="7">
        <f t="shared" si="13"/>
        <v>1.0242569594657224E-3</v>
      </c>
      <c r="K31" s="2"/>
      <c r="L31" s="6">
        <f t="shared" si="14"/>
        <v>24.420000000000016</v>
      </c>
      <c r="M31" s="2"/>
      <c r="N31" s="7">
        <f t="shared" si="15"/>
        <v>0.16285428476158731</v>
      </c>
      <c r="O31" s="11"/>
      <c r="P31" s="6">
        <v>616.27</v>
      </c>
      <c r="Q31" s="2"/>
      <c r="R31" s="7">
        <f t="shared" si="16"/>
        <v>1.910142438844648E-3</v>
      </c>
      <c r="S31" s="2"/>
      <c r="T31" s="6">
        <v>599.49</v>
      </c>
      <c r="U31" s="2"/>
      <c r="V31" s="7">
        <f t="shared" si="17"/>
        <v>1.9591766784607038E-3</v>
      </c>
      <c r="W31" s="2"/>
      <c r="X31" s="6">
        <f t="shared" si="18"/>
        <v>16.779999999999973</v>
      </c>
      <c r="Y31" s="2"/>
      <c r="Z31" s="7">
        <f t="shared" si="19"/>
        <v>2.7990458556439595E-2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25481.08</v>
      </c>
      <c r="E32" s="1"/>
      <c r="F32" s="5">
        <f t="shared" ref="F32:F37" si="20">IF(D$12=0,0,D32/D$12)</f>
        <v>0.15874200919244236</v>
      </c>
      <c r="G32" s="1"/>
      <c r="H32" s="1">
        <f>SUM(OSRRefH22_1x_0)</f>
        <v>22690.68</v>
      </c>
      <c r="I32" s="1"/>
      <c r="J32" s="5">
        <f t="shared" ref="J32:J37" si="21">IF(H$12=0,0,H32/H$12)</f>
        <v>0.15499224344788048</v>
      </c>
      <c r="K32" s="1"/>
      <c r="L32" s="1">
        <f t="shared" ref="L32:L37" si="22">+D32-H32</f>
        <v>2790.4000000000015</v>
      </c>
      <c r="M32" s="1"/>
      <c r="N32" s="5">
        <f t="shared" ref="N32:N37" si="23">IF(H32=0,0,L32/H32)</f>
        <v>0.12297560055494157</v>
      </c>
      <c r="O32" s="13"/>
      <c r="P32" s="1">
        <f>SUM(OSRRefP22_1x_0)</f>
        <v>68998.070000000007</v>
      </c>
      <c r="Q32" s="1"/>
      <c r="R32" s="5">
        <f t="shared" ref="R32:R37" si="24">IF(P$12=0,0,P32/P$12)</f>
        <v>0.21386103770323683</v>
      </c>
      <c r="S32" s="1"/>
      <c r="T32" s="1">
        <f>SUM(OSRRefT22_1x_0)</f>
        <v>60923.880000000005</v>
      </c>
      <c r="U32" s="1"/>
      <c r="V32" s="5">
        <f t="shared" ref="V32:V37" si="25">IF(T$12=0,0,T32/T$12)</f>
        <v>0.19910364619482979</v>
      </c>
      <c r="W32" s="1"/>
      <c r="X32" s="1">
        <f t="shared" ref="X32:X37" si="26">+P32-T32</f>
        <v>8074.1900000000023</v>
      </c>
      <c r="Y32" s="1"/>
      <c r="Z32" s="5">
        <f t="shared" ref="Z32:Z37" si="27">IF(T32=0,0,X32/T32)</f>
        <v>0.13252914948949412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4800</v>
      </c>
      <c r="E33" s="2"/>
      <c r="F33" s="7">
        <f t="shared" si="20"/>
        <v>2.9903035668963924E-2</v>
      </c>
      <c r="G33" s="2"/>
      <c r="H33" s="6">
        <v>3082.16</v>
      </c>
      <c r="I33" s="2"/>
      <c r="J33" s="7">
        <f t="shared" si="21"/>
        <v>2.105317659344362E-2</v>
      </c>
      <c r="K33" s="2"/>
      <c r="L33" s="6">
        <f t="shared" si="22"/>
        <v>1717.8400000000001</v>
      </c>
      <c r="M33" s="2"/>
      <c r="N33" s="7">
        <f t="shared" si="23"/>
        <v>0.5573493913359463</v>
      </c>
      <c r="O33" s="11"/>
      <c r="P33" s="6">
        <v>15552</v>
      </c>
      <c r="Q33" s="2"/>
      <c r="R33" s="7">
        <f t="shared" si="24"/>
        <v>4.8203766545364804E-2</v>
      </c>
      <c r="S33" s="2"/>
      <c r="T33" s="6">
        <v>14139.84</v>
      </c>
      <c r="U33" s="2"/>
      <c r="V33" s="7">
        <f t="shared" si="25"/>
        <v>4.6210019792099613E-2</v>
      </c>
      <c r="W33" s="2"/>
      <c r="X33" s="6">
        <f t="shared" si="26"/>
        <v>1412.1599999999999</v>
      </c>
      <c r="Y33" s="2"/>
      <c r="Z33" s="7">
        <f t="shared" si="27"/>
        <v>9.9871002783624138E-2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2100</v>
      </c>
      <c r="E34" s="2"/>
      <c r="F34" s="7">
        <f t="shared" si="20"/>
        <v>1.3082578105171718E-2</v>
      </c>
      <c r="G34" s="2"/>
      <c r="H34" s="6"/>
      <c r="I34" s="2"/>
      <c r="J34" s="7">
        <f t="shared" si="21"/>
        <v>0</v>
      </c>
      <c r="K34" s="2"/>
      <c r="L34" s="6">
        <f t="shared" si="22"/>
        <v>2100</v>
      </c>
      <c r="M34" s="2"/>
      <c r="N34" s="7">
        <f t="shared" si="23"/>
        <v>0</v>
      </c>
      <c r="O34" s="11"/>
      <c r="P34" s="6">
        <v>5831</v>
      </c>
      <c r="Q34" s="2"/>
      <c r="R34" s="7">
        <f t="shared" si="24"/>
        <v>1.8073312932485992E-2</v>
      </c>
      <c r="S34" s="2"/>
      <c r="T34" s="6"/>
      <c r="U34" s="2"/>
      <c r="V34" s="7">
        <f t="shared" si="25"/>
        <v>0</v>
      </c>
      <c r="W34" s="2"/>
      <c r="X34" s="6">
        <f t="shared" si="26"/>
        <v>5831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4564.54</v>
      </c>
      <c r="I35" s="2"/>
      <c r="J35" s="7">
        <f t="shared" si="21"/>
        <v>3.1178805346846739E-2</v>
      </c>
      <c r="K35" s="2"/>
      <c r="L35" s="6">
        <f t="shared" si="22"/>
        <v>-4564.54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10195.67</v>
      </c>
      <c r="U35" s="2"/>
      <c r="V35" s="7">
        <f t="shared" si="25"/>
        <v>3.3320186967724971E-2</v>
      </c>
      <c r="W35" s="2"/>
      <c r="X35" s="6">
        <f t="shared" si="26"/>
        <v>-10195.67</v>
      </c>
      <c r="Y35" s="2"/>
      <c r="Z35" s="7">
        <f t="shared" si="27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17954.080000000002</v>
      </c>
      <c r="E36" s="2"/>
      <c r="F36" s="7">
        <f t="shared" si="20"/>
        <v>0.1118503113840483</v>
      </c>
      <c r="G36" s="2"/>
      <c r="H36" s="6">
        <v>14730.48</v>
      </c>
      <c r="I36" s="2"/>
      <c r="J36" s="7">
        <f t="shared" si="21"/>
        <v>0.10061885065869046</v>
      </c>
      <c r="K36" s="2"/>
      <c r="L36" s="6">
        <f t="shared" si="22"/>
        <v>3223.6000000000022</v>
      </c>
      <c r="M36" s="2"/>
      <c r="N36" s="7">
        <f t="shared" si="23"/>
        <v>0.21883876153390808</v>
      </c>
      <c r="O36" s="11"/>
      <c r="P36" s="6">
        <v>46523.07</v>
      </c>
      <c r="Q36" s="2"/>
      <c r="R36" s="7">
        <f t="shared" si="24"/>
        <v>0.14419928017320377</v>
      </c>
      <c r="S36" s="2"/>
      <c r="T36" s="6">
        <v>35936.620000000003</v>
      </c>
      <c r="U36" s="2"/>
      <c r="V36" s="7">
        <f t="shared" si="25"/>
        <v>0.11744347329680979</v>
      </c>
      <c r="W36" s="2"/>
      <c r="X36" s="6">
        <f t="shared" si="26"/>
        <v>10586.449999999997</v>
      </c>
      <c r="Y36" s="2"/>
      <c r="Z36" s="7">
        <f t="shared" si="27"/>
        <v>0.29458669179238328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627</v>
      </c>
      <c r="E37" s="2"/>
      <c r="F37" s="7">
        <f t="shared" si="20"/>
        <v>3.9060840342584127E-3</v>
      </c>
      <c r="G37" s="2"/>
      <c r="H37" s="6">
        <v>313.5</v>
      </c>
      <c r="I37" s="2"/>
      <c r="J37" s="7">
        <f t="shared" si="21"/>
        <v>2.1414108488996596E-3</v>
      </c>
      <c r="K37" s="2"/>
      <c r="L37" s="6">
        <f t="shared" si="22"/>
        <v>313.5</v>
      </c>
      <c r="M37" s="2"/>
      <c r="N37" s="7">
        <f t="shared" si="23"/>
        <v>1</v>
      </c>
      <c r="O37" s="11"/>
      <c r="P37" s="6">
        <v>1092</v>
      </c>
      <c r="Q37" s="2"/>
      <c r="R37" s="7">
        <f t="shared" si="24"/>
        <v>3.384678052182251E-3</v>
      </c>
      <c r="S37" s="2"/>
      <c r="T37" s="6">
        <v>651.75</v>
      </c>
      <c r="U37" s="2"/>
      <c r="V37" s="7">
        <f t="shared" si="25"/>
        <v>2.1299661381954057E-3</v>
      </c>
      <c r="W37" s="2"/>
      <c r="X37" s="6">
        <f t="shared" si="26"/>
        <v>440.25</v>
      </c>
      <c r="Y37" s="2"/>
      <c r="Z37" s="7">
        <f t="shared" si="27"/>
        <v>0.67548906789413121</v>
      </c>
    </row>
    <row r="38" spans="1:26" s="27" customFormat="1" outlineLevel="1" collapsed="1" x14ac:dyDescent="0.25">
      <c r="A38" s="25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90</v>
      </c>
      <c r="E38" s="1"/>
      <c r="F38" s="5">
        <f t="shared" ref="F38:F54" si="28">IF(D$12=0,0,D38/D$12)</f>
        <v>5.6068191879307357E-4</v>
      </c>
      <c r="G38" s="1"/>
      <c r="H38" s="1">
        <f>SUM(OSRRefH22_2x_0)</f>
        <v>42</v>
      </c>
      <c r="I38" s="1"/>
      <c r="J38" s="5">
        <f t="shared" ref="J38:J54" si="29">IF(H$12=0,0,H38/H$12)</f>
        <v>2.8688757784301665E-4</v>
      </c>
      <c r="K38" s="1"/>
      <c r="L38" s="1">
        <f t="shared" ref="L38:L54" si="30">+D38-H38</f>
        <v>48</v>
      </c>
      <c r="M38" s="1"/>
      <c r="N38" s="5">
        <f t="shared" ref="N38:N54" si="31">IF(H38=0,0,L38/H38)</f>
        <v>1.1428571428571428</v>
      </c>
      <c r="O38" s="13"/>
      <c r="P38" s="1">
        <f>SUM(OSRRefP22_2x_0)</f>
        <v>150</v>
      </c>
      <c r="Q38" s="1"/>
      <c r="R38" s="5">
        <f t="shared" ref="R38:R54" si="32">IF(P$12=0,0,P38/P$12)</f>
        <v>4.6492830387118833E-4</v>
      </c>
      <c r="S38" s="1"/>
      <c r="T38" s="1">
        <f>SUM(OSRRefT22_2x_0)</f>
        <v>192</v>
      </c>
      <c r="U38" s="1"/>
      <c r="V38" s="5">
        <f t="shared" ref="V38:V54" si="33">IF(T$12=0,0,T38/T$12)</f>
        <v>6.2746988651095955E-4</v>
      </c>
      <c r="W38" s="1"/>
      <c r="X38" s="1">
        <f t="shared" ref="X38:X54" si="34">+P38-T38</f>
        <v>-42</v>
      </c>
      <c r="Y38" s="1"/>
      <c r="Z38" s="5">
        <f t="shared" ref="Z38:Z54" si="35">IF(T38=0,0,X38/T38)</f>
        <v>-0.21875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>
        <v>90</v>
      </c>
      <c r="E39" s="2"/>
      <c r="F39" s="7">
        <f t="shared" si="28"/>
        <v>5.6068191879307357E-4</v>
      </c>
      <c r="G39" s="2"/>
      <c r="H39" s="6">
        <v>42</v>
      </c>
      <c r="I39" s="2"/>
      <c r="J39" s="7">
        <f t="shared" si="29"/>
        <v>2.8688757784301665E-4</v>
      </c>
      <c r="K39" s="2"/>
      <c r="L39" s="6">
        <f t="shared" si="30"/>
        <v>48</v>
      </c>
      <c r="M39" s="2"/>
      <c r="N39" s="7">
        <f t="shared" si="31"/>
        <v>1.1428571428571428</v>
      </c>
      <c r="O39" s="11"/>
      <c r="P39" s="6">
        <v>150</v>
      </c>
      <c r="Q39" s="2"/>
      <c r="R39" s="7">
        <f t="shared" si="32"/>
        <v>4.6492830387118833E-4</v>
      </c>
      <c r="S39" s="2"/>
      <c r="T39" s="6">
        <v>192</v>
      </c>
      <c r="U39" s="2"/>
      <c r="V39" s="7">
        <f t="shared" si="33"/>
        <v>6.2746988651095955E-4</v>
      </c>
      <c r="W39" s="2"/>
      <c r="X39" s="6">
        <f t="shared" si="34"/>
        <v>-42</v>
      </c>
      <c r="Y39" s="2"/>
      <c r="Z39" s="7">
        <f t="shared" si="35"/>
        <v>-0.21875</v>
      </c>
    </row>
    <row r="40" spans="1:26" s="27" customFormat="1" outlineLevel="1" collapsed="1" x14ac:dyDescent="0.25">
      <c r="A40" s="25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-6.73</v>
      </c>
      <c r="E40" s="1"/>
      <c r="F40" s="5">
        <f t="shared" si="28"/>
        <v>-4.1926547927526503E-5</v>
      </c>
      <c r="G40" s="1"/>
      <c r="H40" s="1">
        <f>SUM(OSRRefH22_3x_0)</f>
        <v>-35.840000000000003</v>
      </c>
      <c r="I40" s="1"/>
      <c r="J40" s="5">
        <f t="shared" si="29"/>
        <v>-2.4481073309270756E-4</v>
      </c>
      <c r="K40" s="1"/>
      <c r="L40" s="1">
        <f t="shared" si="30"/>
        <v>29.110000000000003</v>
      </c>
      <c r="M40" s="1"/>
      <c r="N40" s="5">
        <f t="shared" si="31"/>
        <v>-0.8122209821428571</v>
      </c>
      <c r="O40" s="13"/>
      <c r="P40" s="1">
        <f>SUM(OSRRefP22_3x_0)</f>
        <v>-31.81</v>
      </c>
      <c r="Q40" s="1"/>
      <c r="R40" s="5">
        <f t="shared" si="32"/>
        <v>-9.8595795640950002E-5</v>
      </c>
      <c r="S40" s="1"/>
      <c r="T40" s="1">
        <f>SUM(OSRRefT22_3x_0)</f>
        <v>-81.22</v>
      </c>
      <c r="U40" s="1"/>
      <c r="V40" s="5">
        <f t="shared" si="33"/>
        <v>-2.6543283428343819E-4</v>
      </c>
      <c r="W40" s="1"/>
      <c r="X40" s="1">
        <f t="shared" si="34"/>
        <v>49.41</v>
      </c>
      <c r="Y40" s="1"/>
      <c r="Z40" s="5">
        <f t="shared" si="35"/>
        <v>-0.60834769761142571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-6.73</v>
      </c>
      <c r="E41" s="2"/>
      <c r="F41" s="7">
        <f t="shared" si="28"/>
        <v>-4.1926547927526503E-5</v>
      </c>
      <c r="G41" s="2"/>
      <c r="H41" s="6">
        <v>-35.840000000000003</v>
      </c>
      <c r="I41" s="2"/>
      <c r="J41" s="7">
        <f t="shared" si="29"/>
        <v>-2.4481073309270756E-4</v>
      </c>
      <c r="K41" s="2"/>
      <c r="L41" s="6">
        <f t="shared" si="30"/>
        <v>29.110000000000003</v>
      </c>
      <c r="M41" s="2"/>
      <c r="N41" s="7">
        <f t="shared" si="31"/>
        <v>-0.8122209821428571</v>
      </c>
      <c r="O41" s="11"/>
      <c r="P41" s="6">
        <v>-31.81</v>
      </c>
      <c r="Q41" s="2"/>
      <c r="R41" s="7">
        <f t="shared" si="32"/>
        <v>-9.8595795640950002E-5</v>
      </c>
      <c r="S41" s="2"/>
      <c r="T41" s="6">
        <v>-81.22</v>
      </c>
      <c r="U41" s="2"/>
      <c r="V41" s="7">
        <f t="shared" si="33"/>
        <v>-2.6543283428343819E-4</v>
      </c>
      <c r="W41" s="2"/>
      <c r="X41" s="6">
        <f t="shared" si="34"/>
        <v>49.41</v>
      </c>
      <c r="Y41" s="2"/>
      <c r="Z41" s="7">
        <f t="shared" si="35"/>
        <v>-0.60834769761142571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5365.54</v>
      </c>
      <c r="E42" s="1"/>
      <c r="F42" s="5">
        <f t="shared" si="28"/>
        <v>3.3426236250677643E-2</v>
      </c>
      <c r="G42" s="1"/>
      <c r="H42" s="1">
        <f>SUM(OSRRefH22_4x_0)</f>
        <v>4579.12</v>
      </c>
      <c r="I42" s="1"/>
      <c r="J42" s="5">
        <f t="shared" si="29"/>
        <v>3.1278396320297962E-2</v>
      </c>
      <c r="K42" s="1"/>
      <c r="L42" s="1">
        <f t="shared" si="30"/>
        <v>786.42000000000007</v>
      </c>
      <c r="M42" s="1"/>
      <c r="N42" s="5">
        <f t="shared" si="31"/>
        <v>0.17174042174042176</v>
      </c>
      <c r="O42" s="13"/>
      <c r="P42" s="1">
        <f>SUM(OSRRefP22_4x_0)</f>
        <v>10759.96</v>
      </c>
      <c r="Q42" s="1"/>
      <c r="R42" s="5">
        <f t="shared" si="32"/>
        <v>3.3350733016812205E-2</v>
      </c>
      <c r="S42" s="1"/>
      <c r="T42" s="1">
        <f>SUM(OSRRefT22_4x_0)</f>
        <v>9664.1200000000008</v>
      </c>
      <c r="U42" s="1"/>
      <c r="V42" s="5">
        <f t="shared" si="33"/>
        <v>3.1583043123064036E-2</v>
      </c>
      <c r="W42" s="1"/>
      <c r="X42" s="1">
        <f t="shared" si="34"/>
        <v>1095.8399999999983</v>
      </c>
      <c r="Y42" s="1"/>
      <c r="Z42" s="5">
        <f t="shared" si="35"/>
        <v>0.11339263171401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5365.54</v>
      </c>
      <c r="E43" s="2"/>
      <c r="F43" s="7">
        <f t="shared" si="28"/>
        <v>3.3426236250677643E-2</v>
      </c>
      <c r="G43" s="2"/>
      <c r="H43" s="6">
        <v>4579.12</v>
      </c>
      <c r="I43" s="2"/>
      <c r="J43" s="7">
        <f t="shared" si="29"/>
        <v>3.1278396320297962E-2</v>
      </c>
      <c r="K43" s="2"/>
      <c r="L43" s="6">
        <f t="shared" si="30"/>
        <v>786.42000000000007</v>
      </c>
      <c r="M43" s="2"/>
      <c r="N43" s="7">
        <f t="shared" si="31"/>
        <v>0.17174042174042176</v>
      </c>
      <c r="O43" s="11"/>
      <c r="P43" s="6">
        <v>10759.96</v>
      </c>
      <c r="Q43" s="2"/>
      <c r="R43" s="7">
        <f t="shared" si="32"/>
        <v>3.3350733016812205E-2</v>
      </c>
      <c r="S43" s="2"/>
      <c r="T43" s="6">
        <v>9664.1200000000008</v>
      </c>
      <c r="U43" s="2"/>
      <c r="V43" s="7">
        <f t="shared" si="33"/>
        <v>3.1583043123064036E-2</v>
      </c>
      <c r="W43" s="2"/>
      <c r="X43" s="6">
        <f t="shared" si="34"/>
        <v>1095.8399999999983</v>
      </c>
      <c r="Y43" s="2"/>
      <c r="Z43" s="7">
        <f t="shared" si="35"/>
        <v>0.11339263171401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1857.58</v>
      </c>
      <c r="E44" s="1"/>
      <c r="F44" s="5">
        <f t="shared" si="28"/>
        <v>1.1572350207907084E-2</v>
      </c>
      <c r="G44" s="1"/>
      <c r="H44" s="1">
        <f>SUM(OSRRefH22_5x_0)</f>
        <v>2114.62</v>
      </c>
      <c r="I44" s="1"/>
      <c r="J44" s="5">
        <f t="shared" si="29"/>
        <v>1.4444243091866661E-2</v>
      </c>
      <c r="K44" s="1"/>
      <c r="L44" s="1">
        <f t="shared" si="30"/>
        <v>-257.03999999999996</v>
      </c>
      <c r="M44" s="1"/>
      <c r="N44" s="5">
        <f t="shared" si="31"/>
        <v>-0.12155375433884101</v>
      </c>
      <c r="O44" s="13"/>
      <c r="P44" s="1">
        <f>SUM(OSRRefP22_5x_0)</f>
        <v>7430.32</v>
      </c>
      <c r="Q44" s="1"/>
      <c r="R44" s="5">
        <f t="shared" si="32"/>
        <v>2.3030440498801118E-2</v>
      </c>
      <c r="S44" s="1"/>
      <c r="T44" s="1">
        <f>SUM(OSRRefT22_5x_0)</f>
        <v>8458.48</v>
      </c>
      <c r="U44" s="1"/>
      <c r="V44" s="5">
        <f t="shared" si="33"/>
        <v>2.7642924404454275E-2</v>
      </c>
      <c r="W44" s="1"/>
      <c r="X44" s="1">
        <f t="shared" si="34"/>
        <v>-1028.1599999999999</v>
      </c>
      <c r="Y44" s="1"/>
      <c r="Z44" s="5">
        <f t="shared" si="35"/>
        <v>-0.12155375433884101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1857.58</v>
      </c>
      <c r="E45" s="2"/>
      <c r="F45" s="7">
        <f t="shared" si="28"/>
        <v>1.1572350207907084E-2</v>
      </c>
      <c r="G45" s="2"/>
      <c r="H45" s="6">
        <v>2114.62</v>
      </c>
      <c r="I45" s="2"/>
      <c r="J45" s="7">
        <f t="shared" si="29"/>
        <v>1.4444243091866661E-2</v>
      </c>
      <c r="K45" s="2"/>
      <c r="L45" s="6">
        <f t="shared" si="30"/>
        <v>-257.03999999999996</v>
      </c>
      <c r="M45" s="2"/>
      <c r="N45" s="7">
        <f t="shared" si="31"/>
        <v>-0.12155375433884101</v>
      </c>
      <c r="O45" s="11"/>
      <c r="P45" s="6">
        <v>7430.32</v>
      </c>
      <c r="Q45" s="2"/>
      <c r="R45" s="7">
        <f t="shared" si="32"/>
        <v>2.3030440498801118E-2</v>
      </c>
      <c r="S45" s="2"/>
      <c r="T45" s="6">
        <v>8458.48</v>
      </c>
      <c r="U45" s="2"/>
      <c r="V45" s="7">
        <f t="shared" si="33"/>
        <v>2.7642924404454275E-2</v>
      </c>
      <c r="W45" s="2"/>
      <c r="X45" s="6">
        <f t="shared" si="34"/>
        <v>-1028.1599999999999</v>
      </c>
      <c r="Y45" s="2"/>
      <c r="Z45" s="7">
        <f t="shared" si="35"/>
        <v>-0.12155375433884101</v>
      </c>
    </row>
    <row r="46" spans="1:26" s="27" customFormat="1" outlineLevel="1" collapsed="1" x14ac:dyDescent="0.25">
      <c r="A46" s="25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3"/>
      <c r="P46" s="1">
        <f>SUM(OSRRefP22_6x_0)</f>
        <v>0</v>
      </c>
      <c r="Q46" s="1"/>
      <c r="R46" s="5">
        <f t="shared" si="32"/>
        <v>0</v>
      </c>
      <c r="S46" s="1"/>
      <c r="T46" s="1">
        <f>SUM(OSRRefT22_6x_0)</f>
        <v>61.8</v>
      </c>
      <c r="U46" s="1"/>
      <c r="V46" s="5">
        <f t="shared" si="33"/>
        <v>2.0196686972071508E-4</v>
      </c>
      <c r="W46" s="1"/>
      <c r="X46" s="1">
        <f t="shared" si="34"/>
        <v>-61.8</v>
      </c>
      <c r="Y46" s="1"/>
      <c r="Z46" s="5">
        <f t="shared" si="35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/>
      <c r="Q47" s="2"/>
      <c r="R47" s="7">
        <f t="shared" si="32"/>
        <v>0</v>
      </c>
      <c r="S47" s="2"/>
      <c r="T47" s="6">
        <v>61.8</v>
      </c>
      <c r="U47" s="2"/>
      <c r="V47" s="7">
        <f t="shared" si="33"/>
        <v>2.0196686972071508E-4</v>
      </c>
      <c r="W47" s="2"/>
      <c r="X47" s="6">
        <f t="shared" si="34"/>
        <v>-61.8</v>
      </c>
      <c r="Y47" s="2"/>
      <c r="Z47" s="7">
        <f t="shared" si="35"/>
        <v>-1</v>
      </c>
    </row>
    <row r="48" spans="1:26" s="27" customFormat="1" outlineLevel="1" collapsed="1" x14ac:dyDescent="0.25">
      <c r="A48" s="25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SUM(OSRRefD22_7x_0)</f>
        <v>67.5</v>
      </c>
      <c r="E48" s="1"/>
      <c r="F48" s="5">
        <f t="shared" si="28"/>
        <v>4.2051143909480521E-4</v>
      </c>
      <c r="G48" s="1"/>
      <c r="H48" s="1">
        <f>SUM(OSRRefH22_7x_0)</f>
        <v>134.69999999999999</v>
      </c>
      <c r="I48" s="1"/>
      <c r="J48" s="5">
        <f t="shared" si="29"/>
        <v>9.2008944608224614E-4</v>
      </c>
      <c r="K48" s="1"/>
      <c r="L48" s="1">
        <f t="shared" si="30"/>
        <v>-67.199999999999989</v>
      </c>
      <c r="M48" s="1"/>
      <c r="N48" s="5">
        <f t="shared" si="31"/>
        <v>-0.49888641425389751</v>
      </c>
      <c r="O48" s="13"/>
      <c r="P48" s="1">
        <f>SUM(OSRRefP22_7x_0)</f>
        <v>927.55</v>
      </c>
      <c r="Q48" s="1"/>
      <c r="R48" s="5">
        <f t="shared" si="32"/>
        <v>2.874961655038138E-3</v>
      </c>
      <c r="S48" s="1"/>
      <c r="T48" s="1">
        <f>SUM(OSRRefT22_7x_0)</f>
        <v>976.85</v>
      </c>
      <c r="U48" s="1"/>
      <c r="V48" s="5">
        <f t="shared" si="33"/>
        <v>3.1924164512407856E-3</v>
      </c>
      <c r="W48" s="1"/>
      <c r="X48" s="1">
        <f t="shared" si="34"/>
        <v>-49.300000000000068</v>
      </c>
      <c r="Y48" s="1"/>
      <c r="Z48" s="5">
        <f t="shared" si="35"/>
        <v>-5.0468342120079918E-2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6">
        <v>67.5</v>
      </c>
      <c r="E49" s="2"/>
      <c r="F49" s="7">
        <f t="shared" si="28"/>
        <v>4.2051143909480521E-4</v>
      </c>
      <c r="G49" s="2"/>
      <c r="H49" s="6">
        <v>134.69999999999999</v>
      </c>
      <c r="I49" s="2"/>
      <c r="J49" s="7">
        <f t="shared" si="29"/>
        <v>9.2008944608224614E-4</v>
      </c>
      <c r="K49" s="2"/>
      <c r="L49" s="6">
        <f t="shared" si="30"/>
        <v>-67.199999999999989</v>
      </c>
      <c r="M49" s="2"/>
      <c r="N49" s="7">
        <f t="shared" si="31"/>
        <v>-0.49888641425389751</v>
      </c>
      <c r="O49" s="11"/>
      <c r="P49" s="6">
        <v>927.55</v>
      </c>
      <c r="Q49" s="2"/>
      <c r="R49" s="7">
        <f t="shared" si="32"/>
        <v>2.874961655038138E-3</v>
      </c>
      <c r="S49" s="2"/>
      <c r="T49" s="6">
        <v>976.85</v>
      </c>
      <c r="U49" s="2"/>
      <c r="V49" s="7">
        <f t="shared" si="33"/>
        <v>3.1924164512407856E-3</v>
      </c>
      <c r="W49" s="2"/>
      <c r="X49" s="6">
        <f t="shared" si="34"/>
        <v>-49.300000000000068</v>
      </c>
      <c r="Y49" s="2"/>
      <c r="Z49" s="7">
        <f t="shared" si="35"/>
        <v>-5.0468342120079918E-2</v>
      </c>
    </row>
    <row r="50" spans="1:26" s="27" customFormat="1" outlineLevel="1" collapsed="1" x14ac:dyDescent="0.25">
      <c r="A50" s="25"/>
      <c r="B50" s="13" t="str">
        <f>CONCATENATE("     ","Rent                                              ")</f>
        <v xml:space="preserve">     Rent                                              </v>
      </c>
      <c r="C50" s="13"/>
      <c r="D50" s="1">
        <f>SUM(OSRRefD22_8x_0)</f>
        <v>1150</v>
      </c>
      <c r="E50" s="1"/>
      <c r="F50" s="5">
        <f t="shared" si="28"/>
        <v>7.1642689623559403E-3</v>
      </c>
      <c r="G50" s="1"/>
      <c r="H50" s="1">
        <f>SUM(OSRRefH22_8x_0)</f>
        <v>1150</v>
      </c>
      <c r="I50" s="1"/>
      <c r="J50" s="5">
        <f t="shared" si="29"/>
        <v>7.8552551076064084E-3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SUM(OSRRefP22_8x_0)</f>
        <v>4600</v>
      </c>
      <c r="Q50" s="1"/>
      <c r="R50" s="5">
        <f t="shared" si="32"/>
        <v>1.4257801318716441E-2</v>
      </c>
      <c r="S50" s="1"/>
      <c r="T50" s="1">
        <f>SUM(OSRRefT22_8x_0)</f>
        <v>4600</v>
      </c>
      <c r="U50" s="1"/>
      <c r="V50" s="5">
        <f t="shared" si="33"/>
        <v>1.5033132697658404E-2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6"/>
      <c r="B51" s="11" t="str">
        <f>CONCATENATE("          ", "6273", " - ", "RENT")</f>
        <v xml:space="preserve">          6273 - RENT</v>
      </c>
      <c r="C51" s="11"/>
      <c r="D51" s="6">
        <v>1150</v>
      </c>
      <c r="E51" s="2"/>
      <c r="F51" s="7">
        <f t="shared" si="28"/>
        <v>7.1642689623559403E-3</v>
      </c>
      <c r="G51" s="2"/>
      <c r="H51" s="6">
        <v>1150</v>
      </c>
      <c r="I51" s="2"/>
      <c r="J51" s="7">
        <f t="shared" si="29"/>
        <v>7.8552551076064084E-3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4600</v>
      </c>
      <c r="Q51" s="2"/>
      <c r="R51" s="7">
        <f t="shared" si="32"/>
        <v>1.4257801318716441E-2</v>
      </c>
      <c r="S51" s="2"/>
      <c r="T51" s="6">
        <v>4600</v>
      </c>
      <c r="U51" s="2"/>
      <c r="V51" s="7">
        <f t="shared" si="33"/>
        <v>1.5033132697658404E-2</v>
      </c>
      <c r="W51" s="2"/>
      <c r="X51" s="6">
        <f t="shared" si="34"/>
        <v>0</v>
      </c>
      <c r="Y51" s="2"/>
      <c r="Z51" s="7">
        <f t="shared" si="35"/>
        <v>0</v>
      </c>
    </row>
    <row r="52" spans="1:26" s="27" customFormat="1" outlineLevel="1" collapsed="1" x14ac:dyDescent="0.25">
      <c r="A52" s="25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389.01</v>
      </c>
      <c r="E52" s="1"/>
      <c r="F52" s="5">
        <f t="shared" si="28"/>
        <v>2.4234541469965948E-3</v>
      </c>
      <c r="G52" s="1"/>
      <c r="H52" s="1">
        <f>SUM(OSRRefH22_9x_0)</f>
        <v>567.87</v>
      </c>
      <c r="I52" s="1"/>
      <c r="J52" s="5">
        <f t="shared" si="29"/>
        <v>3.8789249721360441E-3</v>
      </c>
      <c r="K52" s="1"/>
      <c r="L52" s="1">
        <f t="shared" si="30"/>
        <v>-178.86</v>
      </c>
      <c r="M52" s="1"/>
      <c r="N52" s="5">
        <f t="shared" si="31"/>
        <v>-0.31496645358973008</v>
      </c>
      <c r="O52" s="13"/>
      <c r="P52" s="1">
        <f>SUM(OSRRefP22_9x_0)</f>
        <v>1538.28</v>
      </c>
      <c r="Q52" s="1"/>
      <c r="R52" s="5">
        <f t="shared" si="32"/>
        <v>4.7679327418598105E-3</v>
      </c>
      <c r="S52" s="1"/>
      <c r="T52" s="1">
        <f>SUM(OSRRefT22_9x_0)</f>
        <v>1265.29</v>
      </c>
      <c r="U52" s="1"/>
      <c r="V52" s="5">
        <f t="shared" si="33"/>
        <v>4.1350592328304788E-3</v>
      </c>
      <c r="W52" s="1"/>
      <c r="X52" s="1">
        <f t="shared" si="34"/>
        <v>272.99</v>
      </c>
      <c r="Y52" s="1"/>
      <c r="Z52" s="5">
        <f t="shared" si="35"/>
        <v>0.21575291039998737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>
        <v>68.48</v>
      </c>
      <c r="E53" s="2"/>
      <c r="F53" s="7">
        <f t="shared" si="28"/>
        <v>4.2661664221055204E-4</v>
      </c>
      <c r="G53" s="2"/>
      <c r="H53" s="6"/>
      <c r="I53" s="2"/>
      <c r="J53" s="7">
        <f t="shared" si="29"/>
        <v>0</v>
      </c>
      <c r="K53" s="2"/>
      <c r="L53" s="6">
        <f t="shared" si="30"/>
        <v>68.48</v>
      </c>
      <c r="M53" s="2"/>
      <c r="N53" s="7">
        <f t="shared" si="31"/>
        <v>0</v>
      </c>
      <c r="O53" s="11"/>
      <c r="P53" s="6">
        <v>68.48</v>
      </c>
      <c r="Q53" s="2"/>
      <c r="R53" s="7">
        <f t="shared" si="32"/>
        <v>2.1225526832732651E-4</v>
      </c>
      <c r="S53" s="2"/>
      <c r="T53" s="6">
        <v>67.47</v>
      </c>
      <c r="U53" s="2"/>
      <c r="V53" s="7">
        <f t="shared" si="33"/>
        <v>2.2049683980674187E-4</v>
      </c>
      <c r="W53" s="2"/>
      <c r="X53" s="6">
        <f t="shared" si="34"/>
        <v>1.0100000000000051</v>
      </c>
      <c r="Y53" s="2"/>
      <c r="Z53" s="7">
        <f t="shared" si="35"/>
        <v>1.4969616125685566E-2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>
        <v>320.52999999999997</v>
      </c>
      <c r="E54" s="2"/>
      <c r="F54" s="7">
        <f t="shared" si="28"/>
        <v>1.9968375047860428E-3</v>
      </c>
      <c r="G54" s="2"/>
      <c r="H54" s="6">
        <v>567.87</v>
      </c>
      <c r="I54" s="2"/>
      <c r="J54" s="7">
        <f t="shared" si="29"/>
        <v>3.8789249721360441E-3</v>
      </c>
      <c r="K54" s="2"/>
      <c r="L54" s="6">
        <f t="shared" si="30"/>
        <v>-247.34000000000003</v>
      </c>
      <c r="M54" s="2"/>
      <c r="N54" s="7">
        <f t="shared" si="31"/>
        <v>-0.43555743391973523</v>
      </c>
      <c r="O54" s="11"/>
      <c r="P54" s="6">
        <v>1469.8</v>
      </c>
      <c r="Q54" s="2"/>
      <c r="R54" s="7">
        <f t="shared" si="32"/>
        <v>4.5556774735324834E-3</v>
      </c>
      <c r="S54" s="2"/>
      <c r="T54" s="6">
        <v>1197.82</v>
      </c>
      <c r="U54" s="2"/>
      <c r="V54" s="7">
        <f t="shared" si="33"/>
        <v>3.9145623930237367E-3</v>
      </c>
      <c r="W54" s="2"/>
      <c r="X54" s="6">
        <f t="shared" si="34"/>
        <v>271.98</v>
      </c>
      <c r="Y54" s="2"/>
      <c r="Z54" s="7">
        <f t="shared" si="35"/>
        <v>0.22706249686931262</v>
      </c>
    </row>
    <row r="55" spans="1:26" s="27" customFormat="1" outlineLevel="1" collapsed="1" x14ac:dyDescent="0.25">
      <c r="A55" s="25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502.85</v>
      </c>
      <c r="E55" s="1"/>
      <c r="F55" s="5">
        <f t="shared" ref="F55:F58" si="36">IF(D$12=0,0,D55/D$12)</f>
        <v>3.1326544762788561E-3</v>
      </c>
      <c r="G55" s="1"/>
      <c r="H55" s="1">
        <f>SUM(OSRRefH22_10x_0)</f>
        <v>625.12</v>
      </c>
      <c r="I55" s="1"/>
      <c r="J55" s="5">
        <f t="shared" ref="J55:J58" si="37">IF(H$12=0,0,H55/H$12)</f>
        <v>4.269980063362537E-3</v>
      </c>
      <c r="K55" s="1"/>
      <c r="L55" s="1">
        <f t="shared" ref="L55:L58" si="38">+D55-H55</f>
        <v>-122.26999999999998</v>
      </c>
      <c r="M55" s="1"/>
      <c r="N55" s="5">
        <f t="shared" ref="N55:N58" si="39">IF(H55=0,0,L55/H55)</f>
        <v>-0.19559444586639363</v>
      </c>
      <c r="O55" s="13"/>
      <c r="P55" s="1">
        <f>SUM(OSRRefP22_10x_0)</f>
        <v>2001.6599999999999</v>
      </c>
      <c r="Q55" s="1"/>
      <c r="R55" s="5">
        <f t="shared" ref="R55:R58" si="40">IF(P$12=0,0,P55/P$12)</f>
        <v>6.2041892581786847E-3</v>
      </c>
      <c r="S55" s="1"/>
      <c r="T55" s="1">
        <f>SUM(OSRRefT22_10x_0)</f>
        <v>2061.23</v>
      </c>
      <c r="U55" s="1"/>
      <c r="V55" s="5">
        <f t="shared" ref="V55:V58" si="41">IF(T$12=0,0,T55/T$12)</f>
        <v>6.7362487196509641E-3</v>
      </c>
      <c r="W55" s="1"/>
      <c r="X55" s="1">
        <f t="shared" ref="X55:X58" si="42">+P55-T55</f>
        <v>-59.570000000000164</v>
      </c>
      <c r="Y55" s="1"/>
      <c r="Z55" s="5">
        <f t="shared" ref="Z55:Z58" si="43">IF(T55=0,0,X55/T55)</f>
        <v>-2.8900219771689797E-2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6">
        <v>116.81</v>
      </c>
      <c r="E56" s="2"/>
      <c r="F56" s="7">
        <f t="shared" si="36"/>
        <v>7.2770283260243252E-4</v>
      </c>
      <c r="G56" s="2"/>
      <c r="H56" s="6">
        <v>116.81</v>
      </c>
      <c r="I56" s="2"/>
      <c r="J56" s="7">
        <f t="shared" si="37"/>
        <v>7.9788899923435169E-4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>
        <v>584.04999999999995</v>
      </c>
      <c r="Q56" s="2"/>
      <c r="R56" s="7">
        <f t="shared" si="40"/>
        <v>1.8102758391731167E-3</v>
      </c>
      <c r="S56" s="2"/>
      <c r="T56" s="6">
        <v>467.24</v>
      </c>
      <c r="U56" s="2"/>
      <c r="V56" s="7">
        <f t="shared" si="41"/>
        <v>1.5269741134030246E-3</v>
      </c>
      <c r="W56" s="2"/>
      <c r="X56" s="6">
        <f t="shared" si="42"/>
        <v>116.80999999999995</v>
      </c>
      <c r="Y56" s="2"/>
      <c r="Z56" s="7">
        <f t="shared" si="43"/>
        <v>0.24999999999999989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6">
        <v>75.680000000000007</v>
      </c>
      <c r="E57" s="2"/>
      <c r="F57" s="7">
        <f t="shared" si="36"/>
        <v>4.714711957139979E-4</v>
      </c>
      <c r="G57" s="2"/>
      <c r="H57" s="6">
        <v>70.25</v>
      </c>
      <c r="I57" s="2"/>
      <c r="J57" s="7">
        <f t="shared" si="37"/>
        <v>4.7985362722552188E-4</v>
      </c>
      <c r="K57" s="2"/>
      <c r="L57" s="6">
        <f t="shared" si="38"/>
        <v>5.4300000000000068</v>
      </c>
      <c r="M57" s="2"/>
      <c r="N57" s="7">
        <f t="shared" si="39"/>
        <v>7.7295373665480518E-2</v>
      </c>
      <c r="O57" s="11"/>
      <c r="P57" s="6">
        <v>127.04</v>
      </c>
      <c r="Q57" s="2"/>
      <c r="R57" s="7">
        <f t="shared" si="40"/>
        <v>3.9376327815863842E-4</v>
      </c>
      <c r="S57" s="2"/>
      <c r="T57" s="6">
        <v>281</v>
      </c>
      <c r="U57" s="2"/>
      <c r="V57" s="7">
        <f t="shared" si="41"/>
        <v>9.1832832348739393E-4</v>
      </c>
      <c r="W57" s="2"/>
      <c r="X57" s="6">
        <f t="shared" si="42"/>
        <v>-153.95999999999998</v>
      </c>
      <c r="Y57" s="2"/>
      <c r="Z57" s="7">
        <f t="shared" si="43"/>
        <v>-0.54790035587188601</v>
      </c>
    </row>
    <row r="58" spans="1:26" s="24" customFormat="1" hidden="1" outlineLevel="2" x14ac:dyDescent="0.25">
      <c r="A58" s="26"/>
      <c r="B58" s="11" t="str">
        <f>CONCATENATE("          ", "6286", " - ", "LAUNDRY EXPENSE")</f>
        <v xml:space="preserve">          6286 - LAUNDRY EXPENSE</v>
      </c>
      <c r="C58" s="11"/>
      <c r="D58" s="6">
        <v>310.36</v>
      </c>
      <c r="E58" s="2"/>
      <c r="F58" s="7">
        <f t="shared" si="36"/>
        <v>1.9334804479624258E-3</v>
      </c>
      <c r="G58" s="2"/>
      <c r="H58" s="6">
        <v>438.06</v>
      </c>
      <c r="I58" s="2"/>
      <c r="J58" s="7">
        <f t="shared" si="37"/>
        <v>2.9922374369026634E-3</v>
      </c>
      <c r="K58" s="2"/>
      <c r="L58" s="6">
        <f t="shared" si="38"/>
        <v>-127.69999999999999</v>
      </c>
      <c r="M58" s="2"/>
      <c r="N58" s="7">
        <f t="shared" si="39"/>
        <v>-0.29151257818563664</v>
      </c>
      <c r="O58" s="11"/>
      <c r="P58" s="6">
        <v>1290.57</v>
      </c>
      <c r="Q58" s="2"/>
      <c r="R58" s="7">
        <f t="shared" si="40"/>
        <v>4.0001501408469297E-3</v>
      </c>
      <c r="S58" s="2"/>
      <c r="T58" s="6">
        <v>1312.99</v>
      </c>
      <c r="U58" s="2"/>
      <c r="V58" s="7">
        <f t="shared" si="41"/>
        <v>4.2909462827605454E-3</v>
      </c>
      <c r="W58" s="2"/>
      <c r="X58" s="6">
        <f t="shared" si="42"/>
        <v>-22.420000000000073</v>
      </c>
      <c r="Y58" s="2"/>
      <c r="Z58" s="7">
        <f t="shared" si="43"/>
        <v>-1.7075529897409784E-2</v>
      </c>
    </row>
    <row r="59" spans="1:26" s="27" customFormat="1" outlineLevel="1" collapsed="1" x14ac:dyDescent="0.25">
      <c r="A59" s="25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SUM(OSRRefD22_11x_0)</f>
        <v>2494.7200000000003</v>
      </c>
      <c r="E59" s="1"/>
      <c r="F59" s="5">
        <f t="shared" ref="F59:F65" si="44">IF(D$12=0,0,D59/D$12)</f>
        <v>1.5541604405016186E-2</v>
      </c>
      <c r="G59" s="1"/>
      <c r="H59" s="1">
        <f>SUM(OSRRefH22_11x_0)</f>
        <v>1776.4</v>
      </c>
      <c r="I59" s="1"/>
      <c r="J59" s="5">
        <f t="shared" ref="J59:J65" si="45">IF(H$12=0,0,H59/H$12)</f>
        <v>1.2133978411436541E-2</v>
      </c>
      <c r="K59" s="1"/>
      <c r="L59" s="1">
        <f t="shared" ref="L59:L65" si="46">+D59-H59</f>
        <v>718.32000000000016</v>
      </c>
      <c r="M59" s="1"/>
      <c r="N59" s="5">
        <f t="shared" ref="N59:N65" si="47">IF(H59=0,0,L59/H59)</f>
        <v>0.40436838549876158</v>
      </c>
      <c r="O59" s="13"/>
      <c r="P59" s="1">
        <f>SUM(OSRRefP22_11x_0)</f>
        <v>9478.5300000000007</v>
      </c>
      <c r="Q59" s="1"/>
      <c r="R59" s="5">
        <f t="shared" ref="R59:R65" si="48">IF(P$12=0,0,P59/P$12)</f>
        <v>2.9378912507281165E-2</v>
      </c>
      <c r="S59" s="1"/>
      <c r="T59" s="1">
        <f>SUM(OSRRefT22_11x_0)</f>
        <v>6860.88</v>
      </c>
      <c r="U59" s="1"/>
      <c r="V59" s="5">
        <f t="shared" ref="V59:V65" si="49">IF(T$12=0,0,T59/T$12)</f>
        <v>2.2421852057110999E-2</v>
      </c>
      <c r="W59" s="1"/>
      <c r="X59" s="1">
        <f t="shared" ref="X59:X65" si="50">+P59-T59</f>
        <v>2617.6500000000005</v>
      </c>
      <c r="Y59" s="1"/>
      <c r="Z59" s="5">
        <f t="shared" ref="Z59:Z65" si="51">IF(T59=0,0,X59/T59)</f>
        <v>0.38153268968412224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354.71</v>
      </c>
      <c r="Q60" s="2"/>
      <c r="R60" s="7">
        <f t="shared" si="48"/>
        <v>1.0994314577743279E-3</v>
      </c>
      <c r="S60" s="2"/>
      <c r="T60" s="6"/>
      <c r="U60" s="2"/>
      <c r="V60" s="7">
        <f t="shared" si="49"/>
        <v>0</v>
      </c>
      <c r="W60" s="2"/>
      <c r="X60" s="6">
        <f t="shared" si="50"/>
        <v>354.71</v>
      </c>
      <c r="Y60" s="2"/>
      <c r="Z60" s="7">
        <f t="shared" si="51"/>
        <v>0</v>
      </c>
    </row>
    <row r="61" spans="1:26" s="24" customFormat="1" hidden="1" outlineLevel="2" x14ac:dyDescent="0.25">
      <c r="A61" s="26"/>
      <c r="B61" s="11" t="str">
        <f>CONCATENATE("          ", "6237", " - ", "JANITORIAL SUPPLIES")</f>
        <v xml:space="preserve">          6237 - JANITORIAL SUPPLIES</v>
      </c>
      <c r="C61" s="11"/>
      <c r="D61" s="6">
        <v>338.09</v>
      </c>
      <c r="E61" s="2"/>
      <c r="F61" s="7">
        <f t="shared" si="44"/>
        <v>2.1062327769416694E-3</v>
      </c>
      <c r="G61" s="2"/>
      <c r="H61" s="6">
        <v>24.64</v>
      </c>
      <c r="I61" s="2"/>
      <c r="J61" s="7">
        <f t="shared" si="45"/>
        <v>1.6830737900123643E-4</v>
      </c>
      <c r="K61" s="2"/>
      <c r="L61" s="6">
        <f t="shared" si="46"/>
        <v>313.45</v>
      </c>
      <c r="M61" s="2"/>
      <c r="N61" s="7">
        <f t="shared" si="47"/>
        <v>12.721185064935064</v>
      </c>
      <c r="O61" s="11"/>
      <c r="P61" s="6">
        <v>663.92</v>
      </c>
      <c r="Q61" s="2"/>
      <c r="R61" s="7">
        <f t="shared" si="48"/>
        <v>2.0578346633743955E-3</v>
      </c>
      <c r="S61" s="2"/>
      <c r="T61" s="6">
        <v>325.83</v>
      </c>
      <c r="U61" s="2"/>
      <c r="V61" s="7">
        <f t="shared" si="49"/>
        <v>1.0648360058430517E-3</v>
      </c>
      <c r="W61" s="2"/>
      <c r="X61" s="6">
        <f t="shared" si="50"/>
        <v>338.09</v>
      </c>
      <c r="Y61" s="2"/>
      <c r="Z61" s="7">
        <f t="shared" si="51"/>
        <v>1.0376269833962495</v>
      </c>
    </row>
    <row r="62" spans="1:26" s="24" customFormat="1" hidden="1" outlineLevel="2" x14ac:dyDescent="0.25">
      <c r="A62" s="26"/>
      <c r="B62" s="11" t="str">
        <f>CONCATENATE("          ", "6241", " - ", "OFFICE EXPENSE")</f>
        <v xml:space="preserve">          6241 - OFFICE EXPENSE</v>
      </c>
      <c r="C62" s="11"/>
      <c r="D62" s="6">
        <v>337.46</v>
      </c>
      <c r="E62" s="2"/>
      <c r="F62" s="7">
        <f t="shared" si="44"/>
        <v>2.1023080035101178E-3</v>
      </c>
      <c r="G62" s="2"/>
      <c r="H62" s="6">
        <v>714.19</v>
      </c>
      <c r="I62" s="2"/>
      <c r="J62" s="7">
        <f t="shared" si="45"/>
        <v>4.8783866480881918E-3</v>
      </c>
      <c r="K62" s="2"/>
      <c r="L62" s="6">
        <f t="shared" si="46"/>
        <v>-376.73000000000008</v>
      </c>
      <c r="M62" s="2"/>
      <c r="N62" s="7">
        <f t="shared" si="47"/>
        <v>-0.52749268401965865</v>
      </c>
      <c r="O62" s="11"/>
      <c r="P62" s="6">
        <v>872.95</v>
      </c>
      <c r="Q62" s="2"/>
      <c r="R62" s="7">
        <f t="shared" si="48"/>
        <v>2.7057277524290256E-3</v>
      </c>
      <c r="S62" s="2"/>
      <c r="T62" s="6">
        <v>1602</v>
      </c>
      <c r="U62" s="2"/>
      <c r="V62" s="7">
        <f t="shared" si="49"/>
        <v>5.2354518655758188E-3</v>
      </c>
      <c r="W62" s="2"/>
      <c r="X62" s="6">
        <f t="shared" si="50"/>
        <v>-729.05</v>
      </c>
      <c r="Y62" s="2"/>
      <c r="Z62" s="7">
        <f t="shared" si="51"/>
        <v>-0.45508739076154803</v>
      </c>
    </row>
    <row r="63" spans="1:26" s="24" customFormat="1" hidden="1" outlineLevel="2" x14ac:dyDescent="0.25">
      <c r="A63" s="26"/>
      <c r="B63" s="11" t="str">
        <f>CONCATENATE("          ", "6243", " - ", "PAPER SUPPLIES")</f>
        <v xml:space="preserve">          6243 - PAPER SUPPLIES</v>
      </c>
      <c r="C63" s="11"/>
      <c r="D63" s="6">
        <v>1436.33</v>
      </c>
      <c r="E63" s="2"/>
      <c r="F63" s="7">
        <f t="shared" si="44"/>
        <v>8.9480473380006142E-3</v>
      </c>
      <c r="G63" s="2"/>
      <c r="H63" s="6">
        <v>575.41999999999996</v>
      </c>
      <c r="I63" s="2"/>
      <c r="J63" s="7">
        <f t="shared" si="45"/>
        <v>3.9304964295816336E-3</v>
      </c>
      <c r="K63" s="2"/>
      <c r="L63" s="6">
        <f t="shared" si="46"/>
        <v>860.91</v>
      </c>
      <c r="M63" s="2"/>
      <c r="N63" s="7">
        <f t="shared" si="47"/>
        <v>1.4961419484897989</v>
      </c>
      <c r="O63" s="11"/>
      <c r="P63" s="6">
        <v>1591.98</v>
      </c>
      <c r="Q63" s="2"/>
      <c r="R63" s="7">
        <f t="shared" si="48"/>
        <v>4.9343770746456961E-3</v>
      </c>
      <c r="S63" s="2"/>
      <c r="T63" s="6">
        <v>2494.12</v>
      </c>
      <c r="U63" s="2"/>
      <c r="V63" s="7">
        <f t="shared" si="49"/>
        <v>8.150964548670387E-3</v>
      </c>
      <c r="W63" s="2"/>
      <c r="X63" s="6">
        <f t="shared" si="50"/>
        <v>-902.13999999999987</v>
      </c>
      <c r="Y63" s="2"/>
      <c r="Z63" s="7">
        <f t="shared" si="51"/>
        <v>-0.36170673423892991</v>
      </c>
    </row>
    <row r="64" spans="1:26" s="24" customFormat="1" hidden="1" outlineLevel="2" x14ac:dyDescent="0.25">
      <c r="A64" s="26"/>
      <c r="B64" s="11" t="str">
        <f>CONCATENATE("          ", "6247", " - ", "STORE SUPPLIES")</f>
        <v xml:space="preserve">          6247 - STORE SUPPLIES</v>
      </c>
      <c r="C64" s="11"/>
      <c r="D64" s="6">
        <v>382.84</v>
      </c>
      <c r="E64" s="2"/>
      <c r="F64" s="7">
        <f t="shared" si="44"/>
        <v>2.3850162865637807E-3</v>
      </c>
      <c r="G64" s="2"/>
      <c r="H64" s="6">
        <v>462.15</v>
      </c>
      <c r="I64" s="2"/>
      <c r="J64" s="7">
        <f t="shared" si="45"/>
        <v>3.1567879547654792E-3</v>
      </c>
      <c r="K64" s="2"/>
      <c r="L64" s="6">
        <f t="shared" si="46"/>
        <v>-79.31</v>
      </c>
      <c r="M64" s="2"/>
      <c r="N64" s="7">
        <f t="shared" si="47"/>
        <v>-0.17161094882613873</v>
      </c>
      <c r="O64" s="11"/>
      <c r="P64" s="6">
        <v>5994.97</v>
      </c>
      <c r="Q64" s="2"/>
      <c r="R64" s="7">
        <f t="shared" si="48"/>
        <v>1.858154155905772E-2</v>
      </c>
      <c r="S64" s="2"/>
      <c r="T64" s="6">
        <v>2251.06</v>
      </c>
      <c r="U64" s="2"/>
      <c r="V64" s="7">
        <f t="shared" si="49"/>
        <v>7.356626889215419E-3</v>
      </c>
      <c r="W64" s="2"/>
      <c r="X64" s="6">
        <f t="shared" si="50"/>
        <v>3743.9100000000003</v>
      </c>
      <c r="Y64" s="2"/>
      <c r="Z64" s="7">
        <f t="shared" si="51"/>
        <v>1.6631764590903844</v>
      </c>
    </row>
    <row r="65" spans="1:26" s="24" customFormat="1" hidden="1" outlineLevel="2" x14ac:dyDescent="0.25">
      <c r="A65" s="26"/>
      <c r="B65" s="11" t="str">
        <f>CONCATENATE("          ", "6248", " - ", "UNIFORMS")</f>
        <v xml:space="preserve">          6248 - UNIFORMS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/>
      <c r="Q65" s="2"/>
      <c r="R65" s="7">
        <f t="shared" si="48"/>
        <v>0</v>
      </c>
      <c r="S65" s="2"/>
      <c r="T65" s="6">
        <v>187.87</v>
      </c>
      <c r="U65" s="2"/>
      <c r="V65" s="7">
        <f t="shared" si="49"/>
        <v>6.1397274780632279E-4</v>
      </c>
      <c r="W65" s="2"/>
      <c r="X65" s="6">
        <f t="shared" si="50"/>
        <v>-187.87</v>
      </c>
      <c r="Y65" s="2"/>
      <c r="Z65" s="7">
        <f t="shared" si="51"/>
        <v>-1</v>
      </c>
    </row>
    <row r="66" spans="1:26" s="27" customFormat="1" outlineLevel="1" collapsed="1" x14ac:dyDescent="0.25">
      <c r="A66" s="25"/>
      <c r="B66" s="13" t="str">
        <f>CONCATENATE("     ","Telephone/Data Lines                              ")</f>
        <v xml:space="preserve">     Telephone/Data Lines                              </v>
      </c>
      <c r="C66" s="13"/>
      <c r="D66" s="1">
        <f>SUM(OSRRefD22_12x_0)</f>
        <v>36</v>
      </c>
      <c r="E66" s="1"/>
      <c r="F66" s="5">
        <f t="shared" ref="F66:F69" si="52">IF(D$12=0,0,D66/D$12)</f>
        <v>2.2427276751722943E-4</v>
      </c>
      <c r="G66" s="1"/>
      <c r="H66" s="1">
        <f>SUM(OSRRefH22_12x_0)</f>
        <v>36</v>
      </c>
      <c r="I66" s="1"/>
      <c r="J66" s="5">
        <f t="shared" ref="J66:J69" si="53">IF(H$12=0,0,H66/H$12)</f>
        <v>2.4590363815115709E-4</v>
      </c>
      <c r="K66" s="1"/>
      <c r="L66" s="1">
        <f t="shared" ref="L66:L69" si="54">+D66-H66</f>
        <v>0</v>
      </c>
      <c r="M66" s="1"/>
      <c r="N66" s="5">
        <f t="shared" ref="N66:N69" si="55">IF(H66=0,0,L66/H66)</f>
        <v>0</v>
      </c>
      <c r="O66" s="13"/>
      <c r="P66" s="1">
        <f>SUM(OSRRefP22_12x_0)</f>
        <v>159</v>
      </c>
      <c r="Q66" s="1"/>
      <c r="R66" s="5">
        <f t="shared" ref="R66:R69" si="56">IF(P$12=0,0,P66/P$12)</f>
        <v>4.9282400210345966E-4</v>
      </c>
      <c r="S66" s="1"/>
      <c r="T66" s="1">
        <f>SUM(OSRRefT22_12x_0)</f>
        <v>144</v>
      </c>
      <c r="U66" s="1"/>
      <c r="V66" s="5">
        <f t="shared" ref="V66:V69" si="57">IF(T$12=0,0,T66/T$12)</f>
        <v>4.7060241488321966E-4</v>
      </c>
      <c r="W66" s="1"/>
      <c r="X66" s="1">
        <f t="shared" ref="X66:X69" si="58">+P66-T66</f>
        <v>15</v>
      </c>
      <c r="Y66" s="1"/>
      <c r="Z66" s="5">
        <f t="shared" ref="Z66:Z69" si="59">IF(T66=0,0,X66/T66)</f>
        <v>0.10416666666666667</v>
      </c>
    </row>
    <row r="67" spans="1:26" s="24" customFormat="1" hidden="1" outlineLevel="2" x14ac:dyDescent="0.25">
      <c r="A67" s="26"/>
      <c r="B67" s="11" t="str">
        <f>CONCATENATE("          ", "6309", " - ", "TELEPHONE")</f>
        <v xml:space="preserve">          6309 - TELEPHONE</v>
      </c>
      <c r="C67" s="11"/>
      <c r="D67" s="6">
        <v>36</v>
      </c>
      <c r="E67" s="2"/>
      <c r="F67" s="7">
        <f t="shared" si="52"/>
        <v>2.2427276751722943E-4</v>
      </c>
      <c r="G67" s="2"/>
      <c r="H67" s="6">
        <v>36</v>
      </c>
      <c r="I67" s="2"/>
      <c r="J67" s="7">
        <f t="shared" si="53"/>
        <v>2.4590363815115709E-4</v>
      </c>
      <c r="K67" s="2"/>
      <c r="L67" s="6">
        <f t="shared" si="54"/>
        <v>0</v>
      </c>
      <c r="M67" s="2"/>
      <c r="N67" s="7">
        <f t="shared" si="55"/>
        <v>0</v>
      </c>
      <c r="O67" s="11"/>
      <c r="P67" s="6">
        <v>159</v>
      </c>
      <c r="Q67" s="2"/>
      <c r="R67" s="7">
        <f t="shared" si="56"/>
        <v>4.9282400210345966E-4</v>
      </c>
      <c r="S67" s="2"/>
      <c r="T67" s="6">
        <v>144</v>
      </c>
      <c r="U67" s="2"/>
      <c r="V67" s="7">
        <f t="shared" si="57"/>
        <v>4.7060241488321966E-4</v>
      </c>
      <c r="W67" s="2"/>
      <c r="X67" s="6">
        <f t="shared" si="58"/>
        <v>15</v>
      </c>
      <c r="Y67" s="2"/>
      <c r="Z67" s="7">
        <f t="shared" si="59"/>
        <v>0.10416666666666667</v>
      </c>
    </row>
    <row r="68" spans="1:26" s="27" customFormat="1" outlineLevel="1" collapsed="1" x14ac:dyDescent="0.25">
      <c r="A68" s="25"/>
      <c r="B68" s="13" t="str">
        <f>CONCATENATE("     ","Utilities                                         ")</f>
        <v xml:space="preserve">     Utilities                                         </v>
      </c>
      <c r="C68" s="13"/>
      <c r="D68" s="1">
        <f>SUM(OSRRefD22_13x_0)</f>
        <v>182</v>
      </c>
      <c r="E68" s="1"/>
      <c r="F68" s="5">
        <f t="shared" si="52"/>
        <v>1.1338234357815488E-3</v>
      </c>
      <c r="G68" s="1"/>
      <c r="H68" s="1">
        <f>SUM(OSRRefH22_13x_0)</f>
        <v>-143.32</v>
      </c>
      <c r="I68" s="1"/>
      <c r="J68" s="5">
        <f t="shared" si="53"/>
        <v>-9.7896970610621766E-4</v>
      </c>
      <c r="K68" s="1"/>
      <c r="L68" s="1">
        <f t="shared" si="54"/>
        <v>325.32</v>
      </c>
      <c r="M68" s="1"/>
      <c r="N68" s="5">
        <f t="shared" si="55"/>
        <v>-2.2698855707507675</v>
      </c>
      <c r="O68" s="13"/>
      <c r="P68" s="1">
        <f>SUM(OSRRefP22_13x_0)</f>
        <v>546</v>
      </c>
      <c r="Q68" s="1"/>
      <c r="R68" s="5">
        <f t="shared" si="56"/>
        <v>1.6923390260911255E-3</v>
      </c>
      <c r="S68" s="1"/>
      <c r="T68" s="1">
        <f>SUM(OSRRefT22_13x_0)</f>
        <v>402.68</v>
      </c>
      <c r="U68" s="1"/>
      <c r="V68" s="5">
        <f t="shared" si="57"/>
        <v>1.3159873640637145E-3</v>
      </c>
      <c r="W68" s="1"/>
      <c r="X68" s="1">
        <f t="shared" si="58"/>
        <v>143.32</v>
      </c>
      <c r="Y68" s="1"/>
      <c r="Z68" s="5">
        <f t="shared" si="59"/>
        <v>0.35591536704082644</v>
      </c>
    </row>
    <row r="69" spans="1:26" s="24" customFormat="1" hidden="1" outlineLevel="2" x14ac:dyDescent="0.25">
      <c r="A69" s="26"/>
      <c r="B69" s="11" t="str">
        <f>CONCATENATE("          ", "6274", " - ", "UTILITIES")</f>
        <v xml:space="preserve">          6274 - UTILITIES</v>
      </c>
      <c r="C69" s="11"/>
      <c r="D69" s="6">
        <v>182</v>
      </c>
      <c r="E69" s="2"/>
      <c r="F69" s="7">
        <f t="shared" si="52"/>
        <v>1.1338234357815488E-3</v>
      </c>
      <c r="G69" s="2"/>
      <c r="H69" s="6">
        <v>-143.32</v>
      </c>
      <c r="I69" s="2"/>
      <c r="J69" s="7">
        <f t="shared" si="53"/>
        <v>-9.7896970610621766E-4</v>
      </c>
      <c r="K69" s="2"/>
      <c r="L69" s="6">
        <f t="shared" si="54"/>
        <v>325.32</v>
      </c>
      <c r="M69" s="2"/>
      <c r="N69" s="7">
        <f t="shared" si="55"/>
        <v>-2.2698855707507675</v>
      </c>
      <c r="O69" s="11"/>
      <c r="P69" s="6">
        <v>546</v>
      </c>
      <c r="Q69" s="2"/>
      <c r="R69" s="7">
        <f t="shared" si="56"/>
        <v>1.6923390260911255E-3</v>
      </c>
      <c r="S69" s="2"/>
      <c r="T69" s="6">
        <v>402.68</v>
      </c>
      <c r="U69" s="2"/>
      <c r="V69" s="7">
        <f t="shared" si="57"/>
        <v>1.3159873640637145E-3</v>
      </c>
      <c r="W69" s="2"/>
      <c r="X69" s="6">
        <f t="shared" si="58"/>
        <v>143.32</v>
      </c>
      <c r="Y69" s="2"/>
      <c r="Z69" s="7">
        <f t="shared" si="59"/>
        <v>0.35591536704082644</v>
      </c>
    </row>
    <row r="70" spans="1:26" s="55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1">
        <f>+D20-D22+D71</f>
        <v>36336.340000000011</v>
      </c>
      <c r="E73" s="14"/>
      <c r="F73" s="22">
        <f>IF(D$12=0,0,D73/D$12)</f>
        <v>0.22636809814575021</v>
      </c>
      <c r="G73" s="14"/>
      <c r="H73" s="21">
        <f>+H20-H22+H71</f>
        <v>38162.100000000013</v>
      </c>
      <c r="I73" s="14"/>
      <c r="J73" s="22">
        <f>IF(H$12=0,0,H73/H$12)</f>
        <v>0.26067220081911879</v>
      </c>
      <c r="K73" s="16"/>
      <c r="L73" s="21">
        <f>+D73-H73</f>
        <v>-1825.760000000002</v>
      </c>
      <c r="M73" s="16"/>
      <c r="N73" s="22">
        <f>IF(H73=0,0,L73/H73)</f>
        <v>-4.7842230904483807E-2</v>
      </c>
      <c r="O73" s="29"/>
      <c r="P73" s="21">
        <f>+P20-P22+P71</f>
        <v>41812.849999999991</v>
      </c>
      <c r="Q73" s="14"/>
      <c r="R73" s="22">
        <f>IF(P$12=0,0,P73/P$12)</f>
        <v>0.12959984953680276</v>
      </c>
      <c r="S73" s="14"/>
      <c r="T73" s="21">
        <f>+T20-T22+T71</f>
        <v>55797.380000000048</v>
      </c>
      <c r="U73" s="14"/>
      <c r="V73" s="22">
        <f>IF(T$12=0,0,T73/T$12)</f>
        <v>0.18234987341775474</v>
      </c>
      <c r="W73" s="16"/>
      <c r="X73" s="21">
        <f>+P73-T73</f>
        <v>-13984.530000000057</v>
      </c>
      <c r="Y73" s="16"/>
      <c r="Z73" s="22">
        <f>IF(T73=0,0,X73/T73)</f>
        <v>-0.25063058516367692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15063.87</v>
      </c>
      <c r="E75" s="4"/>
      <c r="F75" s="12">
        <f>IF(D$12=0,0,D75/D$12)</f>
        <v>9.3844883733882417E-2</v>
      </c>
      <c r="G75" s="4"/>
      <c r="H75" s="4">
        <v>13922.85</v>
      </c>
      <c r="I75" s="4"/>
      <c r="J75" s="12">
        <f>IF(H$12=0,0,H75/H$12)</f>
        <v>9.5102207456467719E-2</v>
      </c>
      <c r="K75" s="4"/>
      <c r="L75" s="4">
        <f>+D75-H75</f>
        <v>1141.0200000000004</v>
      </c>
      <c r="M75" s="4"/>
      <c r="N75" s="12">
        <f>IF(H75=0,0,L75/H75)</f>
        <v>8.1953048406037593E-2</v>
      </c>
      <c r="O75" s="10"/>
      <c r="P75" s="4">
        <v>32476.799999999999</v>
      </c>
      <c r="Q75" s="4"/>
      <c r="R75" s="12">
        <f>IF(P$12=0,0,P75/P$12)</f>
        <v>0.10066255692775872</v>
      </c>
      <c r="S75" s="4"/>
      <c r="T75" s="4">
        <v>28102.129999999997</v>
      </c>
      <c r="U75" s="4"/>
      <c r="V75" s="12">
        <f>IF(T$12=0,0,T75/T$12)</f>
        <v>9.1839793342792866E-2</v>
      </c>
      <c r="W75" s="4"/>
      <c r="X75" s="4">
        <f>+P75-T75</f>
        <v>4374.6700000000019</v>
      </c>
      <c r="Y75" s="4"/>
      <c r="Z75" s="12">
        <f>IF(T75=0,0,X75/T75)</f>
        <v>0.15567040647808555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1">
        <f>+D73-D75</f>
        <v>21272.470000000008</v>
      </c>
      <c r="E77" s="14"/>
      <c r="F77" s="34">
        <f>IF(D$12=0,0,D77/D$12)</f>
        <v>0.13252321441186776</v>
      </c>
      <c r="G77" s="14"/>
      <c r="H77" s="31">
        <f>+H73-H75</f>
        <v>24239.250000000015</v>
      </c>
      <c r="I77" s="14"/>
      <c r="J77" s="34">
        <f>IF(H$12=0,0,H77/H$12)</f>
        <v>0.16556999336265107</v>
      </c>
      <c r="K77" s="16"/>
      <c r="L77" s="31">
        <f>D77-H77</f>
        <v>-2966.7800000000061</v>
      </c>
      <c r="M77" s="16"/>
      <c r="N77" s="34">
        <f>IF(H77=0,0,L77/H77)</f>
        <v>-0.12239570118712437</v>
      </c>
      <c r="O77" s="29"/>
      <c r="P77" s="31">
        <f>+P73-P75</f>
        <v>9336.049999999992</v>
      </c>
      <c r="Q77" s="14"/>
      <c r="R77" s="34">
        <f>IF(P$12=0,0,P77/P$12)</f>
        <v>2.8937292609044027E-2</v>
      </c>
      <c r="S77" s="14"/>
      <c r="T77" s="31">
        <f>+T73-T75</f>
        <v>27695.250000000051</v>
      </c>
      <c r="U77" s="14"/>
      <c r="V77" s="34">
        <f>IF(T$12=0,0,T77/T$12)</f>
        <v>9.0510080074961891E-2</v>
      </c>
      <c r="W77" s="16"/>
      <c r="X77" s="31">
        <f>P77-T77</f>
        <v>-18359.200000000059</v>
      </c>
      <c r="Y77" s="16"/>
      <c r="Z77" s="34">
        <f>IF(T77=0,0,X77/T77)</f>
        <v>-0.66290067791408369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6">
        <f>SUM(D77:D79)</f>
        <v>21272.470000000008</v>
      </c>
      <c r="E80" s="14"/>
      <c r="F80" s="33">
        <f>IF(D$12=0,0,D80/D$12)</f>
        <v>0.13252321441186776</v>
      </c>
      <c r="G80" s="14"/>
      <c r="H80" s="36">
        <f>SUM(H77:H79)</f>
        <v>24239.250000000015</v>
      </c>
      <c r="I80" s="14"/>
      <c r="J80" s="33">
        <f>IF(H$12=0,0,H80/H$12)</f>
        <v>0.16556999336265107</v>
      </c>
      <c r="K80" s="16"/>
      <c r="L80" s="36">
        <f>+D80-H80</f>
        <v>-2966.7800000000061</v>
      </c>
      <c r="M80" s="16"/>
      <c r="N80" s="33">
        <f>IF(H80=0,0,L80/H80)</f>
        <v>-0.12239570118712437</v>
      </c>
      <c r="O80" s="29"/>
      <c r="P80" s="36">
        <f>SUM(P77:P79)</f>
        <v>9336.049999999992</v>
      </c>
      <c r="Q80" s="14"/>
      <c r="R80" s="33">
        <f>IF(P$12=0,0,P80/P$12)</f>
        <v>2.8937292609044027E-2</v>
      </c>
      <c r="S80" s="14"/>
      <c r="T80" s="36">
        <f>SUM(T77:T79)</f>
        <v>27695.250000000051</v>
      </c>
      <c r="U80" s="14"/>
      <c r="V80" s="33">
        <f>IF(T$12=0,0,T80/T$12)</f>
        <v>9.0510080074961891E-2</v>
      </c>
      <c r="W80" s="16"/>
      <c r="X80" s="36">
        <f>+P80-T80</f>
        <v>-18359.200000000059</v>
      </c>
      <c r="Y80" s="16"/>
      <c r="Z80" s="33">
        <f>IF(T80=0,0,X80/T80)</f>
        <v>-0.66290067791408369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61">
        <v>43791.355422106484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56" t="s">
        <v>313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A84" s="9"/>
      <c r="B84" s="57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4" x14ac:dyDescent="0.25"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","323", " - ", "Library Copy Center")</f>
        <v>Department 323 - Library Copy Center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SUM(0)</f>
        <v>0</v>
      </c>
      <c r="E18" s="20"/>
      <c r="F18" s="35">
        <f>IF(D$12=0,0,D18/D$12)</f>
        <v>0</v>
      </c>
      <c r="G18" s="20"/>
      <c r="H18" s="20">
        <f>SUM(0)</f>
        <v>0</v>
      </c>
      <c r="I18" s="20"/>
      <c r="J18" s="35">
        <f>IF(H$12=0,0,H18/H$12)</f>
        <v>0</v>
      </c>
      <c r="K18" s="4"/>
      <c r="L18" s="20">
        <f>+D18-H18</f>
        <v>0</v>
      </c>
      <c r="M18" s="4"/>
      <c r="N18" s="35">
        <f>IF(H18=0,0,L18/H18)</f>
        <v>0</v>
      </c>
      <c r="O18" s="10"/>
      <c r="P18" s="20">
        <f>SUM(0)</f>
        <v>0</v>
      </c>
      <c r="Q18" s="20"/>
      <c r="R18" s="35">
        <f>IF(P$12=0,0,P18/P$12)</f>
        <v>0</v>
      </c>
      <c r="S18" s="20"/>
      <c r="T18" s="20">
        <f>SUM(0)</f>
        <v>0</v>
      </c>
      <c r="U18" s="20"/>
      <c r="V18" s="35">
        <f>IF(T$12=0,0,T18/T$12)</f>
        <v>0</v>
      </c>
      <c r="W18" s="4"/>
      <c r="X18" s="20">
        <f>+P18-T18</f>
        <v>0</v>
      </c>
      <c r="Y18" s="4"/>
      <c r="Z18" s="35">
        <f>IF(T18=0,0,X18/T18)</f>
        <v>0</v>
      </c>
    </row>
    <row r="19" spans="1:26" s="55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1">
        <f>+D16-D18+D20</f>
        <v>0</v>
      </c>
      <c r="E22" s="14"/>
      <c r="F22" s="22">
        <f>IF(D$12=0,0,D22/D$12)</f>
        <v>0</v>
      </c>
      <c r="G22" s="14"/>
      <c r="H22" s="21">
        <f>+H16-H18+H20</f>
        <v>0</v>
      </c>
      <c r="I22" s="14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9"/>
      <c r="P22" s="21">
        <f>+P16-P18+P20</f>
        <v>0</v>
      </c>
      <c r="Q22" s="14"/>
      <c r="R22" s="22">
        <f>IF(P$12=0,0,P22/P$12)</f>
        <v>0</v>
      </c>
      <c r="S22" s="14"/>
      <c r="T22" s="21">
        <f>+T16-T18+T20</f>
        <v>0</v>
      </c>
      <c r="U22" s="14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4">
        <f>IF(D$12=0,0,D26/D$12)</f>
        <v>0</v>
      </c>
      <c r="G26" s="14"/>
      <c r="H26" s="31">
        <f>+H22-H24</f>
        <v>0</v>
      </c>
      <c r="I26" s="14"/>
      <c r="J26" s="34">
        <f>IF(H$12=0,0,H26/H$12)</f>
        <v>0</v>
      </c>
      <c r="K26" s="16"/>
      <c r="L26" s="31">
        <f>D26-H26</f>
        <v>0</v>
      </c>
      <c r="M26" s="16"/>
      <c r="N26" s="34">
        <f>IF(H26=0,0,L26/H26)</f>
        <v>0</v>
      </c>
      <c r="O26" s="29"/>
      <c r="P26" s="31">
        <f>+P22-P24</f>
        <v>0</v>
      </c>
      <c r="Q26" s="14"/>
      <c r="R26" s="34">
        <f>IF(P$12=0,0,P26/P$12)</f>
        <v>0</v>
      </c>
      <c r="S26" s="14"/>
      <c r="T26" s="31">
        <f>+T22-T24</f>
        <v>0</v>
      </c>
      <c r="U26" s="14"/>
      <c r="V26" s="34">
        <f>IF(T$12=0,0,T26/T$12)</f>
        <v>0</v>
      </c>
      <c r="W26" s="16"/>
      <c r="X26" s="31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8" t="s">
        <v>5</v>
      </c>
      <c r="C29" s="28"/>
      <c r="D29" s="36">
        <f>SUM(D26:D28)</f>
        <v>0</v>
      </c>
      <c r="E29" s="14"/>
      <c r="F29" s="33">
        <f>IF(D$12=0,0,D29/D$12)</f>
        <v>0</v>
      </c>
      <c r="G29" s="14"/>
      <c r="H29" s="36">
        <f>SUM(H26:H28)</f>
        <v>0</v>
      </c>
      <c r="I29" s="14"/>
      <c r="J29" s="33">
        <f>IF(H$12=0,0,H29/H$12)</f>
        <v>0</v>
      </c>
      <c r="K29" s="16"/>
      <c r="L29" s="36">
        <f>+D29-H29</f>
        <v>0</v>
      </c>
      <c r="M29" s="16"/>
      <c r="N29" s="33">
        <f>IF(H29=0,0,L29/H29)</f>
        <v>0</v>
      </c>
      <c r="O29" s="29"/>
      <c r="P29" s="36">
        <f>SUM(P26:P28)</f>
        <v>0</v>
      </c>
      <c r="Q29" s="14"/>
      <c r="R29" s="33">
        <f>IF(P$12=0,0,P29/P$12)</f>
        <v>0</v>
      </c>
      <c r="S29" s="14"/>
      <c r="T29" s="36">
        <f>SUM(T26:T28)</f>
        <v>0</v>
      </c>
      <c r="U29" s="14"/>
      <c r="V29" s="33">
        <f>IF(T$12=0,0,T29/T$12)</f>
        <v>0</v>
      </c>
      <c r="W29" s="16"/>
      <c r="X29" s="36">
        <f>+P29-T29</f>
        <v>0</v>
      </c>
      <c r="Y29" s="16"/>
      <c r="Z29" s="33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2"/>
      <c r="K30" s="18"/>
      <c r="L30" s="18"/>
      <c r="M30" s="18"/>
      <c r="P30" s="18"/>
      <c r="Q30" s="18"/>
      <c r="R30" s="42"/>
      <c r="S30" s="18"/>
      <c r="T30" s="18"/>
      <c r="U30" s="18"/>
      <c r="V30" s="42"/>
      <c r="W30" s="18"/>
      <c r="X30" s="18"/>
    </row>
    <row r="31" spans="1:26" x14ac:dyDescent="0.25">
      <c r="A31" s="9"/>
      <c r="B31" s="61">
        <v>43791.355439618055</v>
      </c>
      <c r="D31" s="18"/>
      <c r="E31" s="18"/>
      <c r="G31" s="18"/>
      <c r="H31" s="18"/>
      <c r="I31" s="18"/>
      <c r="J31" s="42"/>
      <c r="K31" s="18"/>
      <c r="L31" s="18"/>
      <c r="M31" s="18"/>
      <c r="P31" s="18"/>
      <c r="Q31" s="18"/>
      <c r="R31" s="42"/>
      <c r="S31" s="18"/>
      <c r="T31" s="18"/>
      <c r="U31" s="18"/>
      <c r="V31" s="42"/>
      <c r="W31" s="18"/>
      <c r="X31" s="18"/>
    </row>
    <row r="32" spans="1:26" x14ac:dyDescent="0.25">
      <c r="A32" s="9"/>
      <c r="B32" s="56" t="s">
        <v>313</v>
      </c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7"/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","324", " - ", "Textbook Rental")</f>
        <v>Department 324 - Textbook Rental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11239.18</v>
      </c>
      <c r="E12" s="4"/>
      <c r="F12" s="12"/>
      <c r="G12" s="4"/>
      <c r="H12" s="4">
        <f>SUM(OSRRefH13x_0)</f>
        <v>14741.689999999999</v>
      </c>
      <c r="I12" s="4"/>
      <c r="J12" s="12"/>
      <c r="K12" s="4"/>
      <c r="L12" s="4">
        <f t="shared" ref="L12:L15" si="0">+D12-H12</f>
        <v>-3502.5099999999984</v>
      </c>
      <c r="M12" s="4"/>
      <c r="N12" s="12">
        <f t="shared" ref="N12:N15" si="1">IF(H12=0,0,L12/H12)</f>
        <v>-0.23759216209267722</v>
      </c>
      <c r="O12" s="10"/>
      <c r="P12" s="4">
        <f>SUM(OSRRefP13x_0)</f>
        <v>901285.69</v>
      </c>
      <c r="Q12" s="4"/>
      <c r="R12" s="12"/>
      <c r="S12" s="4"/>
      <c r="T12" s="4">
        <f>SUM(OSRRefT13x_0)</f>
        <v>1076888.9099999999</v>
      </c>
      <c r="U12" s="4"/>
      <c r="V12" s="12"/>
      <c r="W12" s="4"/>
      <c r="X12" s="4">
        <f t="shared" ref="X12:X15" si="2">+P12-T12</f>
        <v>-175603.21999999997</v>
      </c>
      <c r="Y12" s="4"/>
      <c r="Z12" s="12">
        <f t="shared" ref="Z12:Z15" si="3">IF(T12=0,0,X12/T12)</f>
        <v>-0.16306530633693683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--4664.7</f>
        <v>4664.7</v>
      </c>
      <c r="E13" s="2"/>
      <c r="F13" s="19"/>
      <c r="G13" s="2"/>
      <c r="H13" s="2">
        <f>--6465.54</f>
        <v>6465.54</v>
      </c>
      <c r="I13" s="2"/>
      <c r="J13" s="19"/>
      <c r="K13" s="2"/>
      <c r="L13" s="2">
        <f t="shared" si="0"/>
        <v>-1800.8400000000001</v>
      </c>
      <c r="M13" s="2"/>
      <c r="N13" s="19">
        <f t="shared" si="1"/>
        <v>-0.27852893957813268</v>
      </c>
      <c r="O13" s="11"/>
      <c r="P13" s="2">
        <f>--256370.31</f>
        <v>256370.31</v>
      </c>
      <c r="Q13" s="2"/>
      <c r="R13" s="19"/>
      <c r="S13" s="2"/>
      <c r="T13" s="2">
        <f>--307401.83</f>
        <v>307401.83</v>
      </c>
      <c r="U13" s="2"/>
      <c r="V13" s="19"/>
      <c r="W13" s="2"/>
      <c r="X13" s="2">
        <f t="shared" si="2"/>
        <v>-51031.520000000019</v>
      </c>
      <c r="Y13" s="2"/>
      <c r="Z13" s="19">
        <f t="shared" si="3"/>
        <v>-0.16600916136380847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--2860.58</f>
        <v>2860.58</v>
      </c>
      <c r="E14" s="2"/>
      <c r="F14" s="19"/>
      <c r="G14" s="2"/>
      <c r="H14" s="2">
        <f>--3454.27</f>
        <v>3454.27</v>
      </c>
      <c r="I14" s="2"/>
      <c r="J14" s="19"/>
      <c r="K14" s="2"/>
      <c r="L14" s="2">
        <f t="shared" si="0"/>
        <v>-593.69000000000005</v>
      </c>
      <c r="M14" s="2"/>
      <c r="N14" s="19">
        <f t="shared" si="1"/>
        <v>-0.17187133605653296</v>
      </c>
      <c r="O14" s="11"/>
      <c r="P14" s="2">
        <f>--309533.71</f>
        <v>309533.71000000002</v>
      </c>
      <c r="Q14" s="2"/>
      <c r="R14" s="19"/>
      <c r="S14" s="2"/>
      <c r="T14" s="2">
        <f>--379176.79</f>
        <v>379176.79</v>
      </c>
      <c r="U14" s="2"/>
      <c r="V14" s="19"/>
      <c r="W14" s="2"/>
      <c r="X14" s="2">
        <f t="shared" si="2"/>
        <v>-69643.079999999958</v>
      </c>
      <c r="Y14" s="2"/>
      <c r="Z14" s="19">
        <f t="shared" si="3"/>
        <v>-0.18366915337829606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--3713.9</f>
        <v>3713.9</v>
      </c>
      <c r="E15" s="2"/>
      <c r="F15" s="19"/>
      <c r="G15" s="2"/>
      <c r="H15" s="2">
        <f>--4821.88</f>
        <v>4821.88</v>
      </c>
      <c r="I15" s="2"/>
      <c r="J15" s="19"/>
      <c r="K15" s="2"/>
      <c r="L15" s="2">
        <f t="shared" si="0"/>
        <v>-1107.98</v>
      </c>
      <c r="M15" s="2"/>
      <c r="N15" s="19">
        <f t="shared" si="1"/>
        <v>-0.22978174487959052</v>
      </c>
      <c r="O15" s="11"/>
      <c r="P15" s="2">
        <f>--335381.67</f>
        <v>335381.67</v>
      </c>
      <c r="Q15" s="2"/>
      <c r="R15" s="19"/>
      <c r="S15" s="2"/>
      <c r="T15" s="2">
        <f>--390310.29</f>
        <v>390310.29</v>
      </c>
      <c r="U15" s="2"/>
      <c r="V15" s="19"/>
      <c r="W15" s="2"/>
      <c r="X15" s="2">
        <f t="shared" si="2"/>
        <v>-54928.619999999995</v>
      </c>
      <c r="Y15" s="2"/>
      <c r="Z15" s="19">
        <f t="shared" si="3"/>
        <v>-0.14073064791604648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8412.64</v>
      </c>
      <c r="E17" s="4"/>
      <c r="F17" s="12">
        <f t="shared" ref="F17:F19" si="4">IF(D$12=0,0,D17/D$12)</f>
        <v>0.74851012262460426</v>
      </c>
      <c r="G17" s="4"/>
      <c r="H17" s="4">
        <f>SUM(OSRRefH16x_0)</f>
        <v>11186.43</v>
      </c>
      <c r="I17" s="4"/>
      <c r="J17" s="12">
        <f t="shared" ref="J17:J19" si="5">IF(H$12=0,0,H17/H$12)</f>
        <v>0.75882955075028724</v>
      </c>
      <c r="K17" s="4"/>
      <c r="L17" s="4">
        <f t="shared" ref="L17:L19" si="6">+D17-H17</f>
        <v>-2773.7900000000009</v>
      </c>
      <c r="M17" s="4"/>
      <c r="N17" s="12">
        <f t="shared" ref="N17:N19" si="7">IF(H17=0,0,L17/H17)</f>
        <v>-0.24796025184084652</v>
      </c>
      <c r="O17" s="10"/>
      <c r="P17" s="4">
        <f>SUM(OSRRefP16x_0)</f>
        <v>682773.27</v>
      </c>
      <c r="Q17" s="4"/>
      <c r="R17" s="12">
        <f t="shared" ref="R17:R19" si="8">IF(P$12=0,0,P17/P$12)</f>
        <v>0.7575547660143146</v>
      </c>
      <c r="S17" s="4"/>
      <c r="T17" s="4">
        <f>SUM(OSRRefT16x_0)</f>
        <v>797684.79</v>
      </c>
      <c r="U17" s="4"/>
      <c r="V17" s="12">
        <f t="shared" ref="V17:V19" si="9">IF(T$12=0,0,T17/T$12)</f>
        <v>0.7407308057429991</v>
      </c>
      <c r="W17" s="4"/>
      <c r="X17" s="4">
        <f t="shared" ref="X17:X19" si="10">+P17-T17</f>
        <v>-114911.52000000002</v>
      </c>
      <c r="Y17" s="4"/>
      <c r="Z17" s="12">
        <f t="shared" ref="Z17:Z19" si="11">IF(T17=0,0,X17/T17)</f>
        <v>-0.14405630073503095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5342.77</v>
      </c>
      <c r="E18" s="2"/>
      <c r="F18" s="19">
        <f t="shared" si="4"/>
        <v>0.47537008927697577</v>
      </c>
      <c r="G18" s="2"/>
      <c r="H18" s="2">
        <v>8089.18</v>
      </c>
      <c r="I18" s="2"/>
      <c r="J18" s="19">
        <f t="shared" si="5"/>
        <v>0.54872813089951022</v>
      </c>
      <c r="K18" s="2"/>
      <c r="L18" s="2">
        <f t="shared" si="6"/>
        <v>-2746.41</v>
      </c>
      <c r="M18" s="2"/>
      <c r="N18" s="19">
        <f t="shared" si="7"/>
        <v>-0.33951648992852179</v>
      </c>
      <c r="O18" s="11"/>
      <c r="P18" s="2">
        <v>308300.27</v>
      </c>
      <c r="Q18" s="2"/>
      <c r="R18" s="19">
        <f t="shared" si="8"/>
        <v>0.34206719736113866</v>
      </c>
      <c r="S18" s="2"/>
      <c r="T18" s="2">
        <v>359765.08999999997</v>
      </c>
      <c r="U18" s="2"/>
      <c r="V18" s="19">
        <f t="shared" si="9"/>
        <v>0.33407818267902861</v>
      </c>
      <c r="W18" s="2"/>
      <c r="X18" s="2">
        <f t="shared" si="10"/>
        <v>-51464.819999999949</v>
      </c>
      <c r="Y18" s="2"/>
      <c r="Z18" s="19">
        <f t="shared" si="11"/>
        <v>-0.14305117820075303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3069.87</v>
      </c>
      <c r="E19" s="2"/>
      <c r="F19" s="19">
        <f t="shared" si="4"/>
        <v>0.27314003334762854</v>
      </c>
      <c r="G19" s="2"/>
      <c r="H19" s="2">
        <v>3097.25</v>
      </c>
      <c r="I19" s="2"/>
      <c r="J19" s="19">
        <f t="shared" si="5"/>
        <v>0.21010141985077696</v>
      </c>
      <c r="K19" s="2"/>
      <c r="L19" s="2">
        <f t="shared" si="6"/>
        <v>-27.380000000000109</v>
      </c>
      <c r="M19" s="2"/>
      <c r="N19" s="19">
        <f t="shared" si="7"/>
        <v>-8.8401000887884766E-3</v>
      </c>
      <c r="O19" s="11"/>
      <c r="P19" s="2">
        <v>374473</v>
      </c>
      <c r="Q19" s="2"/>
      <c r="R19" s="19">
        <f t="shared" si="8"/>
        <v>0.41548756865317593</v>
      </c>
      <c r="S19" s="2"/>
      <c r="T19" s="2">
        <v>437919.7</v>
      </c>
      <c r="U19" s="2"/>
      <c r="V19" s="19">
        <f t="shared" si="9"/>
        <v>0.40665262306397049</v>
      </c>
      <c r="W19" s="2"/>
      <c r="X19" s="2">
        <f t="shared" si="10"/>
        <v>-63446.700000000012</v>
      </c>
      <c r="Y19" s="2"/>
      <c r="Z19" s="19">
        <f t="shared" si="11"/>
        <v>-0.14488204115960074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2826.5400000000009</v>
      </c>
      <c r="E21" s="14"/>
      <c r="F21" s="22">
        <f>IF(D$12=0,0,D21/D$12)</f>
        <v>0.2514898773753958</v>
      </c>
      <c r="G21" s="14"/>
      <c r="H21" s="21">
        <f>H12-H17</f>
        <v>3555.2599999999984</v>
      </c>
      <c r="I21" s="14"/>
      <c r="J21" s="22">
        <f>IF(H$12=0,0,H21/H$12)</f>
        <v>0.24117044924971281</v>
      </c>
      <c r="K21" s="16"/>
      <c r="L21" s="21">
        <f>+D21-H21</f>
        <v>-728.71999999999753</v>
      </c>
      <c r="M21" s="16"/>
      <c r="N21" s="22">
        <f>IF(H21=0,0,L21/H21)</f>
        <v>-0.20496953809285337</v>
      </c>
      <c r="O21" s="29"/>
      <c r="P21" s="21">
        <f>P12-P17</f>
        <v>218512.41999999993</v>
      </c>
      <c r="Q21" s="14"/>
      <c r="R21" s="22">
        <f>IF(P$12=0,0,P21/P$12)</f>
        <v>0.24244523398568543</v>
      </c>
      <c r="S21" s="14"/>
      <c r="T21" s="21">
        <f>T12-T17</f>
        <v>279204.11999999988</v>
      </c>
      <c r="U21" s="14"/>
      <c r="V21" s="22">
        <f>IF(T$12=0,0,T21/T$12)</f>
        <v>0.25926919425700085</v>
      </c>
      <c r="W21" s="16"/>
      <c r="X21" s="21">
        <f>+P21-T21</f>
        <v>-60691.699999999953</v>
      </c>
      <c r="Y21" s="16"/>
      <c r="Z21" s="22">
        <f>IF(T21=0,0,X21/T21)</f>
        <v>-0.21737394133009205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0">
        <f>SUM(OSRRefD22x_0)</f>
        <v>0</v>
      </c>
      <c r="E23" s="20"/>
      <c r="F23" s="35">
        <f t="shared" ref="F23:F25" si="12">IF(D$12=0,0,D23/D$12)</f>
        <v>0</v>
      </c>
      <c r="G23" s="20"/>
      <c r="H23" s="20">
        <f>SUM(OSRRefH22x_0)</f>
        <v>0</v>
      </c>
      <c r="I23" s="20"/>
      <c r="J23" s="35">
        <f t="shared" ref="J23:J25" si="13">IF(H$12=0,0,H23/H$12)</f>
        <v>0</v>
      </c>
      <c r="K23" s="4"/>
      <c r="L23" s="20">
        <f t="shared" ref="L23:L25" si="14">+D23-H23</f>
        <v>0</v>
      </c>
      <c r="M23" s="4"/>
      <c r="N23" s="35">
        <f t="shared" ref="N23:N25" si="15">IF(H23=0,0,L23/H23)</f>
        <v>0</v>
      </c>
      <c r="O23" s="10"/>
      <c r="P23" s="20">
        <f>SUM(OSRRefP22x_0)</f>
        <v>0</v>
      </c>
      <c r="Q23" s="20"/>
      <c r="R23" s="35">
        <f t="shared" ref="R23:R25" si="16">IF(P$12=0,0,P23/P$12)</f>
        <v>0</v>
      </c>
      <c r="S23" s="20"/>
      <c r="T23" s="20">
        <f>SUM(OSRRefT22x_0)</f>
        <v>45</v>
      </c>
      <c r="U23" s="20"/>
      <c r="V23" s="35">
        <f t="shared" ref="V23:V25" si="17">IF(T$12=0,0,T23/T$12)</f>
        <v>4.1787040039255302E-5</v>
      </c>
      <c r="W23" s="4"/>
      <c r="X23" s="20">
        <f t="shared" ref="X23:X25" si="18">+P23-T23</f>
        <v>-45</v>
      </c>
      <c r="Y23" s="4"/>
      <c r="Z23" s="35">
        <f t="shared" ref="Z23:Z25" si="19">IF(T23=0,0,X23/T23)</f>
        <v>-1</v>
      </c>
    </row>
    <row r="24" spans="1:26" s="27" customFormat="1" outlineLevel="1" collapsed="1" x14ac:dyDescent="0.25">
      <c r="A24" s="25"/>
      <c r="B24" s="13" t="str">
        <f>CONCATENATE("     ","Supplies                                          ")</f>
        <v xml:space="preserve">     Supplies                                          </v>
      </c>
      <c r="C24" s="13"/>
      <c r="D24" s="1">
        <f>SUM(OSRRefD22_0x_0)</f>
        <v>0</v>
      </c>
      <c r="E24" s="1"/>
      <c r="F24" s="5">
        <f t="shared" si="12"/>
        <v>0</v>
      </c>
      <c r="G24" s="1"/>
      <c r="H24" s="1">
        <f>SUM(OSRRefH22_0x_0)</f>
        <v>0</v>
      </c>
      <c r="I24" s="1"/>
      <c r="J24" s="5">
        <f t="shared" si="13"/>
        <v>0</v>
      </c>
      <c r="K24" s="1"/>
      <c r="L24" s="1">
        <f t="shared" si="14"/>
        <v>0</v>
      </c>
      <c r="M24" s="1"/>
      <c r="N24" s="5">
        <f t="shared" si="15"/>
        <v>0</v>
      </c>
      <c r="O24" s="13"/>
      <c r="P24" s="1">
        <f>SUM(OSRRefP22_0x_0)</f>
        <v>0</v>
      </c>
      <c r="Q24" s="1"/>
      <c r="R24" s="5">
        <f t="shared" si="16"/>
        <v>0</v>
      </c>
      <c r="S24" s="1"/>
      <c r="T24" s="1">
        <f>SUM(OSRRefT22_0x_0)</f>
        <v>45</v>
      </c>
      <c r="U24" s="1"/>
      <c r="V24" s="5">
        <f t="shared" si="17"/>
        <v>4.1787040039255302E-5</v>
      </c>
      <c r="W24" s="1"/>
      <c r="X24" s="1">
        <f t="shared" si="18"/>
        <v>-45</v>
      </c>
      <c r="Y24" s="1"/>
      <c r="Z24" s="5">
        <f t="shared" si="19"/>
        <v>-1</v>
      </c>
    </row>
    <row r="25" spans="1:26" s="24" customFormat="1" hidden="1" outlineLevel="2" x14ac:dyDescent="0.25">
      <c r="A25" s="26"/>
      <c r="B25" s="11" t="str">
        <f>CONCATENATE("          ", "6241", " - ", "OFFICE EXPENSE")</f>
        <v xml:space="preserve">          6241 - OFFICE EXPENSE</v>
      </c>
      <c r="C25" s="11"/>
      <c r="D25" s="6"/>
      <c r="E25" s="2"/>
      <c r="F25" s="7">
        <f t="shared" si="12"/>
        <v>0</v>
      </c>
      <c r="G25" s="2"/>
      <c r="H25" s="6"/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45</v>
      </c>
      <c r="U25" s="2"/>
      <c r="V25" s="7">
        <f t="shared" si="17"/>
        <v>4.1787040039255302E-5</v>
      </c>
      <c r="W25" s="2"/>
      <c r="X25" s="6">
        <f t="shared" si="18"/>
        <v>-45</v>
      </c>
      <c r="Y25" s="2"/>
      <c r="Z25" s="7">
        <f t="shared" si="19"/>
        <v>-1</v>
      </c>
    </row>
    <row r="26" spans="1:26" s="55" customFormat="1" x14ac:dyDescent="0.25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0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3</v>
      </c>
      <c r="C29" s="28"/>
      <c r="D29" s="21">
        <f>+D21-D23+D27</f>
        <v>2826.5400000000009</v>
      </c>
      <c r="E29" s="14"/>
      <c r="F29" s="22">
        <f>IF(D$12=0,0,D29/D$12)</f>
        <v>0.2514898773753958</v>
      </c>
      <c r="G29" s="14"/>
      <c r="H29" s="21">
        <f>+H21-H23+H27</f>
        <v>3555.2599999999984</v>
      </c>
      <c r="I29" s="14"/>
      <c r="J29" s="22">
        <f>IF(H$12=0,0,H29/H$12)</f>
        <v>0.24117044924971281</v>
      </c>
      <c r="K29" s="16"/>
      <c r="L29" s="21">
        <f>+D29-H29</f>
        <v>-728.71999999999753</v>
      </c>
      <c r="M29" s="16"/>
      <c r="N29" s="22">
        <f>IF(H29=0,0,L29/H29)</f>
        <v>-0.20496953809285337</v>
      </c>
      <c r="O29" s="29"/>
      <c r="P29" s="21">
        <f>+P21-P23+P27</f>
        <v>218512.41999999993</v>
      </c>
      <c r="Q29" s="14"/>
      <c r="R29" s="22">
        <f>IF(P$12=0,0,P29/P$12)</f>
        <v>0.24244523398568543</v>
      </c>
      <c r="S29" s="14"/>
      <c r="T29" s="21">
        <f>+T21-T23+T27</f>
        <v>279159.11999999988</v>
      </c>
      <c r="U29" s="14"/>
      <c r="V29" s="22">
        <f>IF(T$12=0,0,T29/T$12)</f>
        <v>0.25922740721696158</v>
      </c>
      <c r="W29" s="16"/>
      <c r="X29" s="21">
        <f>+P29-T29</f>
        <v>-60646.699999999953</v>
      </c>
      <c r="Y29" s="16"/>
      <c r="Z29" s="22">
        <f>IF(T29=0,0,X29/T29)</f>
        <v>-0.21724778327141875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51"/>
      <c r="B31" s="10" t="s">
        <v>13</v>
      </c>
      <c r="C31" s="10"/>
      <c r="D31" s="4">
        <v>-4877.07</v>
      </c>
      <c r="E31" s="4"/>
      <c r="F31" s="12">
        <f>IF(D$12=0,0,D31/D$12)</f>
        <v>-0.43393468206755292</v>
      </c>
      <c r="G31" s="4"/>
      <c r="H31" s="4">
        <v>4532.54</v>
      </c>
      <c r="I31" s="4"/>
      <c r="J31" s="12">
        <f>IF(H$12=0,0,H31/H$12)</f>
        <v>0.30746406958767958</v>
      </c>
      <c r="K31" s="4"/>
      <c r="L31" s="4">
        <f>+D31-H31</f>
        <v>-9409.61</v>
      </c>
      <c r="M31" s="4"/>
      <c r="N31" s="12">
        <f>IF(H31=0,0,L31/H31)</f>
        <v>-2.0760125669050908</v>
      </c>
      <c r="O31" s="10"/>
      <c r="P31" s="4">
        <v>90725.72</v>
      </c>
      <c r="Q31" s="4"/>
      <c r="R31" s="12">
        <f>IF(P$12=0,0,P31/P$12)</f>
        <v>0.10066255462238617</v>
      </c>
      <c r="S31" s="4"/>
      <c r="T31" s="4">
        <v>98901.25</v>
      </c>
      <c r="U31" s="4"/>
      <c r="V31" s="12">
        <f>IF(T$12=0,0,T31/T$12)</f>
        <v>9.1839788748497755E-2</v>
      </c>
      <c r="W31" s="4"/>
      <c r="X31" s="4">
        <f>+P31-T31</f>
        <v>-8175.5299999999988</v>
      </c>
      <c r="Y31" s="4"/>
      <c r="Z31" s="12">
        <f>IF(T31=0,0,X31/T31)</f>
        <v>-8.2663565930663152E-2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8" t="s">
        <v>4</v>
      </c>
      <c r="C33" s="28"/>
      <c r="D33" s="31">
        <f>+D29-D31</f>
        <v>7703.6100000000006</v>
      </c>
      <c r="E33" s="14"/>
      <c r="F33" s="34">
        <f>IF(D$12=0,0,D33/D$12)</f>
        <v>0.68542455944294867</v>
      </c>
      <c r="G33" s="14"/>
      <c r="H33" s="31">
        <f>+H29-H31</f>
        <v>-977.28000000000156</v>
      </c>
      <c r="I33" s="14"/>
      <c r="J33" s="34">
        <f>IF(H$12=0,0,H33/H$12)</f>
        <v>-6.6293620337966791E-2</v>
      </c>
      <c r="K33" s="16"/>
      <c r="L33" s="31">
        <f>D33-H33</f>
        <v>8680.8900000000031</v>
      </c>
      <c r="M33" s="16"/>
      <c r="N33" s="34">
        <f>IF(H33=0,0,L33/H33)</f>
        <v>-8.8827050589390844</v>
      </c>
      <c r="O33" s="29"/>
      <c r="P33" s="31">
        <f>+P29-P31</f>
        <v>127786.69999999992</v>
      </c>
      <c r="Q33" s="14"/>
      <c r="R33" s="34">
        <f>IF(P$12=0,0,P33/P$12)</f>
        <v>0.14178267936329925</v>
      </c>
      <c r="S33" s="14"/>
      <c r="T33" s="31">
        <f>+T29-T31</f>
        <v>180257.86999999988</v>
      </c>
      <c r="U33" s="14"/>
      <c r="V33" s="34">
        <f>IF(T$12=0,0,T33/T$12)</f>
        <v>0.16738761846846384</v>
      </c>
      <c r="W33" s="16"/>
      <c r="X33" s="31">
        <f>P33-T33</f>
        <v>-52471.169999999955</v>
      </c>
      <c r="Y33" s="16"/>
      <c r="Z33" s="34">
        <f>IF(T33=0,0,X33/T33)</f>
        <v>-0.29108948197379669</v>
      </c>
    </row>
    <row r="34" spans="1:26" ht="15.75" thickTop="1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>
        <f>SUM(D33:D35)</f>
        <v>7703.6100000000006</v>
      </c>
      <c r="E36" s="14"/>
      <c r="F36" s="33">
        <f>IF(D$12=0,0,D36/D$12)</f>
        <v>0.68542455944294867</v>
      </c>
      <c r="G36" s="14"/>
      <c r="H36" s="36">
        <f>SUM(H33:H35)</f>
        <v>-977.28000000000156</v>
      </c>
      <c r="I36" s="14"/>
      <c r="J36" s="33">
        <f>IF(H$12=0,0,H36/H$12)</f>
        <v>-6.6293620337966791E-2</v>
      </c>
      <c r="K36" s="16"/>
      <c r="L36" s="36">
        <f>+D36-H36</f>
        <v>8680.8900000000031</v>
      </c>
      <c r="M36" s="16"/>
      <c r="N36" s="33">
        <f>IF(H36=0,0,L36/H36)</f>
        <v>-8.8827050589390844</v>
      </c>
      <c r="O36" s="29"/>
      <c r="P36" s="36">
        <f>SUM(P33:P35)</f>
        <v>127786.69999999992</v>
      </c>
      <c r="Q36" s="14"/>
      <c r="R36" s="33">
        <f>IF(P$12=0,0,P36/P$12)</f>
        <v>0.14178267936329925</v>
      </c>
      <c r="S36" s="14"/>
      <c r="T36" s="36">
        <f>SUM(T33:T35)</f>
        <v>180257.86999999988</v>
      </c>
      <c r="U36" s="14"/>
      <c r="V36" s="33">
        <f>IF(T$12=0,0,T36/T$12)</f>
        <v>0.16738761846846384</v>
      </c>
      <c r="W36" s="16"/>
      <c r="X36" s="36">
        <f>+P36-T36</f>
        <v>-52471.169999999955</v>
      </c>
      <c r="Y36" s="16"/>
      <c r="Z36" s="33">
        <f>IF(T36=0,0,X36/T36)</f>
        <v>-0.29108948197379669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>
        <v>43791.3554540162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s">
        <v>313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","325", " - ", "Outpost C-Store")</f>
        <v>Department 325 - Outpost C-Store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133160.82</v>
      </c>
      <c r="E12" s="4"/>
      <c r="F12" s="12"/>
      <c r="G12" s="4"/>
      <c r="H12" s="4">
        <f>SUM(OSRRefH13x_0)</f>
        <v>120776.44</v>
      </c>
      <c r="I12" s="4"/>
      <c r="J12" s="12"/>
      <c r="K12" s="4"/>
      <c r="L12" s="4">
        <f t="shared" ref="L12:L14" si="0">+D12-H12</f>
        <v>12384.380000000005</v>
      </c>
      <c r="M12" s="4"/>
      <c r="N12" s="12">
        <f t="shared" ref="N12:N14" si="1">IF(H12=0,0,L12/H12)</f>
        <v>0.10253970062373095</v>
      </c>
      <c r="O12" s="10"/>
      <c r="P12" s="4">
        <f>SUM(OSRRefP13x_0)</f>
        <v>276077.87</v>
      </c>
      <c r="Q12" s="4"/>
      <c r="R12" s="12"/>
      <c r="S12" s="4"/>
      <c r="T12" s="4">
        <f>SUM(OSRRefT13x_0)</f>
        <v>258984.3</v>
      </c>
      <c r="U12" s="4"/>
      <c r="V12" s="12"/>
      <c r="W12" s="4"/>
      <c r="X12" s="4">
        <f t="shared" ref="X12:X14" si="2">+P12-T12</f>
        <v>17093.570000000007</v>
      </c>
      <c r="Y12" s="4"/>
      <c r="Z12" s="12">
        <f t="shared" ref="Z12:Z14" si="3">IF(T12=0,0,X12/T12)</f>
        <v>6.6002340682427496E-2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--23652.96</f>
        <v>23652.959999999999</v>
      </c>
      <c r="E13" s="2"/>
      <c r="F13" s="19"/>
      <c r="G13" s="2"/>
      <c r="H13" s="2">
        <f>--26277.07</f>
        <v>26277.07</v>
      </c>
      <c r="I13" s="2"/>
      <c r="J13" s="19"/>
      <c r="K13" s="2"/>
      <c r="L13" s="2">
        <f t="shared" si="0"/>
        <v>-2624.1100000000006</v>
      </c>
      <c r="M13" s="2"/>
      <c r="N13" s="19">
        <f t="shared" si="1"/>
        <v>-9.9863112592081263E-2</v>
      </c>
      <c r="O13" s="11"/>
      <c r="P13" s="2">
        <f>--50625.08</f>
        <v>50625.08</v>
      </c>
      <c r="Q13" s="2"/>
      <c r="R13" s="19"/>
      <c r="S13" s="2"/>
      <c r="T13" s="2">
        <f>--56857.06</f>
        <v>56857.06</v>
      </c>
      <c r="U13" s="2"/>
      <c r="V13" s="19"/>
      <c r="W13" s="2"/>
      <c r="X13" s="2">
        <f t="shared" si="2"/>
        <v>-6231.9799999999959</v>
      </c>
      <c r="Y13" s="2"/>
      <c r="Z13" s="19">
        <f t="shared" si="3"/>
        <v>-0.10960784817224099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--109507.86</f>
        <v>109507.86</v>
      </c>
      <c r="E14" s="2"/>
      <c r="F14" s="19"/>
      <c r="G14" s="2"/>
      <c r="H14" s="2">
        <f>--94499.37</f>
        <v>94499.37</v>
      </c>
      <c r="I14" s="2"/>
      <c r="J14" s="19"/>
      <c r="K14" s="2"/>
      <c r="L14" s="2">
        <f t="shared" si="0"/>
        <v>15008.490000000005</v>
      </c>
      <c r="M14" s="2"/>
      <c r="N14" s="19">
        <f t="shared" si="1"/>
        <v>0.15882105880705877</v>
      </c>
      <c r="O14" s="11"/>
      <c r="P14" s="2">
        <f>--225452.79</f>
        <v>225452.79</v>
      </c>
      <c r="Q14" s="2"/>
      <c r="R14" s="19"/>
      <c r="S14" s="2"/>
      <c r="T14" s="2">
        <f>--202127.24</f>
        <v>202127.24</v>
      </c>
      <c r="U14" s="2"/>
      <c r="V14" s="19"/>
      <c r="W14" s="2"/>
      <c r="X14" s="2">
        <f t="shared" si="2"/>
        <v>23325.550000000017</v>
      </c>
      <c r="Y14" s="2"/>
      <c r="Z14" s="19">
        <f t="shared" si="3"/>
        <v>0.11540032902047254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59675.900000000009</v>
      </c>
      <c r="E16" s="4"/>
      <c r="F16" s="12">
        <f t="shared" ref="F16:F18" si="4">IF(D$12=0,0,D16/D$12)</f>
        <v>0.44814908769711698</v>
      </c>
      <c r="G16" s="4"/>
      <c r="H16" s="4">
        <f>SUM(OSRRefH16x_0)</f>
        <v>55010.369999999995</v>
      </c>
      <c r="I16" s="4"/>
      <c r="J16" s="12">
        <f t="shared" ref="J16:J18" si="5">IF(H$12=0,0,H16/H$12)</f>
        <v>0.45547268987229622</v>
      </c>
      <c r="K16" s="4"/>
      <c r="L16" s="4">
        <f t="shared" ref="L16:L18" si="6">+D16-H16</f>
        <v>4665.5300000000134</v>
      </c>
      <c r="M16" s="4"/>
      <c r="N16" s="12">
        <f t="shared" ref="N16:N18" si="7">IF(H16=0,0,L16/H16)</f>
        <v>8.4811827297289838E-2</v>
      </c>
      <c r="O16" s="10"/>
      <c r="P16" s="4">
        <f>SUM(OSRRefP16x_0)</f>
        <v>121642.18</v>
      </c>
      <c r="Q16" s="4"/>
      <c r="R16" s="12">
        <f t="shared" ref="R16:R18" si="8">IF(P$12=0,0,P16/P$12)</f>
        <v>0.44060822404925104</v>
      </c>
      <c r="S16" s="4"/>
      <c r="T16" s="4">
        <f>SUM(OSRRefT16x_0)</f>
        <v>121109.08</v>
      </c>
      <c r="U16" s="4"/>
      <c r="V16" s="12">
        <f t="shared" ref="V16:V18" si="9">IF(T$12=0,0,T16/T$12)</f>
        <v>0.46763097222495731</v>
      </c>
      <c r="W16" s="4"/>
      <c r="X16" s="4">
        <f t="shared" ref="X16:X18" si="10">+P16-T16</f>
        <v>533.09999999999127</v>
      </c>
      <c r="Y16" s="4"/>
      <c r="Z16" s="12">
        <f t="shared" ref="Z16:Z18" si="11">IF(T16=0,0,X16/T16)</f>
        <v>4.4018169405629307E-3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59821.490000000005</v>
      </c>
      <c r="E17" s="2"/>
      <c r="F17" s="19">
        <f t="shared" si="4"/>
        <v>0.44924242731458097</v>
      </c>
      <c r="G17" s="2"/>
      <c r="H17" s="2">
        <v>52606.71</v>
      </c>
      <c r="I17" s="2"/>
      <c r="J17" s="19">
        <f t="shared" si="5"/>
        <v>0.43557096069398965</v>
      </c>
      <c r="K17" s="2"/>
      <c r="L17" s="2">
        <f t="shared" si="6"/>
        <v>7214.7800000000061</v>
      </c>
      <c r="M17" s="2"/>
      <c r="N17" s="19">
        <f t="shared" si="7"/>
        <v>0.13714562267817179</v>
      </c>
      <c r="O17" s="11"/>
      <c r="P17" s="2">
        <v>133604.06</v>
      </c>
      <c r="Q17" s="2"/>
      <c r="R17" s="19">
        <f t="shared" si="8"/>
        <v>0.48393614453777117</v>
      </c>
      <c r="S17" s="2"/>
      <c r="T17" s="2">
        <v>125058.12</v>
      </c>
      <c r="U17" s="2"/>
      <c r="V17" s="19">
        <f t="shared" si="9"/>
        <v>0.4828791552229228</v>
      </c>
      <c r="W17" s="2"/>
      <c r="X17" s="2">
        <f t="shared" si="10"/>
        <v>8545.9400000000023</v>
      </c>
      <c r="Y17" s="2"/>
      <c r="Z17" s="19">
        <f t="shared" si="11"/>
        <v>6.8335746611255646E-2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-145.59</v>
      </c>
      <c r="E18" s="2"/>
      <c r="F18" s="19">
        <f t="shared" si="4"/>
        <v>-1.0933396174640558E-3</v>
      </c>
      <c r="G18" s="2"/>
      <c r="H18" s="2">
        <v>2403.66</v>
      </c>
      <c r="I18" s="2"/>
      <c r="J18" s="19">
        <f t="shared" si="5"/>
        <v>1.990172917830663E-2</v>
      </c>
      <c r="K18" s="2"/>
      <c r="L18" s="2">
        <f t="shared" si="6"/>
        <v>-2549.25</v>
      </c>
      <c r="M18" s="2"/>
      <c r="N18" s="19">
        <f t="shared" si="7"/>
        <v>-1.0605701305509099</v>
      </c>
      <c r="O18" s="11"/>
      <c r="P18" s="2">
        <v>-11961.88</v>
      </c>
      <c r="Q18" s="2"/>
      <c r="R18" s="19">
        <f t="shared" si="8"/>
        <v>-4.332792048852014E-2</v>
      </c>
      <c r="S18" s="2"/>
      <c r="T18" s="2">
        <v>-3949.04</v>
      </c>
      <c r="U18" s="2"/>
      <c r="V18" s="19">
        <f t="shared" si="9"/>
        <v>-1.5248182997965515E-2</v>
      </c>
      <c r="W18" s="2"/>
      <c r="X18" s="2">
        <f t="shared" si="10"/>
        <v>-8012.8399999999992</v>
      </c>
      <c r="Y18" s="2"/>
      <c r="Z18" s="19">
        <f t="shared" si="11"/>
        <v>2.0290602272957479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73484.92</v>
      </c>
      <c r="E20" s="14"/>
      <c r="F20" s="22">
        <f>IF(D$12=0,0,D20/D$12)</f>
        <v>0.55185091230288308</v>
      </c>
      <c r="G20" s="14"/>
      <c r="H20" s="21">
        <f>H12-H16</f>
        <v>65766.070000000007</v>
      </c>
      <c r="I20" s="14"/>
      <c r="J20" s="22">
        <f>IF(H$12=0,0,H20/H$12)</f>
        <v>0.54452731012770372</v>
      </c>
      <c r="K20" s="16"/>
      <c r="L20" s="21">
        <f>+D20-H20</f>
        <v>7718.8499999999913</v>
      </c>
      <c r="M20" s="16"/>
      <c r="N20" s="22">
        <f>IF(H20=0,0,L20/H20)</f>
        <v>0.1173682721196506</v>
      </c>
      <c r="O20" s="29"/>
      <c r="P20" s="21">
        <f>P12-P16</f>
        <v>154435.69</v>
      </c>
      <c r="Q20" s="14"/>
      <c r="R20" s="22">
        <f>IF(P$12=0,0,P20/P$12)</f>
        <v>0.55939177595074896</v>
      </c>
      <c r="S20" s="14"/>
      <c r="T20" s="21">
        <f>T12-T16</f>
        <v>137875.21999999997</v>
      </c>
      <c r="U20" s="14"/>
      <c r="V20" s="22">
        <f>IF(T$12=0,0,T20/T$12)</f>
        <v>0.53236902777504269</v>
      </c>
      <c r="W20" s="16"/>
      <c r="X20" s="21">
        <f>+P20-T20</f>
        <v>16560.47000000003</v>
      </c>
      <c r="Y20" s="16"/>
      <c r="Z20" s="22">
        <f>IF(T20=0,0,X20/T20)</f>
        <v>0.12011201142598382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36369.700000000004</v>
      </c>
      <c r="E22" s="20"/>
      <c r="F22" s="35">
        <f t="shared" ref="F22:F31" si="12">IF(D$12=0,0,D22/D$12)</f>
        <v>0.27312613424879784</v>
      </c>
      <c r="G22" s="20"/>
      <c r="H22" s="20">
        <f>SUM(OSRRefH22x_0)</f>
        <v>37054.35</v>
      </c>
      <c r="I22" s="20"/>
      <c r="J22" s="35">
        <f t="shared" ref="J22:J31" si="13">IF(H$12=0,0,H22/H$12)</f>
        <v>0.30680114432914229</v>
      </c>
      <c r="K22" s="4"/>
      <c r="L22" s="20">
        <f t="shared" ref="L22:L31" si="14">+D22-H22</f>
        <v>-684.64999999999418</v>
      </c>
      <c r="M22" s="4"/>
      <c r="N22" s="35">
        <f t="shared" ref="N22:N31" si="15">IF(H22=0,0,L22/H22)</f>
        <v>-1.8476912967033403E-2</v>
      </c>
      <c r="O22" s="10"/>
      <c r="P22" s="20">
        <f>SUM(OSRRefP22x_0)</f>
        <v>121618.05000000005</v>
      </c>
      <c r="Q22" s="20"/>
      <c r="R22" s="35">
        <f t="shared" ref="R22:R31" si="16">IF(P$12=0,0,P22/P$12)</f>
        <v>0.44052082117266428</v>
      </c>
      <c r="S22" s="20"/>
      <c r="T22" s="20">
        <f>SUM(OSRRefT22x_0)</f>
        <v>116381.87999999999</v>
      </c>
      <c r="U22" s="20"/>
      <c r="V22" s="35">
        <f t="shared" ref="V22:V31" si="17">IF(T$12=0,0,T22/T$12)</f>
        <v>0.44937812832669777</v>
      </c>
      <c r="W22" s="4"/>
      <c r="X22" s="20">
        <f t="shared" ref="X22:X31" si="18">+P22-T22</f>
        <v>5236.1700000000565</v>
      </c>
      <c r="Y22" s="4"/>
      <c r="Z22" s="35">
        <f t="shared" ref="Z22:Z31" si="19">IF(T22=0,0,X22/T22)</f>
        <v>4.4991282148046215E-2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4290.5300000000007</v>
      </c>
      <c r="E23" s="1"/>
      <c r="F23" s="5">
        <f t="shared" si="12"/>
        <v>3.2220663705735668E-2</v>
      </c>
      <c r="G23" s="1"/>
      <c r="H23" s="1">
        <f>SUM(OSRRefH22_0x_0)</f>
        <v>4814.71</v>
      </c>
      <c r="I23" s="1"/>
      <c r="J23" s="5">
        <f t="shared" si="13"/>
        <v>3.9864645786876977E-2</v>
      </c>
      <c r="K23" s="1"/>
      <c r="L23" s="1">
        <f t="shared" si="14"/>
        <v>-524.17999999999938</v>
      </c>
      <c r="M23" s="1"/>
      <c r="N23" s="5">
        <f t="shared" si="15"/>
        <v>-0.10887052387371189</v>
      </c>
      <c r="O23" s="13"/>
      <c r="P23" s="1">
        <f>SUM(OSRRefP22_0x_0)</f>
        <v>15460.07</v>
      </c>
      <c r="Q23" s="1"/>
      <c r="R23" s="5">
        <f t="shared" si="16"/>
        <v>5.5998946963767865E-2</v>
      </c>
      <c r="S23" s="1"/>
      <c r="T23" s="1">
        <f>SUM(OSRRefT22_0x_0)</f>
        <v>13874.310000000001</v>
      </c>
      <c r="U23" s="1"/>
      <c r="V23" s="5">
        <f t="shared" si="17"/>
        <v>5.35720118941573E-2</v>
      </c>
      <c r="W23" s="1"/>
      <c r="X23" s="1">
        <f t="shared" si="18"/>
        <v>1585.7599999999984</v>
      </c>
      <c r="Y23" s="1"/>
      <c r="Z23" s="5">
        <f t="shared" si="19"/>
        <v>0.11429469285319402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1002.86</v>
      </c>
      <c r="E24" s="2"/>
      <c r="F24" s="7">
        <f t="shared" si="12"/>
        <v>7.531194235661811E-3</v>
      </c>
      <c r="G24" s="2"/>
      <c r="H24" s="6">
        <v>743.48</v>
      </c>
      <c r="I24" s="2"/>
      <c r="J24" s="7">
        <f t="shared" si="13"/>
        <v>6.1558363535139798E-3</v>
      </c>
      <c r="K24" s="2"/>
      <c r="L24" s="6">
        <f t="shared" si="14"/>
        <v>259.38</v>
      </c>
      <c r="M24" s="2"/>
      <c r="N24" s="7">
        <f t="shared" si="15"/>
        <v>0.34887286813364177</v>
      </c>
      <c r="O24" s="11"/>
      <c r="P24" s="6">
        <v>2523.09</v>
      </c>
      <c r="Q24" s="2"/>
      <c r="R24" s="7">
        <f t="shared" si="16"/>
        <v>9.1390519638535322E-3</v>
      </c>
      <c r="S24" s="2"/>
      <c r="T24" s="6">
        <v>1966.32</v>
      </c>
      <c r="U24" s="2"/>
      <c r="V24" s="7">
        <f t="shared" si="17"/>
        <v>7.5924293480338382E-3</v>
      </c>
      <c r="W24" s="2"/>
      <c r="X24" s="6">
        <f t="shared" si="18"/>
        <v>556.77000000000021</v>
      </c>
      <c r="Y24" s="2"/>
      <c r="Z24" s="7">
        <f t="shared" si="19"/>
        <v>0.28315330159892604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-105.59</v>
      </c>
      <c r="E25" s="2"/>
      <c r="F25" s="7">
        <f t="shared" si="12"/>
        <v>-7.9295095959907723E-4</v>
      </c>
      <c r="G25" s="2"/>
      <c r="H25" s="6">
        <v>614.98</v>
      </c>
      <c r="I25" s="2"/>
      <c r="J25" s="7">
        <f t="shared" si="13"/>
        <v>5.0918871263302681E-3</v>
      </c>
      <c r="K25" s="2"/>
      <c r="L25" s="6">
        <f t="shared" si="14"/>
        <v>-720.57</v>
      </c>
      <c r="M25" s="2"/>
      <c r="N25" s="7">
        <f t="shared" si="15"/>
        <v>-1.171696640541156</v>
      </c>
      <c r="O25" s="11"/>
      <c r="P25" s="6">
        <v>541.51</v>
      </c>
      <c r="Q25" s="2"/>
      <c r="R25" s="7">
        <f t="shared" si="16"/>
        <v>1.9614393576710804E-3</v>
      </c>
      <c r="S25" s="2"/>
      <c r="T25" s="6">
        <v>1055.5999999999999</v>
      </c>
      <c r="U25" s="2"/>
      <c r="V25" s="7">
        <f t="shared" si="17"/>
        <v>4.0759227489851699E-3</v>
      </c>
      <c r="W25" s="2"/>
      <c r="X25" s="6">
        <f t="shared" si="18"/>
        <v>-514.08999999999992</v>
      </c>
      <c r="Y25" s="2"/>
      <c r="Z25" s="7">
        <f t="shared" si="19"/>
        <v>-0.48701212580522923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1815.82</v>
      </c>
      <c r="E26" s="2"/>
      <c r="F26" s="7">
        <f t="shared" si="12"/>
        <v>1.3636293318109635E-2</v>
      </c>
      <c r="G26" s="2"/>
      <c r="H26" s="6">
        <v>2006.94</v>
      </c>
      <c r="I26" s="2"/>
      <c r="J26" s="7">
        <f t="shared" si="13"/>
        <v>1.6616982583689335E-2</v>
      </c>
      <c r="K26" s="2"/>
      <c r="L26" s="6">
        <f t="shared" si="14"/>
        <v>-191.12000000000012</v>
      </c>
      <c r="M26" s="2"/>
      <c r="N26" s="7">
        <f t="shared" si="15"/>
        <v>-9.5229553449530185E-2</v>
      </c>
      <c r="O26" s="11"/>
      <c r="P26" s="6">
        <v>7730.93</v>
      </c>
      <c r="Q26" s="2"/>
      <c r="R26" s="7">
        <f t="shared" si="16"/>
        <v>2.8002715320862192E-2</v>
      </c>
      <c r="S26" s="2"/>
      <c r="T26" s="6">
        <v>6758.31</v>
      </c>
      <c r="U26" s="2"/>
      <c r="V26" s="7">
        <f t="shared" si="17"/>
        <v>2.6095442851168972E-2</v>
      </c>
      <c r="W26" s="2"/>
      <c r="X26" s="6">
        <f t="shared" si="18"/>
        <v>972.61999999999989</v>
      </c>
      <c r="Y26" s="2"/>
      <c r="Z26" s="7">
        <f t="shared" si="19"/>
        <v>0.14391467689407555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42.77</v>
      </c>
      <c r="E27" s="2"/>
      <c r="F27" s="7">
        <f t="shared" si="12"/>
        <v>3.2119057242212837E-4</v>
      </c>
      <c r="G27" s="2"/>
      <c r="H27" s="6">
        <v>43.04</v>
      </c>
      <c r="I27" s="2"/>
      <c r="J27" s="7">
        <f t="shared" si="13"/>
        <v>3.563608929026224E-4</v>
      </c>
      <c r="K27" s="2"/>
      <c r="L27" s="6">
        <f t="shared" si="14"/>
        <v>-0.26999999999999602</v>
      </c>
      <c r="M27" s="2"/>
      <c r="N27" s="7">
        <f t="shared" si="15"/>
        <v>-6.2732342007434019E-3</v>
      </c>
      <c r="O27" s="11"/>
      <c r="P27" s="6">
        <v>110.36</v>
      </c>
      <c r="Q27" s="2"/>
      <c r="R27" s="7">
        <f t="shared" si="16"/>
        <v>3.9974229010097766E-4</v>
      </c>
      <c r="S27" s="2"/>
      <c r="T27" s="6">
        <v>124.51</v>
      </c>
      <c r="U27" s="2"/>
      <c r="V27" s="7">
        <f t="shared" si="17"/>
        <v>4.8076273349388366E-4</v>
      </c>
      <c r="W27" s="2"/>
      <c r="X27" s="6">
        <f t="shared" si="18"/>
        <v>-14.150000000000006</v>
      </c>
      <c r="Y27" s="2"/>
      <c r="Z27" s="7">
        <f t="shared" si="19"/>
        <v>-0.11364549032206253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673.11</v>
      </c>
      <c r="E28" s="2"/>
      <c r="F28" s="7">
        <f t="shared" si="12"/>
        <v>5.0548652373873931E-3</v>
      </c>
      <c r="G28" s="2"/>
      <c r="H28" s="6">
        <v>738.92</v>
      </c>
      <c r="I28" s="2"/>
      <c r="J28" s="7">
        <f t="shared" si="13"/>
        <v>6.1180806455298732E-3</v>
      </c>
      <c r="K28" s="2"/>
      <c r="L28" s="6">
        <f t="shared" si="14"/>
        <v>-65.809999999999945</v>
      </c>
      <c r="M28" s="2"/>
      <c r="N28" s="7">
        <f t="shared" si="15"/>
        <v>-8.9062415417095156E-2</v>
      </c>
      <c r="O28" s="11"/>
      <c r="P28" s="6">
        <v>1850.58</v>
      </c>
      <c r="Q28" s="2"/>
      <c r="R28" s="7">
        <f t="shared" si="16"/>
        <v>6.7031088004264883E-3</v>
      </c>
      <c r="S28" s="2"/>
      <c r="T28" s="6">
        <v>1967.52</v>
      </c>
      <c r="U28" s="2"/>
      <c r="V28" s="7">
        <f t="shared" si="17"/>
        <v>7.5970628335385584E-3</v>
      </c>
      <c r="W28" s="2"/>
      <c r="X28" s="6">
        <f t="shared" si="18"/>
        <v>-116.94000000000005</v>
      </c>
      <c r="Y28" s="2"/>
      <c r="Z28" s="7">
        <f t="shared" si="19"/>
        <v>-5.943522810441574E-2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421.2</v>
      </c>
      <c r="E29" s="2"/>
      <c r="F29" s="7">
        <f t="shared" si="12"/>
        <v>3.1630925673182242E-3</v>
      </c>
      <c r="G29" s="2"/>
      <c r="H29" s="6">
        <v>409.23</v>
      </c>
      <c r="I29" s="2"/>
      <c r="J29" s="7">
        <f t="shared" si="13"/>
        <v>3.3883263987579035E-3</v>
      </c>
      <c r="K29" s="2"/>
      <c r="L29" s="6">
        <f t="shared" si="14"/>
        <v>11.96999999999997</v>
      </c>
      <c r="M29" s="2"/>
      <c r="N29" s="7">
        <f t="shared" si="15"/>
        <v>2.9250054981306284E-2</v>
      </c>
      <c r="O29" s="11"/>
      <c r="P29" s="6">
        <v>1263.5999999999999</v>
      </c>
      <c r="Q29" s="2"/>
      <c r="R29" s="7">
        <f t="shared" si="16"/>
        <v>4.576969533994159E-3</v>
      </c>
      <c r="S29" s="2"/>
      <c r="T29" s="6">
        <v>1227.69</v>
      </c>
      <c r="U29" s="2"/>
      <c r="V29" s="7">
        <f t="shared" si="17"/>
        <v>4.7404031827411935E-3</v>
      </c>
      <c r="W29" s="2"/>
      <c r="X29" s="6">
        <f t="shared" si="18"/>
        <v>35.909999999999854</v>
      </c>
      <c r="Y29" s="2"/>
      <c r="Z29" s="7">
        <f t="shared" si="19"/>
        <v>2.9250054981306235E-2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265.68</v>
      </c>
      <c r="E30" s="2"/>
      <c r="F30" s="7">
        <f t="shared" si="12"/>
        <v>1.9951814655391879E-3</v>
      </c>
      <c r="G30" s="2"/>
      <c r="H30" s="6">
        <v>258.12</v>
      </c>
      <c r="I30" s="2"/>
      <c r="J30" s="7">
        <f t="shared" si="13"/>
        <v>2.1371717861529949E-3</v>
      </c>
      <c r="K30" s="2"/>
      <c r="L30" s="6">
        <f t="shared" si="14"/>
        <v>7.5600000000000023</v>
      </c>
      <c r="M30" s="2"/>
      <c r="N30" s="7">
        <f t="shared" si="15"/>
        <v>2.92887029288703E-2</v>
      </c>
      <c r="O30" s="11"/>
      <c r="P30" s="6">
        <v>797.04</v>
      </c>
      <c r="Q30" s="2"/>
      <c r="R30" s="7">
        <f t="shared" si="16"/>
        <v>2.8870115522117001E-3</v>
      </c>
      <c r="S30" s="2"/>
      <c r="T30" s="6">
        <v>774.36</v>
      </c>
      <c r="U30" s="2"/>
      <c r="V30" s="7">
        <f t="shared" si="17"/>
        <v>2.9899881961956767E-3</v>
      </c>
      <c r="W30" s="2"/>
      <c r="X30" s="6">
        <f t="shared" si="18"/>
        <v>22.67999999999995</v>
      </c>
      <c r="Y30" s="2"/>
      <c r="Z30" s="7">
        <f t="shared" si="19"/>
        <v>2.9288702928870227E-2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174.68</v>
      </c>
      <c r="E31" s="2"/>
      <c r="F31" s="7">
        <f t="shared" si="12"/>
        <v>1.3117972688963615E-3</v>
      </c>
      <c r="G31" s="2"/>
      <c r="H31" s="6"/>
      <c r="I31" s="2"/>
      <c r="J31" s="7">
        <f t="shared" si="13"/>
        <v>0</v>
      </c>
      <c r="K31" s="2"/>
      <c r="L31" s="6">
        <f t="shared" si="14"/>
        <v>174.68</v>
      </c>
      <c r="M31" s="2"/>
      <c r="N31" s="7">
        <f t="shared" si="15"/>
        <v>0</v>
      </c>
      <c r="O31" s="11"/>
      <c r="P31" s="6">
        <v>642.96</v>
      </c>
      <c r="Q31" s="2"/>
      <c r="R31" s="7">
        <f t="shared" si="16"/>
        <v>2.3289081446477402E-3</v>
      </c>
      <c r="S31" s="2"/>
      <c r="T31" s="6"/>
      <c r="U31" s="2"/>
      <c r="V31" s="7">
        <f t="shared" si="17"/>
        <v>0</v>
      </c>
      <c r="W31" s="2"/>
      <c r="X31" s="6">
        <f t="shared" si="18"/>
        <v>642.96</v>
      </c>
      <c r="Y31" s="2"/>
      <c r="Z31" s="7">
        <f t="shared" si="19"/>
        <v>0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14823.92</v>
      </c>
      <c r="E32" s="1"/>
      <c r="F32" s="5">
        <f t="shared" ref="F32:F38" si="20">IF(D$12=0,0,D32/D$12)</f>
        <v>0.11132343582744533</v>
      </c>
      <c r="G32" s="1"/>
      <c r="H32" s="1">
        <f>SUM(OSRRefH22_1x_0)</f>
        <v>15922.54</v>
      </c>
      <c r="I32" s="1"/>
      <c r="J32" s="5">
        <f t="shared" ref="J32:J38" si="21">IF(H$12=0,0,H32/H$12)</f>
        <v>0.13183481811518868</v>
      </c>
      <c r="K32" s="1"/>
      <c r="L32" s="1">
        <f t="shared" ref="L32:L38" si="22">+D32-H32</f>
        <v>-1098.6200000000008</v>
      </c>
      <c r="M32" s="1"/>
      <c r="N32" s="5">
        <f t="shared" ref="N32:N38" si="23">IF(H32=0,0,L32/H32)</f>
        <v>-6.8997785529193251E-2</v>
      </c>
      <c r="O32" s="13"/>
      <c r="P32" s="1">
        <f>SUM(OSRRefP22_1x_0)</f>
        <v>42620.89</v>
      </c>
      <c r="Q32" s="1"/>
      <c r="R32" s="5">
        <f t="shared" ref="R32:R38" si="24">IF(P$12=0,0,P32/P$12)</f>
        <v>0.15437995808936081</v>
      </c>
      <c r="S32" s="1"/>
      <c r="T32" s="1">
        <f>SUM(OSRRefT22_1x_0)</f>
        <v>41604.71</v>
      </c>
      <c r="U32" s="1"/>
      <c r="V32" s="5">
        <f t="shared" ref="V32:V38" si="25">IF(T$12=0,0,T32/T$12)</f>
        <v>0.16064568392755854</v>
      </c>
      <c r="W32" s="1"/>
      <c r="X32" s="1">
        <f t="shared" ref="X32:X38" si="26">+P32-T32</f>
        <v>1016.1800000000003</v>
      </c>
      <c r="Y32" s="1"/>
      <c r="Z32" s="5">
        <f t="shared" ref="Z32:Z38" si="27">IF(T32=0,0,X32/T32)</f>
        <v>2.4424638460405091E-2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3456</v>
      </c>
      <c r="E33" s="2"/>
      <c r="F33" s="7">
        <f t="shared" si="20"/>
        <v>2.5953580039534151E-2</v>
      </c>
      <c r="G33" s="2"/>
      <c r="H33" s="6">
        <v>4290.09</v>
      </c>
      <c r="I33" s="2"/>
      <c r="J33" s="7">
        <f t="shared" si="21"/>
        <v>3.5520917821389671E-2</v>
      </c>
      <c r="K33" s="2"/>
      <c r="L33" s="6">
        <f t="shared" si="22"/>
        <v>-834.09000000000015</v>
      </c>
      <c r="M33" s="2"/>
      <c r="N33" s="7">
        <f t="shared" si="23"/>
        <v>-0.19442249463297975</v>
      </c>
      <c r="O33" s="11"/>
      <c r="P33" s="6">
        <v>15168</v>
      </c>
      <c r="Q33" s="2"/>
      <c r="R33" s="7">
        <f t="shared" si="24"/>
        <v>5.4941020806919441E-2</v>
      </c>
      <c r="S33" s="2"/>
      <c r="T33" s="6">
        <v>15855.809999999998</v>
      </c>
      <c r="U33" s="2"/>
      <c r="V33" s="7">
        <f t="shared" si="25"/>
        <v>6.1223054833825827E-2</v>
      </c>
      <c r="W33" s="2"/>
      <c r="X33" s="6">
        <f t="shared" si="26"/>
        <v>-687.80999999999767</v>
      </c>
      <c r="Y33" s="2"/>
      <c r="Z33" s="7">
        <f t="shared" si="27"/>
        <v>-4.337905159055247E-2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0"/>
        <v>0</v>
      </c>
      <c r="G34" s="2"/>
      <c r="H34" s="6"/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>
        <v>254.64</v>
      </c>
      <c r="Q34" s="2"/>
      <c r="R34" s="7">
        <f t="shared" si="24"/>
        <v>9.2234846639464439E-4</v>
      </c>
      <c r="S34" s="2"/>
      <c r="T34" s="6"/>
      <c r="U34" s="2"/>
      <c r="V34" s="7">
        <f t="shared" si="25"/>
        <v>0</v>
      </c>
      <c r="W34" s="2"/>
      <c r="X34" s="6">
        <f t="shared" si="26"/>
        <v>254.64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4603.6000000000004</v>
      </c>
      <c r="E35" s="2"/>
      <c r="F35" s="7">
        <f t="shared" si="20"/>
        <v>3.4571730633680388E-2</v>
      </c>
      <c r="G35" s="2"/>
      <c r="H35" s="6"/>
      <c r="I35" s="2"/>
      <c r="J35" s="7">
        <f t="shared" si="21"/>
        <v>0</v>
      </c>
      <c r="K35" s="2"/>
      <c r="L35" s="6">
        <f t="shared" si="22"/>
        <v>4603.6000000000004</v>
      </c>
      <c r="M35" s="2"/>
      <c r="N35" s="7">
        <f t="shared" si="23"/>
        <v>0</v>
      </c>
      <c r="O35" s="11"/>
      <c r="P35" s="6">
        <v>8593.73</v>
      </c>
      <c r="Q35" s="2"/>
      <c r="R35" s="7">
        <f t="shared" si="24"/>
        <v>3.1127920539230469E-2</v>
      </c>
      <c r="S35" s="2"/>
      <c r="T35" s="6">
        <v>68.5</v>
      </c>
      <c r="U35" s="2"/>
      <c r="V35" s="7">
        <f t="shared" si="25"/>
        <v>2.6449479756108769E-4</v>
      </c>
      <c r="W35" s="2"/>
      <c r="X35" s="6">
        <f t="shared" si="26"/>
        <v>8525.23</v>
      </c>
      <c r="Y35" s="2"/>
      <c r="Z35" s="7">
        <f t="shared" si="27"/>
        <v>124.45591240875912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720.5</v>
      </c>
      <c r="U36" s="2"/>
      <c r="V36" s="7">
        <f t="shared" si="25"/>
        <v>2.7820219217921703E-3</v>
      </c>
      <c r="W36" s="2"/>
      <c r="X36" s="6">
        <f t="shared" si="26"/>
        <v>-720.5</v>
      </c>
      <c r="Y36" s="2"/>
      <c r="Z36" s="7">
        <f t="shared" si="27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6386.32</v>
      </c>
      <c r="E37" s="2"/>
      <c r="F37" s="7">
        <f t="shared" si="20"/>
        <v>4.7959452337406748E-2</v>
      </c>
      <c r="G37" s="2"/>
      <c r="H37" s="6">
        <v>10097.950000000001</v>
      </c>
      <c r="I37" s="2"/>
      <c r="J37" s="7">
        <f t="shared" si="21"/>
        <v>8.3608607771515714E-2</v>
      </c>
      <c r="K37" s="2"/>
      <c r="L37" s="6">
        <f t="shared" si="22"/>
        <v>-3711.630000000001</v>
      </c>
      <c r="M37" s="2"/>
      <c r="N37" s="7">
        <f t="shared" si="23"/>
        <v>-0.36756272312697141</v>
      </c>
      <c r="O37" s="11"/>
      <c r="P37" s="6">
        <v>16990.52</v>
      </c>
      <c r="Q37" s="2"/>
      <c r="R37" s="7">
        <f t="shared" si="24"/>
        <v>6.1542491616586294E-2</v>
      </c>
      <c r="S37" s="2"/>
      <c r="T37" s="6">
        <v>22548.15</v>
      </c>
      <c r="U37" s="2"/>
      <c r="V37" s="7">
        <f t="shared" si="25"/>
        <v>8.7063771819372845E-2</v>
      </c>
      <c r="W37" s="2"/>
      <c r="X37" s="6">
        <f t="shared" si="26"/>
        <v>-5557.630000000001</v>
      </c>
      <c r="Y37" s="2"/>
      <c r="Z37" s="7">
        <f t="shared" si="27"/>
        <v>-0.24647831418542102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378</v>
      </c>
      <c r="E38" s="2"/>
      <c r="F38" s="7">
        <f t="shared" si="20"/>
        <v>2.8386728168240476E-3</v>
      </c>
      <c r="G38" s="2"/>
      <c r="H38" s="6">
        <v>1534.5</v>
      </c>
      <c r="I38" s="2"/>
      <c r="J38" s="7">
        <f t="shared" si="21"/>
        <v>1.2705292522283319E-2</v>
      </c>
      <c r="K38" s="2"/>
      <c r="L38" s="6">
        <f t="shared" si="22"/>
        <v>-1156.5</v>
      </c>
      <c r="M38" s="2"/>
      <c r="N38" s="7">
        <f t="shared" si="23"/>
        <v>-0.75366568914956011</v>
      </c>
      <c r="O38" s="11"/>
      <c r="P38" s="6">
        <v>1614</v>
      </c>
      <c r="Q38" s="2"/>
      <c r="R38" s="7">
        <f t="shared" si="24"/>
        <v>5.8461766602299564E-3</v>
      </c>
      <c r="S38" s="2"/>
      <c r="T38" s="6">
        <v>2411.75</v>
      </c>
      <c r="U38" s="2"/>
      <c r="V38" s="7">
        <f t="shared" si="25"/>
        <v>9.3123405550066159E-3</v>
      </c>
      <c r="W38" s="2"/>
      <c r="X38" s="6">
        <f t="shared" si="26"/>
        <v>-797.75</v>
      </c>
      <c r="Y38" s="2"/>
      <c r="Z38" s="7">
        <f t="shared" si="27"/>
        <v>-0.33077640717321449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221.52</v>
      </c>
      <c r="E39" s="1"/>
      <c r="F39" s="5">
        <f t="shared" ref="F39:F47" si="28">IF(D$12=0,0,D39/D$12)</f>
        <v>1.6635523872562516E-3</v>
      </c>
      <c r="G39" s="1"/>
      <c r="H39" s="1">
        <f>SUM(OSRRefH22_2x_0)</f>
        <v>88.34</v>
      </c>
      <c r="I39" s="1"/>
      <c r="J39" s="5">
        <f t="shared" ref="J39:J47" si="29">IF(H$12=0,0,H39/H$12)</f>
        <v>7.3143404458684159E-4</v>
      </c>
      <c r="K39" s="1"/>
      <c r="L39" s="1">
        <f t="shared" ref="L39:L47" si="30">+D39-H39</f>
        <v>133.18</v>
      </c>
      <c r="M39" s="1"/>
      <c r="N39" s="5">
        <f t="shared" ref="N39:N47" si="31">IF(H39=0,0,L39/H39)</f>
        <v>1.5075843332578673</v>
      </c>
      <c r="O39" s="13"/>
      <c r="P39" s="1">
        <f>SUM(OSRRefP22_2x_0)</f>
        <v>301.3</v>
      </c>
      <c r="Q39" s="1"/>
      <c r="R39" s="5">
        <f t="shared" ref="R39:R47" si="32">IF(P$12=0,0,P39/P$12)</f>
        <v>1.0913587532387148E-3</v>
      </c>
      <c r="S39" s="1"/>
      <c r="T39" s="1">
        <f>SUM(OSRRefT22_2x_0)</f>
        <v>550.84</v>
      </c>
      <c r="U39" s="1"/>
      <c r="V39" s="5">
        <f t="shared" ref="V39:V47" si="33">IF(T$12=0,0,T39/T$12)</f>
        <v>2.1269242961832052E-3</v>
      </c>
      <c r="W39" s="1"/>
      <c r="X39" s="1">
        <f t="shared" ref="X39:X47" si="34">+P39-T39</f>
        <v>-249.54000000000002</v>
      </c>
      <c r="Y39" s="1"/>
      <c r="Z39" s="5">
        <f t="shared" ref="Z39:Z47" si="35">IF(T39=0,0,X39/T39)</f>
        <v>-0.45301721007915186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221.52</v>
      </c>
      <c r="E40" s="2"/>
      <c r="F40" s="7">
        <f t="shared" si="28"/>
        <v>1.6635523872562516E-3</v>
      </c>
      <c r="G40" s="2"/>
      <c r="H40" s="6">
        <v>88.34</v>
      </c>
      <c r="I40" s="2"/>
      <c r="J40" s="7">
        <f t="shared" si="29"/>
        <v>7.3143404458684159E-4</v>
      </c>
      <c r="K40" s="2"/>
      <c r="L40" s="6">
        <f t="shared" si="30"/>
        <v>133.18</v>
      </c>
      <c r="M40" s="2"/>
      <c r="N40" s="7">
        <f t="shared" si="31"/>
        <v>1.5075843332578673</v>
      </c>
      <c r="O40" s="11"/>
      <c r="P40" s="6">
        <v>301.3</v>
      </c>
      <c r="Q40" s="2"/>
      <c r="R40" s="7">
        <f t="shared" si="32"/>
        <v>1.0913587532387148E-3</v>
      </c>
      <c r="S40" s="2"/>
      <c r="T40" s="6">
        <v>550.84</v>
      </c>
      <c r="U40" s="2"/>
      <c r="V40" s="7">
        <f t="shared" si="33"/>
        <v>2.1269242961832052E-3</v>
      </c>
      <c r="W40" s="2"/>
      <c r="X40" s="6">
        <f t="shared" si="34"/>
        <v>-249.54000000000002</v>
      </c>
      <c r="Y40" s="2"/>
      <c r="Z40" s="7">
        <f t="shared" si="35"/>
        <v>-0.45301721007915186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-15.11</v>
      </c>
      <c r="E41" s="1"/>
      <c r="F41" s="5">
        <f t="shared" si="28"/>
        <v>-1.1347181550849565E-4</v>
      </c>
      <c r="G41" s="1"/>
      <c r="H41" s="1">
        <f>SUM(OSRRefH22_3x_0)</f>
        <v>-30.43</v>
      </c>
      <c r="I41" s="1"/>
      <c r="J41" s="5">
        <f t="shared" si="29"/>
        <v>-2.5195311270973046E-4</v>
      </c>
      <c r="K41" s="1"/>
      <c r="L41" s="1">
        <f t="shared" si="30"/>
        <v>15.32</v>
      </c>
      <c r="M41" s="1"/>
      <c r="N41" s="5">
        <f t="shared" si="31"/>
        <v>-0.5034505422280644</v>
      </c>
      <c r="O41" s="13"/>
      <c r="P41" s="1">
        <f>SUM(OSRRefP22_3x_0)</f>
        <v>-37.17</v>
      </c>
      <c r="Q41" s="1"/>
      <c r="R41" s="5">
        <f t="shared" si="32"/>
        <v>-1.3463592717518431E-4</v>
      </c>
      <c r="S41" s="1"/>
      <c r="T41" s="1">
        <f>SUM(OSRRefT22_3x_0)</f>
        <v>-67.84</v>
      </c>
      <c r="U41" s="1"/>
      <c r="V41" s="5">
        <f t="shared" si="33"/>
        <v>-2.619463805334918E-4</v>
      </c>
      <c r="W41" s="1"/>
      <c r="X41" s="1">
        <f t="shared" si="34"/>
        <v>30.67</v>
      </c>
      <c r="Y41" s="1"/>
      <c r="Z41" s="5">
        <f t="shared" si="35"/>
        <v>-0.45209316037735847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-15.11</v>
      </c>
      <c r="E42" s="2"/>
      <c r="F42" s="7">
        <f t="shared" si="28"/>
        <v>-1.1347181550849565E-4</v>
      </c>
      <c r="G42" s="2"/>
      <c r="H42" s="6">
        <v>-30.43</v>
      </c>
      <c r="I42" s="2"/>
      <c r="J42" s="7">
        <f t="shared" si="29"/>
        <v>-2.5195311270973046E-4</v>
      </c>
      <c r="K42" s="2"/>
      <c r="L42" s="6">
        <f t="shared" si="30"/>
        <v>15.32</v>
      </c>
      <c r="M42" s="2"/>
      <c r="N42" s="7">
        <f t="shared" si="31"/>
        <v>-0.5034505422280644</v>
      </c>
      <c r="O42" s="11"/>
      <c r="P42" s="6">
        <v>-37.17</v>
      </c>
      <c r="Q42" s="2"/>
      <c r="R42" s="7">
        <f t="shared" si="32"/>
        <v>-1.3463592717518431E-4</v>
      </c>
      <c r="S42" s="2"/>
      <c r="T42" s="6">
        <v>-67.84</v>
      </c>
      <c r="U42" s="2"/>
      <c r="V42" s="7">
        <f t="shared" si="33"/>
        <v>-2.619463805334918E-4</v>
      </c>
      <c r="W42" s="2"/>
      <c r="X42" s="6">
        <f t="shared" si="34"/>
        <v>30.67</v>
      </c>
      <c r="Y42" s="2"/>
      <c r="Z42" s="7">
        <f t="shared" si="35"/>
        <v>-0.45209316037735847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4611.9399999999996</v>
      </c>
      <c r="E43" s="1"/>
      <c r="F43" s="5">
        <f t="shared" si="28"/>
        <v>3.4634361668845232E-2</v>
      </c>
      <c r="G43" s="1"/>
      <c r="H43" s="1">
        <f>SUM(OSRRefH22_4x_0)</f>
        <v>3915.25</v>
      </c>
      <c r="I43" s="1"/>
      <c r="J43" s="5">
        <f t="shared" si="29"/>
        <v>3.2417332387011902E-2</v>
      </c>
      <c r="K43" s="1"/>
      <c r="L43" s="1">
        <f t="shared" si="30"/>
        <v>696.6899999999996</v>
      </c>
      <c r="M43" s="1"/>
      <c r="N43" s="5">
        <f t="shared" si="31"/>
        <v>0.17794266011110391</v>
      </c>
      <c r="O43" s="13"/>
      <c r="P43" s="1">
        <f>SUM(OSRRefP22_4x_0)</f>
        <v>9618.33</v>
      </c>
      <c r="Q43" s="1"/>
      <c r="R43" s="5">
        <f t="shared" si="32"/>
        <v>3.4839192290204213E-2</v>
      </c>
      <c r="S43" s="1"/>
      <c r="T43" s="1">
        <f>SUM(OSRRefT22_4x_0)</f>
        <v>8600.86</v>
      </c>
      <c r="U43" s="1"/>
      <c r="V43" s="5">
        <f t="shared" si="33"/>
        <v>3.320996678177017E-2</v>
      </c>
      <c r="W43" s="1"/>
      <c r="X43" s="1">
        <f t="shared" si="34"/>
        <v>1017.4699999999993</v>
      </c>
      <c r="Y43" s="1"/>
      <c r="Z43" s="5">
        <f t="shared" si="35"/>
        <v>0.11829863525275371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4611.9399999999996</v>
      </c>
      <c r="E44" s="2"/>
      <c r="F44" s="7">
        <f t="shared" si="28"/>
        <v>3.4634361668845232E-2</v>
      </c>
      <c r="G44" s="2"/>
      <c r="H44" s="6">
        <v>3915.25</v>
      </c>
      <c r="I44" s="2"/>
      <c r="J44" s="7">
        <f t="shared" si="29"/>
        <v>3.2417332387011902E-2</v>
      </c>
      <c r="K44" s="2"/>
      <c r="L44" s="6">
        <f t="shared" si="30"/>
        <v>696.6899999999996</v>
      </c>
      <c r="M44" s="2"/>
      <c r="N44" s="7">
        <f t="shared" si="31"/>
        <v>0.17794266011110391</v>
      </c>
      <c r="O44" s="11"/>
      <c r="P44" s="6">
        <v>9618.33</v>
      </c>
      <c r="Q44" s="2"/>
      <c r="R44" s="7">
        <f t="shared" si="32"/>
        <v>3.4839192290204213E-2</v>
      </c>
      <c r="S44" s="2"/>
      <c r="T44" s="6">
        <v>8600.86</v>
      </c>
      <c r="U44" s="2"/>
      <c r="V44" s="7">
        <f t="shared" si="33"/>
        <v>3.320996678177017E-2</v>
      </c>
      <c r="W44" s="2"/>
      <c r="X44" s="6">
        <f t="shared" si="34"/>
        <v>1017.4699999999993</v>
      </c>
      <c r="Y44" s="2"/>
      <c r="Z44" s="7">
        <f t="shared" si="35"/>
        <v>0.11829863525275371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5421.37</v>
      </c>
      <c r="E45" s="1"/>
      <c r="F45" s="5">
        <f t="shared" si="28"/>
        <v>4.0712951452236475E-2</v>
      </c>
      <c r="G45" s="1"/>
      <c r="H45" s="1">
        <f>SUM(OSRRefH22_5x_0)</f>
        <v>5280.6</v>
      </c>
      <c r="I45" s="1"/>
      <c r="J45" s="5">
        <f t="shared" si="29"/>
        <v>4.3722103416858456E-2</v>
      </c>
      <c r="K45" s="1"/>
      <c r="L45" s="1">
        <f t="shared" si="30"/>
        <v>140.76999999999953</v>
      </c>
      <c r="M45" s="1"/>
      <c r="N45" s="5">
        <f t="shared" si="31"/>
        <v>2.6657955535355739E-2</v>
      </c>
      <c r="O45" s="13"/>
      <c r="P45" s="1">
        <f>SUM(OSRRefP22_5x_0)</f>
        <v>21685.48</v>
      </c>
      <c r="Q45" s="1"/>
      <c r="R45" s="5">
        <f t="shared" si="32"/>
        <v>7.8548418241563514E-2</v>
      </c>
      <c r="S45" s="1"/>
      <c r="T45" s="1">
        <f>SUM(OSRRefT22_5x_0)</f>
        <v>21122.400000000001</v>
      </c>
      <c r="U45" s="1"/>
      <c r="V45" s="5">
        <f t="shared" si="33"/>
        <v>8.1558611854077645E-2</v>
      </c>
      <c r="W45" s="1"/>
      <c r="X45" s="1">
        <f t="shared" si="34"/>
        <v>563.07999999999811</v>
      </c>
      <c r="Y45" s="1"/>
      <c r="Z45" s="5">
        <f t="shared" si="35"/>
        <v>2.6657955535355739E-2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5080.51</v>
      </c>
      <c r="E46" s="2"/>
      <c r="F46" s="7">
        <f t="shared" si="28"/>
        <v>3.8153189504240063E-2</v>
      </c>
      <c r="G46" s="2"/>
      <c r="H46" s="6">
        <v>5080.51</v>
      </c>
      <c r="I46" s="2"/>
      <c r="J46" s="7">
        <f t="shared" si="29"/>
        <v>4.2065406133845309E-2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20322.04</v>
      </c>
      <c r="Q46" s="2"/>
      <c r="R46" s="7">
        <f t="shared" si="32"/>
        <v>7.3609811608587108E-2</v>
      </c>
      <c r="S46" s="2"/>
      <c r="T46" s="6">
        <v>20322.04</v>
      </c>
      <c r="U46" s="2"/>
      <c r="V46" s="7">
        <f t="shared" si="33"/>
        <v>7.846823147194637E-2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340.86</v>
      </c>
      <c r="E47" s="2"/>
      <c r="F47" s="7">
        <f t="shared" si="28"/>
        <v>2.5597619479964151E-3</v>
      </c>
      <c r="G47" s="2"/>
      <c r="H47" s="6">
        <v>200.09</v>
      </c>
      <c r="I47" s="2"/>
      <c r="J47" s="7">
        <f t="shared" si="29"/>
        <v>1.6566972830131439E-3</v>
      </c>
      <c r="K47" s="2"/>
      <c r="L47" s="6">
        <f t="shared" si="30"/>
        <v>140.77000000000001</v>
      </c>
      <c r="M47" s="2"/>
      <c r="N47" s="7">
        <f t="shared" si="31"/>
        <v>0.70353340996551561</v>
      </c>
      <c r="O47" s="11"/>
      <c r="P47" s="6">
        <v>1363.44</v>
      </c>
      <c r="Q47" s="2"/>
      <c r="R47" s="7">
        <f t="shared" si="32"/>
        <v>4.9386066329764134E-3</v>
      </c>
      <c r="S47" s="2"/>
      <c r="T47" s="6">
        <v>800.36</v>
      </c>
      <c r="U47" s="2"/>
      <c r="V47" s="7">
        <f t="shared" si="33"/>
        <v>3.0903803821312721E-3</v>
      </c>
      <c r="W47" s="2"/>
      <c r="X47" s="6">
        <f t="shared" si="34"/>
        <v>563.08000000000004</v>
      </c>
      <c r="Y47" s="2"/>
      <c r="Z47" s="7">
        <f t="shared" si="35"/>
        <v>0.70353340996551561</v>
      </c>
    </row>
    <row r="48" spans="1:26" s="27" customFormat="1" outlineLevel="1" collapsed="1" x14ac:dyDescent="0.25">
      <c r="A48" s="25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33.28</v>
      </c>
      <c r="E48" s="1"/>
      <c r="F48" s="5">
        <f t="shared" ref="F48:F61" si="36">IF(D$12=0,0,D48/D$12)</f>
        <v>2.4992336334366222E-4</v>
      </c>
      <c r="G48" s="1"/>
      <c r="H48" s="1">
        <f>SUM(OSRRefH22_6x_0)</f>
        <v>19.63</v>
      </c>
      <c r="I48" s="1"/>
      <c r="J48" s="5">
        <f t="shared" ref="J48:J61" si="37">IF(H$12=0,0,H48/H$12)</f>
        <v>1.6253169906316165E-4</v>
      </c>
      <c r="K48" s="1"/>
      <c r="L48" s="1">
        <f t="shared" ref="L48:L61" si="38">+D48-H48</f>
        <v>13.650000000000002</v>
      </c>
      <c r="M48" s="1"/>
      <c r="N48" s="5">
        <f t="shared" ref="N48:N61" si="39">IF(H48=0,0,L48/H48)</f>
        <v>0.69536423841059614</v>
      </c>
      <c r="O48" s="13"/>
      <c r="P48" s="1">
        <f>SUM(OSRRefP22_6x_0)</f>
        <v>33.28</v>
      </c>
      <c r="Q48" s="1"/>
      <c r="R48" s="5">
        <f t="shared" ref="R48:R61" si="40">IF(P$12=0,0,P48/P$12)</f>
        <v>1.2054569966075151E-4</v>
      </c>
      <c r="S48" s="1"/>
      <c r="T48" s="1">
        <f>SUM(OSRRefT22_6x_0)</f>
        <v>19.63</v>
      </c>
      <c r="U48" s="1"/>
      <c r="V48" s="5">
        <f t="shared" ref="V48:V61" si="41">IF(T$12=0,0,T48/T$12)</f>
        <v>7.5796100381374468E-5</v>
      </c>
      <c r="W48" s="1"/>
      <c r="X48" s="1">
        <f t="shared" ref="X48:X61" si="42">+P48-T48</f>
        <v>13.650000000000002</v>
      </c>
      <c r="Y48" s="1"/>
      <c r="Z48" s="5">
        <f t="shared" ref="Z48:Z61" si="43">IF(T48=0,0,X48/T48)</f>
        <v>0.69536423841059614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>
        <v>33.28</v>
      </c>
      <c r="E49" s="2"/>
      <c r="F49" s="7">
        <f t="shared" si="36"/>
        <v>2.4992336334366222E-4</v>
      </c>
      <c r="G49" s="2"/>
      <c r="H49" s="6">
        <v>19.63</v>
      </c>
      <c r="I49" s="2"/>
      <c r="J49" s="7">
        <f t="shared" si="37"/>
        <v>1.6253169906316165E-4</v>
      </c>
      <c r="K49" s="2"/>
      <c r="L49" s="6">
        <f t="shared" si="38"/>
        <v>13.650000000000002</v>
      </c>
      <c r="M49" s="2"/>
      <c r="N49" s="7">
        <f t="shared" si="39"/>
        <v>0.69536423841059614</v>
      </c>
      <c r="O49" s="11"/>
      <c r="P49" s="6">
        <v>33.28</v>
      </c>
      <c r="Q49" s="2"/>
      <c r="R49" s="7">
        <f t="shared" si="40"/>
        <v>1.2054569966075151E-4</v>
      </c>
      <c r="S49" s="2"/>
      <c r="T49" s="6">
        <v>19.63</v>
      </c>
      <c r="U49" s="2"/>
      <c r="V49" s="7">
        <f t="shared" si="41"/>
        <v>7.5796100381374468E-5</v>
      </c>
      <c r="W49" s="2"/>
      <c r="X49" s="6">
        <f t="shared" si="42"/>
        <v>13.650000000000002</v>
      </c>
      <c r="Y49" s="2"/>
      <c r="Z49" s="7">
        <f t="shared" si="43"/>
        <v>0.69536423841059614</v>
      </c>
    </row>
    <row r="50" spans="1:26" s="27" customFormat="1" outlineLevel="1" collapsed="1" x14ac:dyDescent="0.25">
      <c r="A50" s="25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123.73</v>
      </c>
      <c r="E50" s="1"/>
      <c r="F50" s="5">
        <f t="shared" si="36"/>
        <v>9.2917721594084506E-4</v>
      </c>
      <c r="G50" s="1"/>
      <c r="H50" s="1">
        <f>SUM(OSRRefH22_7x_0)</f>
        <v>113.78</v>
      </c>
      <c r="I50" s="1"/>
      <c r="J50" s="5">
        <f t="shared" si="37"/>
        <v>9.4207115228764815E-4</v>
      </c>
      <c r="K50" s="1"/>
      <c r="L50" s="1">
        <f t="shared" si="38"/>
        <v>9.9500000000000028</v>
      </c>
      <c r="M50" s="1"/>
      <c r="N50" s="5">
        <f t="shared" si="39"/>
        <v>8.7449463877658659E-2</v>
      </c>
      <c r="O50" s="13"/>
      <c r="P50" s="1">
        <f>SUM(OSRRefP22_7x_0)</f>
        <v>472.94</v>
      </c>
      <c r="Q50" s="1"/>
      <c r="R50" s="5">
        <f t="shared" si="40"/>
        <v>1.713067403772711E-3</v>
      </c>
      <c r="S50" s="1"/>
      <c r="T50" s="1">
        <f>SUM(OSRRefT22_7x_0)</f>
        <v>469.21</v>
      </c>
      <c r="U50" s="1"/>
      <c r="V50" s="5">
        <f t="shared" si="41"/>
        <v>1.8117314447246417E-3</v>
      </c>
      <c r="W50" s="1"/>
      <c r="X50" s="1">
        <f t="shared" si="42"/>
        <v>3.7300000000000182</v>
      </c>
      <c r="Y50" s="1"/>
      <c r="Z50" s="5">
        <f t="shared" si="43"/>
        <v>7.9495321924085548E-3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123.73</v>
      </c>
      <c r="E51" s="2"/>
      <c r="F51" s="7">
        <f t="shared" si="36"/>
        <v>9.2917721594084506E-4</v>
      </c>
      <c r="G51" s="2"/>
      <c r="H51" s="6">
        <v>113.78</v>
      </c>
      <c r="I51" s="2"/>
      <c r="J51" s="7">
        <f t="shared" si="37"/>
        <v>9.4207115228764815E-4</v>
      </c>
      <c r="K51" s="2"/>
      <c r="L51" s="6">
        <f t="shared" si="38"/>
        <v>9.9500000000000028</v>
      </c>
      <c r="M51" s="2"/>
      <c r="N51" s="7">
        <f t="shared" si="39"/>
        <v>8.7449463877658659E-2</v>
      </c>
      <c r="O51" s="11"/>
      <c r="P51" s="6">
        <v>472.94</v>
      </c>
      <c r="Q51" s="2"/>
      <c r="R51" s="7">
        <f t="shared" si="40"/>
        <v>1.713067403772711E-3</v>
      </c>
      <c r="S51" s="2"/>
      <c r="T51" s="6">
        <v>469.21</v>
      </c>
      <c r="U51" s="2"/>
      <c r="V51" s="7">
        <f t="shared" si="41"/>
        <v>1.8117314447246417E-3</v>
      </c>
      <c r="W51" s="2"/>
      <c r="X51" s="6">
        <f t="shared" si="42"/>
        <v>3.7300000000000182</v>
      </c>
      <c r="Y51" s="2"/>
      <c r="Z51" s="7">
        <f t="shared" si="43"/>
        <v>7.9495321924085548E-3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207.5</v>
      </c>
      <c r="E52" s="1"/>
      <c r="F52" s="5">
        <f t="shared" si="36"/>
        <v>1.5582661626745765E-3</v>
      </c>
      <c r="G52" s="1"/>
      <c r="H52" s="1">
        <f>SUM(OSRRefH22_8x_0)</f>
        <v>67.260000000000005</v>
      </c>
      <c r="I52" s="1"/>
      <c r="J52" s="5">
        <f t="shared" si="37"/>
        <v>5.5689669276557578E-4</v>
      </c>
      <c r="K52" s="1"/>
      <c r="L52" s="1">
        <f t="shared" si="38"/>
        <v>140.24</v>
      </c>
      <c r="M52" s="1"/>
      <c r="N52" s="5">
        <f t="shared" si="39"/>
        <v>2.0850431162652394</v>
      </c>
      <c r="O52" s="13"/>
      <c r="P52" s="1">
        <f>SUM(OSRRefP22_8x_0)</f>
        <v>1027.23</v>
      </c>
      <c r="Q52" s="1"/>
      <c r="R52" s="5">
        <f t="shared" si="40"/>
        <v>3.7207980487534188E-3</v>
      </c>
      <c r="S52" s="1"/>
      <c r="T52" s="1">
        <f>SUM(OSRRefT22_8x_0)</f>
        <v>835.98</v>
      </c>
      <c r="U52" s="1"/>
      <c r="V52" s="5">
        <f t="shared" si="41"/>
        <v>3.2279176768630377E-3</v>
      </c>
      <c r="W52" s="1"/>
      <c r="X52" s="1">
        <f t="shared" si="42"/>
        <v>191.25</v>
      </c>
      <c r="Y52" s="1"/>
      <c r="Z52" s="5">
        <f t="shared" si="43"/>
        <v>0.22877341563195291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>
        <v>207.5</v>
      </c>
      <c r="E53" s="2"/>
      <c r="F53" s="7">
        <f t="shared" si="36"/>
        <v>1.5582661626745765E-3</v>
      </c>
      <c r="G53" s="2"/>
      <c r="H53" s="6">
        <v>67.260000000000005</v>
      </c>
      <c r="I53" s="2"/>
      <c r="J53" s="7">
        <f t="shared" si="37"/>
        <v>5.5689669276557578E-4</v>
      </c>
      <c r="K53" s="2"/>
      <c r="L53" s="6">
        <f t="shared" si="38"/>
        <v>140.24</v>
      </c>
      <c r="M53" s="2"/>
      <c r="N53" s="7">
        <f t="shared" si="39"/>
        <v>2.0850431162652394</v>
      </c>
      <c r="O53" s="11"/>
      <c r="P53" s="6">
        <v>1027.23</v>
      </c>
      <c r="Q53" s="2"/>
      <c r="R53" s="7">
        <f t="shared" si="40"/>
        <v>3.7207980487534188E-3</v>
      </c>
      <c r="S53" s="2"/>
      <c r="T53" s="6">
        <v>835.98</v>
      </c>
      <c r="U53" s="2"/>
      <c r="V53" s="7">
        <f t="shared" si="41"/>
        <v>3.2279176768630377E-3</v>
      </c>
      <c r="W53" s="2"/>
      <c r="X53" s="6">
        <f t="shared" si="42"/>
        <v>191.25</v>
      </c>
      <c r="Y53" s="2"/>
      <c r="Z53" s="7">
        <f t="shared" si="43"/>
        <v>0.22877341563195291</v>
      </c>
    </row>
    <row r="54" spans="1:26" s="27" customFormat="1" outlineLevel="1" collapsed="1" x14ac:dyDescent="0.25">
      <c r="A54" s="25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243.54</v>
      </c>
      <c r="E54" s="1"/>
      <c r="F54" s="5">
        <f t="shared" si="36"/>
        <v>1.828916343410922E-3</v>
      </c>
      <c r="G54" s="1"/>
      <c r="H54" s="1">
        <f>SUM(OSRRefH22_9x_0)</f>
        <v>229.44</v>
      </c>
      <c r="I54" s="1"/>
      <c r="J54" s="5">
        <f t="shared" si="37"/>
        <v>1.8997082543582174E-3</v>
      </c>
      <c r="K54" s="1"/>
      <c r="L54" s="1">
        <f t="shared" si="38"/>
        <v>14.099999999999994</v>
      </c>
      <c r="M54" s="1"/>
      <c r="N54" s="5">
        <f t="shared" si="39"/>
        <v>6.1453974895397466E-2</v>
      </c>
      <c r="O54" s="13"/>
      <c r="P54" s="1">
        <f>SUM(OSRRefP22_9x_0)</f>
        <v>974.16</v>
      </c>
      <c r="Q54" s="1"/>
      <c r="R54" s="5">
        <f t="shared" si="40"/>
        <v>3.5285696749254112E-3</v>
      </c>
      <c r="S54" s="1"/>
      <c r="T54" s="1">
        <f>SUM(OSRRefT22_9x_0)</f>
        <v>917.76</v>
      </c>
      <c r="U54" s="1"/>
      <c r="V54" s="5">
        <f t="shared" si="41"/>
        <v>3.5436897140096913E-3</v>
      </c>
      <c r="W54" s="1"/>
      <c r="X54" s="1">
        <f t="shared" si="42"/>
        <v>56.399999999999977</v>
      </c>
      <c r="Y54" s="1"/>
      <c r="Z54" s="5">
        <f t="shared" si="43"/>
        <v>6.1453974895397466E-2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243.54</v>
      </c>
      <c r="E55" s="2"/>
      <c r="F55" s="7">
        <f t="shared" si="36"/>
        <v>1.828916343410922E-3</v>
      </c>
      <c r="G55" s="2"/>
      <c r="H55" s="6">
        <v>229.44</v>
      </c>
      <c r="I55" s="2"/>
      <c r="J55" s="7">
        <f t="shared" si="37"/>
        <v>1.8997082543582174E-3</v>
      </c>
      <c r="K55" s="2"/>
      <c r="L55" s="6">
        <f t="shared" si="38"/>
        <v>14.099999999999994</v>
      </c>
      <c r="M55" s="2"/>
      <c r="N55" s="7">
        <f t="shared" si="39"/>
        <v>6.1453974895397466E-2</v>
      </c>
      <c r="O55" s="11"/>
      <c r="P55" s="6">
        <v>974.16</v>
      </c>
      <c r="Q55" s="2"/>
      <c r="R55" s="7">
        <f t="shared" si="40"/>
        <v>3.5285696749254112E-3</v>
      </c>
      <c r="S55" s="2"/>
      <c r="T55" s="6">
        <v>917.76</v>
      </c>
      <c r="U55" s="2"/>
      <c r="V55" s="7">
        <f t="shared" si="41"/>
        <v>3.5436897140096913E-3</v>
      </c>
      <c r="W55" s="2"/>
      <c r="X55" s="6">
        <f t="shared" si="42"/>
        <v>56.399999999999977</v>
      </c>
      <c r="Y55" s="2"/>
      <c r="Z55" s="7">
        <f t="shared" si="43"/>
        <v>6.1453974895397466E-2</v>
      </c>
    </row>
    <row r="56" spans="1:26" s="27" customFormat="1" outlineLevel="1" collapsed="1" x14ac:dyDescent="0.25">
      <c r="A56" s="25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4163.95</v>
      </c>
      <c r="E56" s="1"/>
      <c r="F56" s="5">
        <f t="shared" si="36"/>
        <v>3.1270083797921941E-2</v>
      </c>
      <c r="G56" s="1"/>
      <c r="H56" s="1">
        <f>SUM(OSRRefH22_10x_0)</f>
        <v>4064.9</v>
      </c>
      <c r="I56" s="1"/>
      <c r="J56" s="5">
        <f t="shared" si="37"/>
        <v>3.365639854925348E-2</v>
      </c>
      <c r="K56" s="1"/>
      <c r="L56" s="1">
        <f t="shared" si="38"/>
        <v>99.049999999999727</v>
      </c>
      <c r="M56" s="1"/>
      <c r="N56" s="5">
        <f t="shared" si="39"/>
        <v>2.4367143103151301E-2</v>
      </c>
      <c r="O56" s="13"/>
      <c r="P56" s="1">
        <f>SUM(OSRRefP22_10x_0)</f>
        <v>16493.95</v>
      </c>
      <c r="Q56" s="1"/>
      <c r="R56" s="5">
        <f t="shared" si="40"/>
        <v>5.9743832419454704E-2</v>
      </c>
      <c r="S56" s="1"/>
      <c r="T56" s="1">
        <f>SUM(OSRRefT22_10x_0)</f>
        <v>16904.900000000001</v>
      </c>
      <c r="U56" s="1"/>
      <c r="V56" s="5">
        <f t="shared" si="41"/>
        <v>6.5273840923947904E-2</v>
      </c>
      <c r="W56" s="1"/>
      <c r="X56" s="1">
        <f t="shared" si="42"/>
        <v>-410.95000000000073</v>
      </c>
      <c r="Y56" s="1"/>
      <c r="Z56" s="5">
        <f t="shared" si="43"/>
        <v>-2.4309519725050174E-2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6">
        <v>4163.95</v>
      </c>
      <c r="E57" s="2"/>
      <c r="F57" s="7">
        <f t="shared" si="36"/>
        <v>3.1270083797921941E-2</v>
      </c>
      <c r="G57" s="2"/>
      <c r="H57" s="6">
        <v>4064.9</v>
      </c>
      <c r="I57" s="2"/>
      <c r="J57" s="7">
        <f t="shared" si="37"/>
        <v>3.365639854925348E-2</v>
      </c>
      <c r="K57" s="2"/>
      <c r="L57" s="6">
        <f t="shared" si="38"/>
        <v>99.049999999999727</v>
      </c>
      <c r="M57" s="2"/>
      <c r="N57" s="7">
        <f t="shared" si="39"/>
        <v>2.4367143103151301E-2</v>
      </c>
      <c r="O57" s="11"/>
      <c r="P57" s="6">
        <v>16493.95</v>
      </c>
      <c r="Q57" s="2"/>
      <c r="R57" s="7">
        <f t="shared" si="40"/>
        <v>5.9743832419454704E-2</v>
      </c>
      <c r="S57" s="2"/>
      <c r="T57" s="6">
        <v>16904.900000000001</v>
      </c>
      <c r="U57" s="2"/>
      <c r="V57" s="7">
        <f t="shared" si="41"/>
        <v>6.5273840923947904E-2</v>
      </c>
      <c r="W57" s="2"/>
      <c r="X57" s="6">
        <f t="shared" si="42"/>
        <v>-410.95000000000073</v>
      </c>
      <c r="Y57" s="2"/>
      <c r="Z57" s="7">
        <f t="shared" si="43"/>
        <v>-2.4309519725050174E-2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102.71</v>
      </c>
      <c r="E58" s="1"/>
      <c r="F58" s="5">
        <f t="shared" si="36"/>
        <v>7.7132297623279877E-4</v>
      </c>
      <c r="G58" s="1"/>
      <c r="H58" s="1">
        <f>SUM(OSRRefH22_11x_0)</f>
        <v>244.41</v>
      </c>
      <c r="I58" s="1"/>
      <c r="J58" s="5">
        <f t="shared" si="37"/>
        <v>2.0236562693849891E-3</v>
      </c>
      <c r="K58" s="1"/>
      <c r="L58" s="1">
        <f t="shared" si="38"/>
        <v>-141.69999999999999</v>
      </c>
      <c r="M58" s="1"/>
      <c r="N58" s="5">
        <f t="shared" si="39"/>
        <v>-0.57976351213125477</v>
      </c>
      <c r="O58" s="13"/>
      <c r="P58" s="1">
        <f>SUM(OSRRefP22_11x_0)</f>
        <v>624.08999999999992</v>
      </c>
      <c r="Q58" s="1"/>
      <c r="R58" s="5">
        <f t="shared" si="40"/>
        <v>2.2605578636201444E-3</v>
      </c>
      <c r="S58" s="1"/>
      <c r="T58" s="1">
        <f>SUM(OSRRefT22_11x_0)</f>
        <v>623.98</v>
      </c>
      <c r="U58" s="1"/>
      <c r="V58" s="5">
        <f t="shared" si="41"/>
        <v>2.4093352376958759E-3</v>
      </c>
      <c r="W58" s="1"/>
      <c r="X58" s="1">
        <f t="shared" si="42"/>
        <v>0.10999999999989996</v>
      </c>
      <c r="Y58" s="1"/>
      <c r="Z58" s="5">
        <f t="shared" si="43"/>
        <v>1.7628770152873483E-4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437.31</v>
      </c>
      <c r="Q59" s="2"/>
      <c r="R59" s="7">
        <f t="shared" si="40"/>
        <v>1.5840096129400014E-3</v>
      </c>
      <c r="S59" s="2"/>
      <c r="T59" s="6"/>
      <c r="U59" s="2"/>
      <c r="V59" s="7">
        <f t="shared" si="41"/>
        <v>0</v>
      </c>
      <c r="W59" s="2"/>
      <c r="X59" s="6">
        <f t="shared" si="42"/>
        <v>437.31</v>
      </c>
      <c r="Y59" s="2"/>
      <c r="Z59" s="7">
        <f t="shared" si="43"/>
        <v>0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>
        <v>102.71</v>
      </c>
      <c r="E60" s="2"/>
      <c r="F60" s="7">
        <f t="shared" si="36"/>
        <v>7.7132297623279877E-4</v>
      </c>
      <c r="G60" s="2"/>
      <c r="H60" s="6"/>
      <c r="I60" s="2"/>
      <c r="J60" s="7">
        <f t="shared" si="37"/>
        <v>0</v>
      </c>
      <c r="K60" s="2"/>
      <c r="L60" s="6">
        <f t="shared" si="38"/>
        <v>102.71</v>
      </c>
      <c r="M60" s="2"/>
      <c r="N60" s="7">
        <f t="shared" si="39"/>
        <v>0</v>
      </c>
      <c r="O60" s="11"/>
      <c r="P60" s="6">
        <v>102.71</v>
      </c>
      <c r="Q60" s="2"/>
      <c r="R60" s="7">
        <f t="shared" si="40"/>
        <v>3.7203271671141185E-4</v>
      </c>
      <c r="S60" s="2"/>
      <c r="T60" s="6">
        <v>101.2</v>
      </c>
      <c r="U60" s="2"/>
      <c r="V60" s="7">
        <f t="shared" si="41"/>
        <v>3.9075727756470184E-4</v>
      </c>
      <c r="W60" s="2"/>
      <c r="X60" s="6">
        <f t="shared" si="42"/>
        <v>1.5099999999999909</v>
      </c>
      <c r="Y60" s="2"/>
      <c r="Z60" s="7">
        <f t="shared" si="43"/>
        <v>1.4920948616600701E-2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36"/>
        <v>0</v>
      </c>
      <c r="G61" s="2"/>
      <c r="H61" s="6">
        <v>244.41</v>
      </c>
      <c r="I61" s="2"/>
      <c r="J61" s="7">
        <f t="shared" si="37"/>
        <v>2.0236562693849891E-3</v>
      </c>
      <c r="K61" s="2"/>
      <c r="L61" s="6">
        <f t="shared" si="38"/>
        <v>-244.41</v>
      </c>
      <c r="M61" s="2"/>
      <c r="N61" s="7">
        <f t="shared" si="39"/>
        <v>-1</v>
      </c>
      <c r="O61" s="11"/>
      <c r="P61" s="6">
        <v>84.07</v>
      </c>
      <c r="Q61" s="2"/>
      <c r="R61" s="7">
        <f t="shared" si="40"/>
        <v>3.0451553396873131E-4</v>
      </c>
      <c r="S61" s="2"/>
      <c r="T61" s="6">
        <v>522.78</v>
      </c>
      <c r="U61" s="2"/>
      <c r="V61" s="7">
        <f t="shared" si="41"/>
        <v>2.0185779601311739E-3</v>
      </c>
      <c r="W61" s="2"/>
      <c r="X61" s="6">
        <f t="shared" si="42"/>
        <v>-438.71</v>
      </c>
      <c r="Y61" s="2"/>
      <c r="Z61" s="7">
        <f t="shared" si="43"/>
        <v>-0.83918665595470365</v>
      </c>
    </row>
    <row r="62" spans="1:26" s="27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325.5</v>
      </c>
      <c r="E62" s="1"/>
      <c r="F62" s="5">
        <f t="shared" ref="F62:F65" si="44">IF(D$12=0,0,D62/D$12)</f>
        <v>2.4444127033762635E-3</v>
      </c>
      <c r="G62" s="1"/>
      <c r="H62" s="1">
        <f>SUM(OSRRefH22_12x_0)</f>
        <v>1093.3200000000002</v>
      </c>
      <c r="I62" s="1"/>
      <c r="J62" s="5">
        <f t="shared" ref="J62:J65" si="45">IF(H$12=0,0,H62/H$12)</f>
        <v>9.0524277748209852E-3</v>
      </c>
      <c r="K62" s="1"/>
      <c r="L62" s="1">
        <f t="shared" ref="L62:L65" si="46">+D62-H62</f>
        <v>-767.82000000000016</v>
      </c>
      <c r="M62" s="1"/>
      <c r="N62" s="5">
        <f t="shared" ref="N62:N65" si="47">IF(H62=0,0,L62/H62)</f>
        <v>-0.70228295467017898</v>
      </c>
      <c r="O62" s="13"/>
      <c r="P62" s="1">
        <f>SUM(OSRRefP22_12x_0)</f>
        <v>1402.48</v>
      </c>
      <c r="Q62" s="1"/>
      <c r="R62" s="5">
        <f t="shared" ref="R62:R65" si="48">IF(P$12=0,0,P62/P$12)</f>
        <v>5.0800160114246031E-3</v>
      </c>
      <c r="S62" s="1"/>
      <c r="T62" s="1">
        <f>SUM(OSRRefT22_12x_0)</f>
        <v>2629.1000000000004</v>
      </c>
      <c r="U62" s="1"/>
      <c r="V62" s="5">
        <f t="shared" ref="V62:V65" si="49">IF(T$12=0,0,T62/T$12)</f>
        <v>1.0151580617048989E-2</v>
      </c>
      <c r="W62" s="1"/>
      <c r="X62" s="1">
        <f t="shared" ref="X62:X65" si="50">+P62-T62</f>
        <v>-1226.6200000000003</v>
      </c>
      <c r="Y62" s="1"/>
      <c r="Z62" s="5">
        <f t="shared" ref="Z62:Z65" si="51">IF(T62=0,0,X62/T62)</f>
        <v>-0.46655509489939528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/>
      <c r="E63" s="2"/>
      <c r="F63" s="7">
        <f t="shared" si="44"/>
        <v>0</v>
      </c>
      <c r="G63" s="2"/>
      <c r="H63" s="6">
        <v>157.35</v>
      </c>
      <c r="I63" s="2"/>
      <c r="J63" s="7">
        <f t="shared" si="45"/>
        <v>1.3028203182673707E-3</v>
      </c>
      <c r="K63" s="2"/>
      <c r="L63" s="6">
        <f t="shared" si="46"/>
        <v>-157.35</v>
      </c>
      <c r="M63" s="2"/>
      <c r="N63" s="7">
        <f t="shared" si="47"/>
        <v>-1</v>
      </c>
      <c r="O63" s="11"/>
      <c r="P63" s="6">
        <v>314.7</v>
      </c>
      <c r="Q63" s="2"/>
      <c r="R63" s="7">
        <f t="shared" si="48"/>
        <v>1.1398957837511568E-3</v>
      </c>
      <c r="S63" s="2"/>
      <c r="T63" s="6">
        <v>629.4</v>
      </c>
      <c r="U63" s="2"/>
      <c r="V63" s="7">
        <f t="shared" si="49"/>
        <v>2.4302631472255267E-3</v>
      </c>
      <c r="W63" s="2"/>
      <c r="X63" s="6">
        <f t="shared" si="50"/>
        <v>-314.7</v>
      </c>
      <c r="Y63" s="2"/>
      <c r="Z63" s="7">
        <f t="shared" si="51"/>
        <v>-0.5</v>
      </c>
    </row>
    <row r="64" spans="1:26" s="24" customFormat="1" hidden="1" outlineLevel="2" x14ac:dyDescent="0.25">
      <c r="A64" s="26"/>
      <c r="B64" s="11" t="str">
        <f>CONCATENATE("          ", "6284", " - ", "TRASH REMOVAL EXPENSE")</f>
        <v xml:space="preserve">          6284 - TRASH REMOVAL EXPENSE</v>
      </c>
      <c r="C64" s="11"/>
      <c r="D64" s="6">
        <v>237</v>
      </c>
      <c r="E64" s="2"/>
      <c r="F64" s="7">
        <f t="shared" si="44"/>
        <v>1.7798027978499981E-3</v>
      </c>
      <c r="G64" s="2"/>
      <c r="H64" s="6">
        <v>807.73</v>
      </c>
      <c r="I64" s="2"/>
      <c r="J64" s="7">
        <f t="shared" si="45"/>
        <v>6.6878109671058361E-3</v>
      </c>
      <c r="K64" s="2"/>
      <c r="L64" s="6">
        <f t="shared" si="46"/>
        <v>-570.73</v>
      </c>
      <c r="M64" s="2"/>
      <c r="N64" s="7">
        <f t="shared" si="47"/>
        <v>-0.70658512126576956</v>
      </c>
      <c r="O64" s="11"/>
      <c r="P64" s="6">
        <v>711</v>
      </c>
      <c r="Q64" s="2"/>
      <c r="R64" s="7">
        <f t="shared" si="48"/>
        <v>2.5753603503243486E-3</v>
      </c>
      <c r="S64" s="2"/>
      <c r="T64" s="6">
        <v>1518.73</v>
      </c>
      <c r="U64" s="2"/>
      <c r="V64" s="7">
        <f t="shared" si="49"/>
        <v>5.864177867152565E-3</v>
      </c>
      <c r="W64" s="2"/>
      <c r="X64" s="6">
        <f t="shared" si="50"/>
        <v>-807.73</v>
      </c>
      <c r="Y64" s="2"/>
      <c r="Z64" s="7">
        <f t="shared" si="51"/>
        <v>-0.53184568685678169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6">
        <v>88.5</v>
      </c>
      <c r="E65" s="2"/>
      <c r="F65" s="7">
        <f t="shared" si="44"/>
        <v>6.6460990552626512E-4</v>
      </c>
      <c r="G65" s="2"/>
      <c r="H65" s="6">
        <v>128.24</v>
      </c>
      <c r="I65" s="2"/>
      <c r="J65" s="7">
        <f t="shared" si="45"/>
        <v>1.0617964894477764E-3</v>
      </c>
      <c r="K65" s="2"/>
      <c r="L65" s="6">
        <f t="shared" si="46"/>
        <v>-39.740000000000009</v>
      </c>
      <c r="M65" s="2"/>
      <c r="N65" s="7">
        <f t="shared" si="47"/>
        <v>-0.30988771054273245</v>
      </c>
      <c r="O65" s="11"/>
      <c r="P65" s="6">
        <v>376.78</v>
      </c>
      <c r="Q65" s="2"/>
      <c r="R65" s="7">
        <f t="shared" si="48"/>
        <v>1.3647598773490971E-3</v>
      </c>
      <c r="S65" s="2"/>
      <c r="T65" s="6">
        <v>480.97</v>
      </c>
      <c r="U65" s="2"/>
      <c r="V65" s="7">
        <f t="shared" si="49"/>
        <v>1.8571396026708957E-3</v>
      </c>
      <c r="W65" s="2"/>
      <c r="X65" s="6">
        <f t="shared" si="50"/>
        <v>-104.19000000000005</v>
      </c>
      <c r="Y65" s="2"/>
      <c r="Z65" s="7">
        <f t="shared" si="51"/>
        <v>-0.21662473750961608</v>
      </c>
    </row>
    <row r="66" spans="1:26" s="27" customFormat="1" outlineLevel="1" collapsed="1" x14ac:dyDescent="0.25">
      <c r="A66" s="25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SUM(OSRRefD22_13x_0)</f>
        <v>176.4</v>
      </c>
      <c r="E66" s="1"/>
      <c r="F66" s="5">
        <f t="shared" ref="F66:F74" si="52">IF(D$12=0,0,D66/D$12)</f>
        <v>1.3247139811845556E-3</v>
      </c>
      <c r="G66" s="1"/>
      <c r="H66" s="1">
        <f>SUM(OSRRefH22_13x_0)</f>
        <v>176.4</v>
      </c>
      <c r="I66" s="1"/>
      <c r="J66" s="5">
        <f t="shared" ref="J66:J74" si="53">IF(H$12=0,0,H66/H$12)</f>
        <v>1.4605497562272906E-3</v>
      </c>
      <c r="K66" s="1"/>
      <c r="L66" s="1">
        <f t="shared" ref="L66:L74" si="54">+D66-H66</f>
        <v>0</v>
      </c>
      <c r="M66" s="1"/>
      <c r="N66" s="5">
        <f t="shared" ref="N66:N74" si="55">IF(H66=0,0,L66/H66)</f>
        <v>0</v>
      </c>
      <c r="O66" s="13"/>
      <c r="P66" s="1">
        <f>SUM(OSRRefP22_13x_0)</f>
        <v>705.6</v>
      </c>
      <c r="Q66" s="1"/>
      <c r="R66" s="5">
        <f t="shared" ref="R66:R74" si="56">IF(P$12=0,0,P66/P$12)</f>
        <v>2.5558006514611259E-3</v>
      </c>
      <c r="S66" s="1"/>
      <c r="T66" s="1">
        <f>SUM(OSRRefT22_13x_0)</f>
        <v>176.4</v>
      </c>
      <c r="U66" s="1"/>
      <c r="V66" s="5">
        <f t="shared" ref="V66:V74" si="57">IF(T$12=0,0,T66/T$12)</f>
        <v>6.8112236919380838E-4</v>
      </c>
      <c r="W66" s="1"/>
      <c r="X66" s="1">
        <f t="shared" ref="X66:X74" si="58">+P66-T66</f>
        <v>529.20000000000005</v>
      </c>
      <c r="Y66" s="1"/>
      <c r="Z66" s="5">
        <f t="shared" ref="Z66:Z74" si="59">IF(T66=0,0,X66/T66)</f>
        <v>3</v>
      </c>
    </row>
    <row r="67" spans="1:26" s="24" customFormat="1" hidden="1" outlineLevel="2" x14ac:dyDescent="0.25">
      <c r="A67" s="26"/>
      <c r="B67" s="11" t="str">
        <f>CONCATENATE("          ", "6275", " - ", "SUBSCRIPTIONS")</f>
        <v xml:space="preserve">          6275 - SUBSCRIPTIONS</v>
      </c>
      <c r="C67" s="11"/>
      <c r="D67" s="6">
        <v>176.4</v>
      </c>
      <c r="E67" s="2"/>
      <c r="F67" s="7">
        <f t="shared" si="52"/>
        <v>1.3247139811845556E-3</v>
      </c>
      <c r="G67" s="2"/>
      <c r="H67" s="6">
        <v>176.4</v>
      </c>
      <c r="I67" s="2"/>
      <c r="J67" s="7">
        <f t="shared" si="53"/>
        <v>1.4605497562272906E-3</v>
      </c>
      <c r="K67" s="2"/>
      <c r="L67" s="6">
        <f t="shared" si="54"/>
        <v>0</v>
      </c>
      <c r="M67" s="2"/>
      <c r="N67" s="7">
        <f t="shared" si="55"/>
        <v>0</v>
      </c>
      <c r="O67" s="11"/>
      <c r="P67" s="6">
        <v>705.6</v>
      </c>
      <c r="Q67" s="2"/>
      <c r="R67" s="7">
        <f t="shared" si="56"/>
        <v>2.5558006514611259E-3</v>
      </c>
      <c r="S67" s="2"/>
      <c r="T67" s="6">
        <v>176.4</v>
      </c>
      <c r="U67" s="2"/>
      <c r="V67" s="7">
        <f t="shared" si="57"/>
        <v>6.8112236919380838E-4</v>
      </c>
      <c r="W67" s="2"/>
      <c r="X67" s="6">
        <f t="shared" si="58"/>
        <v>529.20000000000005</v>
      </c>
      <c r="Y67" s="2"/>
      <c r="Z67" s="7">
        <f t="shared" si="59"/>
        <v>3</v>
      </c>
    </row>
    <row r="68" spans="1:26" s="27" customFormat="1" outlineLevel="1" collapsed="1" x14ac:dyDescent="0.25">
      <c r="A68" s="25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SUM(OSRRefD22_14x_0)</f>
        <v>829.77</v>
      </c>
      <c r="E68" s="1"/>
      <c r="F68" s="5">
        <f t="shared" si="52"/>
        <v>6.2313374159155823E-3</v>
      </c>
      <c r="G68" s="1"/>
      <c r="H68" s="1">
        <f>SUM(OSRRefH22_14x_0)</f>
        <v>1620.7</v>
      </c>
      <c r="I68" s="1"/>
      <c r="J68" s="5">
        <f t="shared" si="53"/>
        <v>1.3419007879351304E-2</v>
      </c>
      <c r="K68" s="1"/>
      <c r="L68" s="1">
        <f t="shared" si="54"/>
        <v>-790.93000000000006</v>
      </c>
      <c r="M68" s="1"/>
      <c r="N68" s="5">
        <f t="shared" si="55"/>
        <v>-0.48801752329240455</v>
      </c>
      <c r="O68" s="13"/>
      <c r="P68" s="1">
        <f>SUM(OSRRefP22_14x_0)</f>
        <v>7766.82</v>
      </c>
      <c r="Q68" s="1"/>
      <c r="R68" s="5">
        <f t="shared" si="56"/>
        <v>2.81327148749735E-2</v>
      </c>
      <c r="S68" s="1"/>
      <c r="T68" s="1">
        <f>SUM(OSRRefT22_14x_0)</f>
        <v>6253.69</v>
      </c>
      <c r="U68" s="1"/>
      <c r="V68" s="5">
        <f t="shared" si="57"/>
        <v>2.4146984971675889E-2</v>
      </c>
      <c r="W68" s="1"/>
      <c r="X68" s="1">
        <f t="shared" si="58"/>
        <v>1513.13</v>
      </c>
      <c r="Y68" s="1"/>
      <c r="Z68" s="5">
        <f t="shared" si="59"/>
        <v>0.2419579480274846</v>
      </c>
    </row>
    <row r="69" spans="1:26" s="24" customFormat="1" hidden="1" outlineLevel="2" x14ac:dyDescent="0.25">
      <c r="A69" s="26"/>
      <c r="B69" s="11" t="str">
        <f>CONCATENATE("          ", "6234", " - ", "EXPENDABLE SUPPLIES &amp; EQUIPMEN")</f>
        <v xml:space="preserve">          6234 - EXPENDABLE SUPPLIES &amp; EQUIPMEN</v>
      </c>
      <c r="C69" s="11"/>
      <c r="D69" s="6"/>
      <c r="E69" s="2"/>
      <c r="F69" s="7">
        <f t="shared" si="52"/>
        <v>0</v>
      </c>
      <c r="G69" s="2"/>
      <c r="H69" s="6"/>
      <c r="I69" s="2"/>
      <c r="J69" s="7">
        <f t="shared" si="53"/>
        <v>0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/>
      <c r="Q69" s="2"/>
      <c r="R69" s="7">
        <f t="shared" si="56"/>
        <v>0</v>
      </c>
      <c r="S69" s="2"/>
      <c r="T69" s="6">
        <v>939.33</v>
      </c>
      <c r="U69" s="2"/>
      <c r="V69" s="7">
        <f t="shared" si="57"/>
        <v>3.6269766159570294E-3</v>
      </c>
      <c r="W69" s="2"/>
      <c r="X69" s="6">
        <f t="shared" si="58"/>
        <v>-939.33</v>
      </c>
      <c r="Y69" s="2"/>
      <c r="Z69" s="7">
        <f t="shared" si="59"/>
        <v>-1</v>
      </c>
    </row>
    <row r="70" spans="1:26" s="24" customFormat="1" hidden="1" outlineLevel="2" x14ac:dyDescent="0.25">
      <c r="A70" s="26"/>
      <c r="B70" s="11" t="str">
        <f>CONCATENATE("          ", "6237", " - ", "JANITORIAL SUPPLIES")</f>
        <v xml:space="preserve">          6237 - JANITORIAL SUPPLIES</v>
      </c>
      <c r="C70" s="11"/>
      <c r="D70" s="6">
        <v>145.84</v>
      </c>
      <c r="E70" s="2"/>
      <c r="F70" s="7">
        <f t="shared" si="52"/>
        <v>1.0952170465757119E-3</v>
      </c>
      <c r="G70" s="2"/>
      <c r="H70" s="6">
        <v>981.24</v>
      </c>
      <c r="I70" s="2"/>
      <c r="J70" s="7">
        <f t="shared" si="53"/>
        <v>8.1244322154221463E-3</v>
      </c>
      <c r="K70" s="2"/>
      <c r="L70" s="6">
        <f t="shared" si="54"/>
        <v>-835.4</v>
      </c>
      <c r="M70" s="2"/>
      <c r="N70" s="7">
        <f t="shared" si="55"/>
        <v>-0.8513717337246749</v>
      </c>
      <c r="O70" s="11"/>
      <c r="P70" s="6">
        <v>399.39</v>
      </c>
      <c r="Q70" s="2"/>
      <c r="R70" s="7">
        <f t="shared" si="56"/>
        <v>1.4466570609227027E-3</v>
      </c>
      <c r="S70" s="2"/>
      <c r="T70" s="6">
        <v>1577.8</v>
      </c>
      <c r="U70" s="2"/>
      <c r="V70" s="7">
        <f t="shared" si="57"/>
        <v>6.0922611911223964E-3</v>
      </c>
      <c r="W70" s="2"/>
      <c r="X70" s="6">
        <f t="shared" si="58"/>
        <v>-1178.4099999999999</v>
      </c>
      <c r="Y70" s="2"/>
      <c r="Z70" s="7">
        <f t="shared" si="59"/>
        <v>-0.746869058182279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>
        <v>35.549999999999997</v>
      </c>
      <c r="E71" s="2"/>
      <c r="F71" s="7">
        <f t="shared" si="52"/>
        <v>2.6697041967749968E-4</v>
      </c>
      <c r="G71" s="2"/>
      <c r="H71" s="6">
        <v>175.26</v>
      </c>
      <c r="I71" s="2"/>
      <c r="J71" s="7">
        <f t="shared" si="53"/>
        <v>1.451110829231264E-3</v>
      </c>
      <c r="K71" s="2"/>
      <c r="L71" s="6">
        <f t="shared" si="54"/>
        <v>-139.70999999999998</v>
      </c>
      <c r="M71" s="2"/>
      <c r="N71" s="7">
        <f t="shared" si="55"/>
        <v>-0.79715850736049287</v>
      </c>
      <c r="O71" s="11"/>
      <c r="P71" s="6">
        <v>328.13</v>
      </c>
      <c r="Q71" s="2"/>
      <c r="R71" s="7">
        <f t="shared" si="56"/>
        <v>1.1885414792572834E-3</v>
      </c>
      <c r="S71" s="2"/>
      <c r="T71" s="6">
        <v>2083.41</v>
      </c>
      <c r="U71" s="2"/>
      <c r="V71" s="7">
        <f t="shared" si="57"/>
        <v>8.0445416961568705E-3</v>
      </c>
      <c r="W71" s="2"/>
      <c r="X71" s="6">
        <f t="shared" si="58"/>
        <v>-1755.2799999999997</v>
      </c>
      <c r="Y71" s="2"/>
      <c r="Z71" s="7">
        <f t="shared" si="59"/>
        <v>-0.84250339587503176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>
        <v>85.26</v>
      </c>
      <c r="E72" s="2"/>
      <c r="F72" s="7">
        <f t="shared" si="52"/>
        <v>6.4027842423920191E-4</v>
      </c>
      <c r="G72" s="2"/>
      <c r="H72" s="6">
        <v>244.49</v>
      </c>
      <c r="I72" s="2"/>
      <c r="J72" s="7">
        <f t="shared" si="53"/>
        <v>2.0243186502268157E-3</v>
      </c>
      <c r="K72" s="2"/>
      <c r="L72" s="6">
        <f t="shared" si="54"/>
        <v>-159.23000000000002</v>
      </c>
      <c r="M72" s="2"/>
      <c r="N72" s="7">
        <f t="shared" si="55"/>
        <v>-0.65127408073949855</v>
      </c>
      <c r="O72" s="11"/>
      <c r="P72" s="6">
        <v>430.34</v>
      </c>
      <c r="Q72" s="2"/>
      <c r="R72" s="7">
        <f t="shared" si="56"/>
        <v>1.558763112740619E-3</v>
      </c>
      <c r="S72" s="2"/>
      <c r="T72" s="6">
        <v>904.02</v>
      </c>
      <c r="U72" s="2"/>
      <c r="V72" s="7">
        <f t="shared" si="57"/>
        <v>3.4906363049806493E-3</v>
      </c>
      <c r="W72" s="2"/>
      <c r="X72" s="6">
        <f t="shared" si="58"/>
        <v>-473.68</v>
      </c>
      <c r="Y72" s="2"/>
      <c r="Z72" s="7">
        <f t="shared" si="59"/>
        <v>-0.52397070861264128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6">
        <v>563.12</v>
      </c>
      <c r="E73" s="2"/>
      <c r="F73" s="7">
        <f t="shared" si="52"/>
        <v>4.2288715254231689E-3</v>
      </c>
      <c r="G73" s="2"/>
      <c r="H73" s="6">
        <v>219.71</v>
      </c>
      <c r="I73" s="2"/>
      <c r="J73" s="7">
        <f t="shared" si="53"/>
        <v>1.8191461844710773E-3</v>
      </c>
      <c r="K73" s="2"/>
      <c r="L73" s="6">
        <f t="shared" si="54"/>
        <v>343.40999999999997</v>
      </c>
      <c r="M73" s="2"/>
      <c r="N73" s="7">
        <f t="shared" si="55"/>
        <v>1.5630148832551998</v>
      </c>
      <c r="O73" s="11"/>
      <c r="P73" s="6">
        <v>6608.96</v>
      </c>
      <c r="Q73" s="2"/>
      <c r="R73" s="7">
        <f t="shared" si="56"/>
        <v>2.3938753222052894E-2</v>
      </c>
      <c r="S73" s="2"/>
      <c r="T73" s="6">
        <v>349.43</v>
      </c>
      <c r="U73" s="2"/>
      <c r="V73" s="7">
        <f t="shared" si="57"/>
        <v>1.3492323665951953E-3</v>
      </c>
      <c r="W73" s="2"/>
      <c r="X73" s="6">
        <f t="shared" si="58"/>
        <v>6259.53</v>
      </c>
      <c r="Y73" s="2"/>
      <c r="Z73" s="7">
        <f t="shared" si="59"/>
        <v>17.913544916006067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/>
      <c r="Q74" s="2"/>
      <c r="R74" s="7">
        <f t="shared" si="56"/>
        <v>0</v>
      </c>
      <c r="S74" s="2"/>
      <c r="T74" s="6">
        <v>399.7</v>
      </c>
      <c r="U74" s="2"/>
      <c r="V74" s="7">
        <f t="shared" si="57"/>
        <v>1.5433367968637481E-3</v>
      </c>
      <c r="W74" s="2"/>
      <c r="X74" s="6">
        <f t="shared" si="58"/>
        <v>-399.7</v>
      </c>
      <c r="Y74" s="2"/>
      <c r="Z74" s="7">
        <f t="shared" si="59"/>
        <v>-1</v>
      </c>
    </row>
    <row r="75" spans="1:26" s="27" customFormat="1" outlineLevel="1" collapsed="1" x14ac:dyDescent="0.25">
      <c r="A75" s="25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SUM(OSRRefD22_15x_0)</f>
        <v>38.15</v>
      </c>
      <c r="E75" s="1"/>
      <c r="F75" s="5">
        <f t="shared" ref="F75:F78" si="60">IF(D$12=0,0,D75/D$12)</f>
        <v>2.8649568243872332E-4</v>
      </c>
      <c r="G75" s="1"/>
      <c r="H75" s="1">
        <f>SUM(OSRRefH22_15x_0)</f>
        <v>38.799999999999997</v>
      </c>
      <c r="I75" s="1"/>
      <c r="J75" s="5">
        <f t="shared" ref="J75:J78" si="61">IF(H$12=0,0,H75/H$12)</f>
        <v>3.2125470828582125E-4</v>
      </c>
      <c r="K75" s="1"/>
      <c r="L75" s="1">
        <f t="shared" ref="L75:L78" si="62">+D75-H75</f>
        <v>-0.64999999999999858</v>
      </c>
      <c r="M75" s="1"/>
      <c r="N75" s="5">
        <f t="shared" ref="N75:N78" si="63">IF(H75=0,0,L75/H75)</f>
        <v>-1.6752577319587594E-2</v>
      </c>
      <c r="O75" s="13"/>
      <c r="P75" s="1">
        <f>SUM(OSRRefP22_15x_0)</f>
        <v>155.6</v>
      </c>
      <c r="Q75" s="1"/>
      <c r="R75" s="5">
        <f t="shared" ref="R75:R78" si="64">IF(P$12=0,0,P75/P$12)</f>
        <v>5.6360910057731174E-4</v>
      </c>
      <c r="S75" s="1"/>
      <c r="T75" s="1">
        <f>SUM(OSRRefT22_15x_0)</f>
        <v>158.25</v>
      </c>
      <c r="U75" s="1"/>
      <c r="V75" s="5">
        <f t="shared" ref="V75:V78" si="65">IF(T$12=0,0,T75/T$12)</f>
        <v>6.1104090093492159E-4</v>
      </c>
      <c r="W75" s="1"/>
      <c r="X75" s="1">
        <f t="shared" ref="X75:X78" si="66">+P75-T75</f>
        <v>-2.6500000000000057</v>
      </c>
      <c r="Y75" s="1"/>
      <c r="Z75" s="5">
        <f t="shared" ref="Z75:Z78" si="67">IF(T75=0,0,X75/T75)</f>
        <v>-1.6745655608214886E-2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6">
        <v>38.15</v>
      </c>
      <c r="E76" s="2"/>
      <c r="F76" s="7">
        <f t="shared" si="60"/>
        <v>2.8649568243872332E-4</v>
      </c>
      <c r="G76" s="2"/>
      <c r="H76" s="6">
        <v>38.799999999999997</v>
      </c>
      <c r="I76" s="2"/>
      <c r="J76" s="7">
        <f t="shared" si="61"/>
        <v>3.2125470828582125E-4</v>
      </c>
      <c r="K76" s="2"/>
      <c r="L76" s="6">
        <f t="shared" si="62"/>
        <v>-0.64999999999999858</v>
      </c>
      <c r="M76" s="2"/>
      <c r="N76" s="7">
        <f t="shared" si="63"/>
        <v>-1.6752577319587594E-2</v>
      </c>
      <c r="O76" s="11"/>
      <c r="P76" s="6">
        <v>155.6</v>
      </c>
      <c r="Q76" s="2"/>
      <c r="R76" s="7">
        <f t="shared" si="64"/>
        <v>5.6360910057731174E-4</v>
      </c>
      <c r="S76" s="2"/>
      <c r="T76" s="6">
        <v>158.25</v>
      </c>
      <c r="U76" s="2"/>
      <c r="V76" s="7">
        <f t="shared" si="65"/>
        <v>6.1104090093492159E-4</v>
      </c>
      <c r="W76" s="2"/>
      <c r="X76" s="6">
        <f t="shared" si="66"/>
        <v>-2.6500000000000057</v>
      </c>
      <c r="Y76" s="2"/>
      <c r="Z76" s="7">
        <f t="shared" si="67"/>
        <v>-1.6745655608214886E-2</v>
      </c>
    </row>
    <row r="77" spans="1:26" s="27" customFormat="1" outlineLevel="1" collapsed="1" x14ac:dyDescent="0.25">
      <c r="A77" s="25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SUM(OSRRefD22_16x_0)</f>
        <v>771</v>
      </c>
      <c r="E77" s="1"/>
      <c r="F77" s="5">
        <f t="shared" si="60"/>
        <v>5.7899913803474623E-3</v>
      </c>
      <c r="G77" s="1"/>
      <c r="H77" s="1">
        <f>SUM(OSRRefH22_16x_0)</f>
        <v>-605.29999999999995</v>
      </c>
      <c r="I77" s="1"/>
      <c r="J77" s="5">
        <f t="shared" si="61"/>
        <v>-5.0117390444692688E-3</v>
      </c>
      <c r="K77" s="1"/>
      <c r="L77" s="1">
        <f t="shared" si="62"/>
        <v>1376.3</v>
      </c>
      <c r="M77" s="1"/>
      <c r="N77" s="5">
        <f t="shared" si="63"/>
        <v>-2.2737485544358171</v>
      </c>
      <c r="O77" s="13"/>
      <c r="P77" s="1">
        <f>SUM(OSRRefP22_16x_0)</f>
        <v>2313</v>
      </c>
      <c r="Q77" s="1"/>
      <c r="R77" s="5">
        <f t="shared" si="64"/>
        <v>8.3780710130804768E-3</v>
      </c>
      <c r="S77" s="1"/>
      <c r="T77" s="1">
        <f>SUM(OSRRefT22_16x_0)</f>
        <v>1707.7</v>
      </c>
      <c r="U77" s="1"/>
      <c r="V77" s="5">
        <f t="shared" si="65"/>
        <v>6.5938359970083137E-3</v>
      </c>
      <c r="W77" s="1"/>
      <c r="X77" s="1">
        <f t="shared" si="66"/>
        <v>605.29999999999995</v>
      </c>
      <c r="Y77" s="1"/>
      <c r="Z77" s="5">
        <f t="shared" si="67"/>
        <v>0.35445335831820574</v>
      </c>
    </row>
    <row r="78" spans="1:26" s="24" customFormat="1" hidden="1" outlineLevel="2" x14ac:dyDescent="0.25">
      <c r="A78" s="26"/>
      <c r="B78" s="11" t="str">
        <f>CONCATENATE("          ", "6274", " - ", "UTILITIES")</f>
        <v xml:space="preserve">          6274 - UTILITIES</v>
      </c>
      <c r="C78" s="11"/>
      <c r="D78" s="6">
        <v>771</v>
      </c>
      <c r="E78" s="2"/>
      <c r="F78" s="7">
        <f t="shared" si="60"/>
        <v>5.7899913803474623E-3</v>
      </c>
      <c r="G78" s="2"/>
      <c r="H78" s="6">
        <v>-605.29999999999995</v>
      </c>
      <c r="I78" s="2"/>
      <c r="J78" s="7">
        <f t="shared" si="61"/>
        <v>-5.0117390444692688E-3</v>
      </c>
      <c r="K78" s="2"/>
      <c r="L78" s="6">
        <f t="shared" si="62"/>
        <v>1376.3</v>
      </c>
      <c r="M78" s="2"/>
      <c r="N78" s="7">
        <f t="shared" si="63"/>
        <v>-2.2737485544358171</v>
      </c>
      <c r="O78" s="11"/>
      <c r="P78" s="6">
        <v>2313</v>
      </c>
      <c r="Q78" s="2"/>
      <c r="R78" s="7">
        <f t="shared" si="64"/>
        <v>8.3780710130804768E-3</v>
      </c>
      <c r="S78" s="2"/>
      <c r="T78" s="6">
        <v>1707.7</v>
      </c>
      <c r="U78" s="2"/>
      <c r="V78" s="7">
        <f t="shared" si="65"/>
        <v>6.5938359970083137E-3</v>
      </c>
      <c r="W78" s="2"/>
      <c r="X78" s="6">
        <f t="shared" si="66"/>
        <v>605.29999999999995</v>
      </c>
      <c r="Y78" s="2"/>
      <c r="Z78" s="7">
        <f t="shared" si="67"/>
        <v>0.35445335831820574</v>
      </c>
    </row>
    <row r="79" spans="1:26" s="55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9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3</v>
      </c>
      <c r="C82" s="28"/>
      <c r="D82" s="21">
        <f>+D20-D22+D80</f>
        <v>37115.219999999994</v>
      </c>
      <c r="E82" s="14"/>
      <c r="F82" s="22">
        <f>IF(D$12=0,0,D82/D$12)</f>
        <v>0.27872477805408524</v>
      </c>
      <c r="G82" s="14"/>
      <c r="H82" s="21">
        <f>+H20-H22+H80</f>
        <v>28711.720000000008</v>
      </c>
      <c r="I82" s="14"/>
      <c r="J82" s="22">
        <f>IF(H$12=0,0,H82/H$12)</f>
        <v>0.23772616579856143</v>
      </c>
      <c r="K82" s="16"/>
      <c r="L82" s="21">
        <f>+D82-H82</f>
        <v>8403.4999999999854</v>
      </c>
      <c r="M82" s="16"/>
      <c r="N82" s="22">
        <f>IF(H82=0,0,L82/H82)</f>
        <v>0.29268535636318488</v>
      </c>
      <c r="O82" s="29"/>
      <c r="P82" s="21">
        <f>+P20-P22+P80</f>
        <v>32817.639999999956</v>
      </c>
      <c r="Q82" s="14"/>
      <c r="R82" s="22">
        <f>IF(P$12=0,0,P82/P$12)</f>
        <v>0.11887095477808474</v>
      </c>
      <c r="S82" s="14"/>
      <c r="T82" s="21">
        <f>+T20-T22+T80</f>
        <v>21493.339999999982</v>
      </c>
      <c r="U82" s="14"/>
      <c r="V82" s="22">
        <f>IF(T$12=0,0,T82/T$12)</f>
        <v>8.2990899448344868E-2</v>
      </c>
      <c r="W82" s="16"/>
      <c r="X82" s="21">
        <f>+P82-T82</f>
        <v>11324.299999999974</v>
      </c>
      <c r="Y82" s="16"/>
      <c r="Z82" s="22">
        <f>IF(T82=0,0,X82/T82)</f>
        <v>0.52687483657728318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12439.52</v>
      </c>
      <c r="E84" s="4"/>
      <c r="F84" s="12">
        <f>IF(D$12=0,0,D84/D$12)</f>
        <v>9.3417267932113968E-2</v>
      </c>
      <c r="G84" s="4"/>
      <c r="H84" s="4">
        <v>11505.69</v>
      </c>
      <c r="I84" s="4"/>
      <c r="J84" s="12">
        <f>IF(H$12=0,0,H84/H$12)</f>
        <v>9.5264357849925041E-2</v>
      </c>
      <c r="K84" s="4"/>
      <c r="L84" s="4">
        <f>+D84-H84</f>
        <v>933.82999999999993</v>
      </c>
      <c r="M84" s="4"/>
      <c r="N84" s="12">
        <f>IF(H84=0,0,L84/H84)</f>
        <v>8.1162450926454646E-2</v>
      </c>
      <c r="O84" s="10"/>
      <c r="P84" s="4">
        <v>27790.7</v>
      </c>
      <c r="Q84" s="4"/>
      <c r="R84" s="12">
        <f>IF(P$12=0,0,P84/P$12)</f>
        <v>0.10066254133299421</v>
      </c>
      <c r="S84" s="4"/>
      <c r="T84" s="4">
        <v>23785.06</v>
      </c>
      <c r="U84" s="4"/>
      <c r="V84" s="12">
        <f>IF(T$12=0,0,T84/T$12)</f>
        <v>9.183977561574197E-2</v>
      </c>
      <c r="W84" s="4"/>
      <c r="X84" s="4">
        <f>+P84-T84</f>
        <v>4005.6399999999994</v>
      </c>
      <c r="Y84" s="4"/>
      <c r="Z84" s="12">
        <f>IF(T84=0,0,X84/T84)</f>
        <v>0.16840991782236409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4</v>
      </c>
      <c r="C86" s="28"/>
      <c r="D86" s="31">
        <f>+D82-D84</f>
        <v>24675.699999999993</v>
      </c>
      <c r="E86" s="14"/>
      <c r="F86" s="34">
        <f>IF(D$12=0,0,D86/D$12)</f>
        <v>0.18530751012197125</v>
      </c>
      <c r="G86" s="14"/>
      <c r="H86" s="31">
        <f>+H82-H84</f>
        <v>17206.030000000006</v>
      </c>
      <c r="I86" s="14"/>
      <c r="J86" s="34">
        <f>IF(H$12=0,0,H86/H$12)</f>
        <v>0.14246180794863639</v>
      </c>
      <c r="K86" s="16"/>
      <c r="L86" s="31">
        <f>D86-H86</f>
        <v>7469.6699999999873</v>
      </c>
      <c r="M86" s="16"/>
      <c r="N86" s="34">
        <f>IF(H86=0,0,L86/H86)</f>
        <v>0.43413094130371649</v>
      </c>
      <c r="O86" s="29"/>
      <c r="P86" s="31">
        <f>+P82-P84</f>
        <v>5026.939999999955</v>
      </c>
      <c r="Q86" s="14"/>
      <c r="R86" s="34">
        <f>IF(P$12=0,0,P86/P$12)</f>
        <v>1.820841344509053E-2</v>
      </c>
      <c r="S86" s="14"/>
      <c r="T86" s="31">
        <f>+T82-T84</f>
        <v>-2291.7200000000194</v>
      </c>
      <c r="U86" s="14"/>
      <c r="V86" s="34">
        <f>IF(T$12=0,0,T86/T$12)</f>
        <v>-8.8488761673970948E-3</v>
      </c>
      <c r="W86" s="16"/>
      <c r="X86" s="31">
        <f>P86-T86</f>
        <v>7318.6599999999744</v>
      </c>
      <c r="Y86" s="16"/>
      <c r="Z86" s="34">
        <f>IF(T86=0,0,X86/T86)</f>
        <v>-3.1935227689246122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5</v>
      </c>
      <c r="C89" s="28"/>
      <c r="D89" s="36">
        <f>SUM(D86:D88)</f>
        <v>24675.699999999993</v>
      </c>
      <c r="E89" s="14"/>
      <c r="F89" s="33">
        <f>IF(D$12=0,0,D89/D$12)</f>
        <v>0.18530751012197125</v>
      </c>
      <c r="G89" s="14"/>
      <c r="H89" s="36">
        <f>SUM(H86:H88)</f>
        <v>17206.030000000006</v>
      </c>
      <c r="I89" s="14"/>
      <c r="J89" s="33">
        <f>IF(H$12=0,0,H89/H$12)</f>
        <v>0.14246180794863639</v>
      </c>
      <c r="K89" s="16"/>
      <c r="L89" s="36">
        <f>+D89-H89</f>
        <v>7469.6699999999873</v>
      </c>
      <c r="M89" s="16"/>
      <c r="N89" s="33">
        <f>IF(H89=0,0,L89/H89)</f>
        <v>0.43413094130371649</v>
      </c>
      <c r="O89" s="29"/>
      <c r="P89" s="36">
        <f>SUM(P86:P88)</f>
        <v>5026.939999999955</v>
      </c>
      <c r="Q89" s="14"/>
      <c r="R89" s="33">
        <f>IF(P$12=0,0,P89/P$12)</f>
        <v>1.820841344509053E-2</v>
      </c>
      <c r="S89" s="14"/>
      <c r="T89" s="36">
        <f>SUM(T86:T88)</f>
        <v>-2291.7200000000194</v>
      </c>
      <c r="U89" s="14"/>
      <c r="V89" s="33">
        <f>IF(T$12=0,0,T89/T$12)</f>
        <v>-8.8488761673970948E-3</v>
      </c>
      <c r="W89" s="16"/>
      <c r="X89" s="36">
        <f>+P89-T89</f>
        <v>7318.6599999999744</v>
      </c>
      <c r="Y89" s="16"/>
      <c r="Z89" s="33">
        <f>IF(T89=0,0,X89/T89)</f>
        <v>-3.1935227689246122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61">
        <v>43791.355469594906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6" t="s">
        <v>313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7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","327", " - ", "C-Store Vending Machine(s)")</f>
        <v>Department 327 - C-Store Vending Machine(s)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2874</v>
      </c>
      <c r="E12" s="4"/>
      <c r="F12" s="12"/>
      <c r="G12" s="4"/>
      <c r="H12" s="4">
        <f>SUM(OSRRefH13x_0)</f>
        <v>2499.25</v>
      </c>
      <c r="I12" s="4"/>
      <c r="J12" s="12"/>
      <c r="K12" s="4"/>
      <c r="L12" s="4">
        <f t="shared" ref="L12:L13" si="0">+D12-H12</f>
        <v>374.75</v>
      </c>
      <c r="M12" s="4"/>
      <c r="N12" s="12">
        <f t="shared" ref="N12:N13" si="1">IF(H12=0,0,L12/H12)</f>
        <v>0.14994498349504851</v>
      </c>
      <c r="O12" s="10"/>
      <c r="P12" s="4">
        <f>SUM(OSRRefP13x_0)</f>
        <v>5280.5</v>
      </c>
      <c r="Q12" s="4"/>
      <c r="R12" s="12"/>
      <c r="S12" s="4"/>
      <c r="T12" s="4">
        <f>SUM(OSRRefT13x_0)</f>
        <v>4485.25</v>
      </c>
      <c r="U12" s="4"/>
      <c r="V12" s="12"/>
      <c r="W12" s="4"/>
      <c r="X12" s="4">
        <f t="shared" ref="X12:X13" si="2">+P12-T12</f>
        <v>795.25</v>
      </c>
      <c r="Y12" s="4"/>
      <c r="Z12" s="12">
        <f t="shared" ref="Z12:Z13" si="3">IF(T12=0,0,X12/T12)</f>
        <v>0.17730338331196702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--2874</f>
        <v>2874</v>
      </c>
      <c r="E13" s="2"/>
      <c r="F13" s="19"/>
      <c r="G13" s="2"/>
      <c r="H13" s="2">
        <f>--2499.25</f>
        <v>2499.25</v>
      </c>
      <c r="I13" s="2"/>
      <c r="J13" s="19"/>
      <c r="K13" s="2"/>
      <c r="L13" s="2">
        <f t="shared" si="0"/>
        <v>374.75</v>
      </c>
      <c r="M13" s="2"/>
      <c r="N13" s="19">
        <f t="shared" si="1"/>
        <v>0.14994498349504851</v>
      </c>
      <c r="O13" s="11"/>
      <c r="P13" s="2">
        <f>--5280.5</f>
        <v>5280.5</v>
      </c>
      <c r="Q13" s="2"/>
      <c r="R13" s="19"/>
      <c r="S13" s="2"/>
      <c r="T13" s="2">
        <f>--4485.25</f>
        <v>4485.25</v>
      </c>
      <c r="U13" s="2"/>
      <c r="V13" s="19"/>
      <c r="W13" s="2"/>
      <c r="X13" s="2">
        <f t="shared" si="2"/>
        <v>795.25</v>
      </c>
      <c r="Y13" s="2"/>
      <c r="Z13" s="19">
        <f t="shared" si="3"/>
        <v>0.17730338331196702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>
        <f>SUM(OSRRefD16x_0)</f>
        <v>1779</v>
      </c>
      <c r="E15" s="4"/>
      <c r="F15" s="12">
        <f t="shared" ref="F15:F16" si="4">IF(D$12=0,0,D15/D$12)</f>
        <v>0.61899791231732781</v>
      </c>
      <c r="G15" s="4"/>
      <c r="H15" s="4">
        <f>SUM(OSRRefH16x_0)</f>
        <v>178</v>
      </c>
      <c r="I15" s="4"/>
      <c r="J15" s="12">
        <f t="shared" ref="J15:J16" si="5">IF(H$12=0,0,H15/H$12)</f>
        <v>7.1221366409922979E-2</v>
      </c>
      <c r="K15" s="4"/>
      <c r="L15" s="4">
        <f t="shared" ref="L15:L16" si="6">+D15-H15</f>
        <v>1601</v>
      </c>
      <c r="M15" s="4"/>
      <c r="N15" s="12">
        <f t="shared" ref="N15:N16" si="7">IF(H15=0,0,L15/H15)</f>
        <v>8.9943820224719104</v>
      </c>
      <c r="O15" s="10"/>
      <c r="P15" s="4">
        <f>SUM(OSRRefP16x_0)</f>
        <v>2648.96</v>
      </c>
      <c r="Q15" s="4"/>
      <c r="R15" s="12">
        <f t="shared" ref="R15:R16" si="8">IF(P$12=0,0,P15/P$12)</f>
        <v>0.50164946501278285</v>
      </c>
      <c r="S15" s="4"/>
      <c r="T15" s="4">
        <f>SUM(OSRRefT16x_0)</f>
        <v>1195.4100000000001</v>
      </c>
      <c r="U15" s="4"/>
      <c r="V15" s="12">
        <f t="shared" ref="V15:V16" si="9">IF(T$12=0,0,T15/T$12)</f>
        <v>0.26652026085502484</v>
      </c>
      <c r="W15" s="4"/>
      <c r="X15" s="4">
        <f t="shared" ref="X15:X16" si="10">+P15-T15</f>
        <v>1453.55</v>
      </c>
      <c r="Y15" s="4"/>
      <c r="Z15" s="12">
        <f t="shared" ref="Z15:Z16" si="11">IF(T15=0,0,X15/T15)</f>
        <v>1.2159426472925605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>
        <v>1779</v>
      </c>
      <c r="E16" s="2"/>
      <c r="F16" s="19">
        <f t="shared" si="4"/>
        <v>0.61899791231732781</v>
      </c>
      <c r="G16" s="2"/>
      <c r="H16" s="2">
        <v>178</v>
      </c>
      <c r="I16" s="2"/>
      <c r="J16" s="19">
        <f t="shared" si="5"/>
        <v>7.1221366409922979E-2</v>
      </c>
      <c r="K16" s="2"/>
      <c r="L16" s="2">
        <f t="shared" si="6"/>
        <v>1601</v>
      </c>
      <c r="M16" s="2"/>
      <c r="N16" s="19">
        <f t="shared" si="7"/>
        <v>8.9943820224719104</v>
      </c>
      <c r="O16" s="11"/>
      <c r="P16" s="2">
        <v>2648.96</v>
      </c>
      <c r="Q16" s="2"/>
      <c r="R16" s="19">
        <f t="shared" si="8"/>
        <v>0.50164946501278285</v>
      </c>
      <c r="S16" s="2"/>
      <c r="T16" s="2">
        <v>1195.4100000000001</v>
      </c>
      <c r="U16" s="2"/>
      <c r="V16" s="19">
        <f t="shared" si="9"/>
        <v>0.26652026085502484</v>
      </c>
      <c r="W16" s="2"/>
      <c r="X16" s="2">
        <f t="shared" si="10"/>
        <v>1453.55</v>
      </c>
      <c r="Y16" s="2"/>
      <c r="Z16" s="19">
        <f t="shared" si="11"/>
        <v>1.2159426472925605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>
        <f>D12-D15</f>
        <v>1095</v>
      </c>
      <c r="E18" s="14"/>
      <c r="F18" s="22">
        <f>IF(D$12=0,0,D18/D$12)</f>
        <v>0.38100208768267224</v>
      </c>
      <c r="G18" s="14"/>
      <c r="H18" s="21">
        <f>H12-H15</f>
        <v>2321.25</v>
      </c>
      <c r="I18" s="14"/>
      <c r="J18" s="22">
        <f>IF(H$12=0,0,H18/H$12)</f>
        <v>0.92877863359007706</v>
      </c>
      <c r="K18" s="16"/>
      <c r="L18" s="21">
        <f>+D18-H18</f>
        <v>-1226.25</v>
      </c>
      <c r="M18" s="16"/>
      <c r="N18" s="22">
        <f>IF(H18=0,0,L18/H18)</f>
        <v>-0.52827140549273022</v>
      </c>
      <c r="O18" s="29"/>
      <c r="P18" s="21">
        <f>P12-P15</f>
        <v>2631.54</v>
      </c>
      <c r="Q18" s="14"/>
      <c r="R18" s="22">
        <f>IF(P$12=0,0,P18/P$12)</f>
        <v>0.4983505349872171</v>
      </c>
      <c r="S18" s="14"/>
      <c r="T18" s="21">
        <f>T12-T15</f>
        <v>3289.84</v>
      </c>
      <c r="U18" s="14"/>
      <c r="V18" s="22">
        <f>IF(T$12=0,0,T18/T$12)</f>
        <v>0.73347973914497522</v>
      </c>
      <c r="W18" s="16"/>
      <c r="X18" s="21">
        <f>+P18-T18</f>
        <v>-658.30000000000018</v>
      </c>
      <c r="Y18" s="16"/>
      <c r="Z18" s="22">
        <f>IF(T18=0,0,X18/T18)</f>
        <v>-0.20010091676190944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>
        <f>SUM(OSRRefD22x_0)</f>
        <v>523.46</v>
      </c>
      <c r="E20" s="20"/>
      <c r="F20" s="35">
        <f t="shared" ref="F20:F26" si="12">IF(D$12=0,0,D20/D$12)</f>
        <v>0.18213639526791928</v>
      </c>
      <c r="G20" s="20"/>
      <c r="H20" s="20">
        <f>SUM(OSRRefH22x_0)</f>
        <v>154.26</v>
      </c>
      <c r="I20" s="20"/>
      <c r="J20" s="35">
        <f t="shared" ref="J20:J26" si="13">IF(H$12=0,0,H20/H$12)</f>
        <v>6.1722516755026505E-2</v>
      </c>
      <c r="K20" s="4"/>
      <c r="L20" s="20">
        <f t="shared" ref="L20:L26" si="14">+D20-H20</f>
        <v>369.20000000000005</v>
      </c>
      <c r="M20" s="4"/>
      <c r="N20" s="35">
        <f t="shared" ref="N20:N26" si="15">IF(H20=0,0,L20/H20)</f>
        <v>2.3933618566057309</v>
      </c>
      <c r="O20" s="10"/>
      <c r="P20" s="20">
        <f>SUM(OSRRefP22x_0)</f>
        <v>741.2</v>
      </c>
      <c r="Q20" s="20"/>
      <c r="R20" s="35">
        <f t="shared" ref="R20:R26" si="16">IF(P$12=0,0,P20/P$12)</f>
        <v>0.14036549569169587</v>
      </c>
      <c r="S20" s="20"/>
      <c r="T20" s="20">
        <f>SUM(OSRRefT22x_0)</f>
        <v>6495.4500000000007</v>
      </c>
      <c r="U20" s="20"/>
      <c r="V20" s="35">
        <f t="shared" ref="V20:V26" si="17">IF(T$12=0,0,T20/T$12)</f>
        <v>1.4481801460342234</v>
      </c>
      <c r="W20" s="4"/>
      <c r="X20" s="20">
        <f t="shared" ref="X20:X26" si="18">+P20-T20</f>
        <v>-5754.2500000000009</v>
      </c>
      <c r="Y20" s="4"/>
      <c r="Z20" s="35">
        <f t="shared" ref="Z20:Z26" si="19">IF(T20=0,0,X20/T20)</f>
        <v>-0.88588935331655239</v>
      </c>
    </row>
    <row r="21" spans="1:26" s="27" customFormat="1" outlineLevel="1" collapsed="1" x14ac:dyDescent="0.25">
      <c r="A21" s="25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203.01</v>
      </c>
      <c r="E21" s="1"/>
      <c r="F21" s="5">
        <f t="shared" si="12"/>
        <v>7.0636743215031314E-2</v>
      </c>
      <c r="G21" s="1"/>
      <c r="H21" s="1">
        <f>SUM(OSRRefH22_0x_0)</f>
        <v>154.26</v>
      </c>
      <c r="I21" s="1"/>
      <c r="J21" s="5">
        <f t="shared" si="13"/>
        <v>6.1722516755026505E-2</v>
      </c>
      <c r="K21" s="1"/>
      <c r="L21" s="1">
        <f t="shared" si="14"/>
        <v>48.75</v>
      </c>
      <c r="M21" s="1"/>
      <c r="N21" s="5">
        <f t="shared" si="15"/>
        <v>0.31602489303772852</v>
      </c>
      <c r="O21" s="13"/>
      <c r="P21" s="1">
        <f>SUM(OSRRefP22_0x_0)</f>
        <v>420.75</v>
      </c>
      <c r="Q21" s="1"/>
      <c r="R21" s="5">
        <f t="shared" si="16"/>
        <v>7.9679954549758542E-2</v>
      </c>
      <c r="S21" s="1"/>
      <c r="T21" s="1">
        <f>SUM(OSRRefT22_0x_0)</f>
        <v>356.23</v>
      </c>
      <c r="U21" s="1"/>
      <c r="V21" s="5">
        <f t="shared" si="17"/>
        <v>7.942255169722981E-2</v>
      </c>
      <c r="W21" s="1"/>
      <c r="X21" s="1">
        <f t="shared" si="18"/>
        <v>64.519999999999982</v>
      </c>
      <c r="Y21" s="1"/>
      <c r="Z21" s="5">
        <f t="shared" si="19"/>
        <v>0.1811189400106672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6">
        <v>203.01</v>
      </c>
      <c r="E22" s="2"/>
      <c r="F22" s="7">
        <f t="shared" si="12"/>
        <v>7.0636743215031314E-2</v>
      </c>
      <c r="G22" s="2"/>
      <c r="H22" s="6">
        <v>154.26</v>
      </c>
      <c r="I22" s="2"/>
      <c r="J22" s="7">
        <f t="shared" si="13"/>
        <v>6.1722516755026505E-2</v>
      </c>
      <c r="K22" s="2"/>
      <c r="L22" s="6">
        <f t="shared" si="14"/>
        <v>48.75</v>
      </c>
      <c r="M22" s="2"/>
      <c r="N22" s="7">
        <f t="shared" si="15"/>
        <v>0.31602489303772852</v>
      </c>
      <c r="O22" s="11"/>
      <c r="P22" s="6">
        <v>420.75</v>
      </c>
      <c r="Q22" s="2"/>
      <c r="R22" s="7">
        <f t="shared" si="16"/>
        <v>7.9679954549758542E-2</v>
      </c>
      <c r="S22" s="2"/>
      <c r="T22" s="6">
        <v>356.23</v>
      </c>
      <c r="U22" s="2"/>
      <c r="V22" s="7">
        <f t="shared" si="17"/>
        <v>7.942255169722981E-2</v>
      </c>
      <c r="W22" s="2"/>
      <c r="X22" s="6">
        <f t="shared" si="18"/>
        <v>64.519999999999982</v>
      </c>
      <c r="Y22" s="2"/>
      <c r="Z22" s="7">
        <f t="shared" si="19"/>
        <v>0.1811189400106672</v>
      </c>
    </row>
    <row r="23" spans="1:26" s="27" customFormat="1" outlineLevel="1" collapsed="1" x14ac:dyDescent="0.25">
      <c r="A23" s="25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23.45</v>
      </c>
      <c r="E23" s="1"/>
      <c r="F23" s="5">
        <f t="shared" si="12"/>
        <v>8.1593597773138484E-3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23.45</v>
      </c>
      <c r="M23" s="1"/>
      <c r="N23" s="5">
        <f t="shared" si="15"/>
        <v>0</v>
      </c>
      <c r="O23" s="13"/>
      <c r="P23" s="1">
        <f>SUM(OSRRefP22_1x_0)</f>
        <v>23.45</v>
      </c>
      <c r="Q23" s="1"/>
      <c r="R23" s="5">
        <f t="shared" si="16"/>
        <v>4.4408673421077547E-3</v>
      </c>
      <c r="S23" s="1"/>
      <c r="T23" s="1">
        <f>SUM(OSRRefT22_1x_0)</f>
        <v>0</v>
      </c>
      <c r="U23" s="1"/>
      <c r="V23" s="5">
        <f t="shared" si="17"/>
        <v>0</v>
      </c>
      <c r="W23" s="1"/>
      <c r="X23" s="1">
        <f t="shared" si="18"/>
        <v>23.45</v>
      </c>
      <c r="Y23" s="1"/>
      <c r="Z23" s="5">
        <f t="shared" si="19"/>
        <v>0</v>
      </c>
    </row>
    <row r="24" spans="1:26" s="24" customFormat="1" hidden="1" outlineLevel="2" x14ac:dyDescent="0.25">
      <c r="A24" s="26"/>
      <c r="B24" s="11" t="str">
        <f>CONCATENATE("          ", "6279", " - ", "GENERAL EXPENSE")</f>
        <v xml:space="preserve">          6279 - GENERAL EXPENSE</v>
      </c>
      <c r="C24" s="11"/>
      <c r="D24" s="6">
        <v>23.45</v>
      </c>
      <c r="E24" s="2"/>
      <c r="F24" s="7">
        <f t="shared" si="12"/>
        <v>8.1593597773138484E-3</v>
      </c>
      <c r="G24" s="2"/>
      <c r="H24" s="6"/>
      <c r="I24" s="2"/>
      <c r="J24" s="7">
        <f t="shared" si="13"/>
        <v>0</v>
      </c>
      <c r="K24" s="2"/>
      <c r="L24" s="6">
        <f t="shared" si="14"/>
        <v>23.45</v>
      </c>
      <c r="M24" s="2"/>
      <c r="N24" s="7">
        <f t="shared" si="15"/>
        <v>0</v>
      </c>
      <c r="O24" s="11"/>
      <c r="P24" s="6">
        <v>23.45</v>
      </c>
      <c r="Q24" s="2"/>
      <c r="R24" s="7">
        <f t="shared" si="16"/>
        <v>4.4408673421077547E-3</v>
      </c>
      <c r="S24" s="2"/>
      <c r="T24" s="6"/>
      <c r="U24" s="2"/>
      <c r="V24" s="7">
        <f t="shared" si="17"/>
        <v>0</v>
      </c>
      <c r="W24" s="2"/>
      <c r="X24" s="6">
        <f t="shared" si="18"/>
        <v>23.45</v>
      </c>
      <c r="Y24" s="2"/>
      <c r="Z24" s="7">
        <f t="shared" si="19"/>
        <v>0</v>
      </c>
    </row>
    <row r="25" spans="1:26" s="27" customFormat="1" outlineLevel="1" collapsed="1" x14ac:dyDescent="0.25">
      <c r="A25" s="25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297</v>
      </c>
      <c r="E25" s="1"/>
      <c r="F25" s="5">
        <f t="shared" si="12"/>
        <v>0.10334029227557412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297</v>
      </c>
      <c r="M25" s="1"/>
      <c r="N25" s="5">
        <f t="shared" si="15"/>
        <v>0</v>
      </c>
      <c r="O25" s="13"/>
      <c r="P25" s="1">
        <f>SUM(OSRRefP22_2x_0)</f>
        <v>297</v>
      </c>
      <c r="Q25" s="1"/>
      <c r="R25" s="5">
        <f t="shared" si="16"/>
        <v>5.6244673799829559E-2</v>
      </c>
      <c r="S25" s="1"/>
      <c r="T25" s="1">
        <f>SUM(OSRRefT22_2x_0)</f>
        <v>6139.22</v>
      </c>
      <c r="U25" s="1"/>
      <c r="V25" s="5">
        <f t="shared" si="17"/>
        <v>1.3687575943369936</v>
      </c>
      <c r="W25" s="1"/>
      <c r="X25" s="1">
        <f t="shared" si="18"/>
        <v>-5842.22</v>
      </c>
      <c r="Y25" s="1"/>
      <c r="Z25" s="5">
        <f t="shared" si="19"/>
        <v>-0.95162251882160931</v>
      </c>
    </row>
    <row r="26" spans="1:26" s="24" customFormat="1" hidden="1" outlineLevel="2" x14ac:dyDescent="0.25">
      <c r="A26" s="26"/>
      <c r="B26" s="11" t="str">
        <f>CONCATENATE("          ", "6247", " - ", "STORE SUPPLIES")</f>
        <v xml:space="preserve">          6247 - STORE SUPPLIES</v>
      </c>
      <c r="C26" s="11"/>
      <c r="D26" s="6">
        <v>297</v>
      </c>
      <c r="E26" s="2"/>
      <c r="F26" s="7">
        <f t="shared" si="12"/>
        <v>0.10334029227557412</v>
      </c>
      <c r="G26" s="2"/>
      <c r="H26" s="6"/>
      <c r="I26" s="2"/>
      <c r="J26" s="7">
        <f t="shared" si="13"/>
        <v>0</v>
      </c>
      <c r="K26" s="2"/>
      <c r="L26" s="6">
        <f t="shared" si="14"/>
        <v>297</v>
      </c>
      <c r="M26" s="2"/>
      <c r="N26" s="7">
        <f t="shared" si="15"/>
        <v>0</v>
      </c>
      <c r="O26" s="11"/>
      <c r="P26" s="6">
        <v>297</v>
      </c>
      <c r="Q26" s="2"/>
      <c r="R26" s="7">
        <f t="shared" si="16"/>
        <v>5.6244673799829559E-2</v>
      </c>
      <c r="S26" s="2"/>
      <c r="T26" s="6">
        <v>6139.22</v>
      </c>
      <c r="U26" s="2"/>
      <c r="V26" s="7">
        <f t="shared" si="17"/>
        <v>1.3687575943369936</v>
      </c>
      <c r="W26" s="2"/>
      <c r="X26" s="6">
        <f t="shared" si="18"/>
        <v>-5842.22</v>
      </c>
      <c r="Y26" s="2"/>
      <c r="Z26" s="7">
        <f t="shared" si="19"/>
        <v>-0.95162251882160931</v>
      </c>
    </row>
    <row r="27" spans="1:26" s="55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3</v>
      </c>
      <c r="C30" s="28"/>
      <c r="D30" s="21">
        <f>+D18-D20+D28</f>
        <v>571.54</v>
      </c>
      <c r="E30" s="14"/>
      <c r="F30" s="22">
        <f>IF(D$12=0,0,D30/D$12)</f>
        <v>0.19886569241475294</v>
      </c>
      <c r="G30" s="14"/>
      <c r="H30" s="21">
        <f>+H18-H20+H28</f>
        <v>2166.9899999999998</v>
      </c>
      <c r="I30" s="14"/>
      <c r="J30" s="22">
        <f>IF(H$12=0,0,H30/H$12)</f>
        <v>0.86705611683505046</v>
      </c>
      <c r="K30" s="16"/>
      <c r="L30" s="21">
        <f>+D30-H30</f>
        <v>-1595.4499999999998</v>
      </c>
      <c r="M30" s="16"/>
      <c r="N30" s="22">
        <f>IF(H30=0,0,L30/H30)</f>
        <v>-0.73625166705891576</v>
      </c>
      <c r="O30" s="29"/>
      <c r="P30" s="21">
        <f>+P18-P20+P28</f>
        <v>1890.34</v>
      </c>
      <c r="Q30" s="14"/>
      <c r="R30" s="22">
        <f>IF(P$12=0,0,P30/P$12)</f>
        <v>0.35798503929552122</v>
      </c>
      <c r="S30" s="14"/>
      <c r="T30" s="21">
        <f>+T18-T20+T28</f>
        <v>-3205.6100000000006</v>
      </c>
      <c r="U30" s="14"/>
      <c r="V30" s="22">
        <f>IF(T$12=0,0,T30/T$12)</f>
        <v>-0.71470040688924819</v>
      </c>
      <c r="W30" s="16"/>
      <c r="X30" s="21">
        <f>+P30-T30</f>
        <v>5095.9500000000007</v>
      </c>
      <c r="Y30" s="16"/>
      <c r="Z30" s="22">
        <f>IF(T30=0,0,X30/T30)</f>
        <v>-1.5896974366813179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273.06</v>
      </c>
      <c r="E32" s="4"/>
      <c r="F32" s="12">
        <f>IF(D$12=0,0,D32/D$12)</f>
        <v>9.5010438413361167E-2</v>
      </c>
      <c r="G32" s="4"/>
      <c r="H32" s="4">
        <v>235.47</v>
      </c>
      <c r="I32" s="4"/>
      <c r="J32" s="12">
        <f>IF(H$12=0,0,H32/H$12)</f>
        <v>9.4216264879463843E-2</v>
      </c>
      <c r="K32" s="4"/>
      <c r="L32" s="4">
        <f>+D32-H32</f>
        <v>37.590000000000003</v>
      </c>
      <c r="M32" s="4"/>
      <c r="N32" s="12">
        <f>IF(H32=0,0,L32/H32)</f>
        <v>0.1596381704675755</v>
      </c>
      <c r="O32" s="10"/>
      <c r="P32" s="4">
        <v>531.54999999999995</v>
      </c>
      <c r="Q32" s="4"/>
      <c r="R32" s="12">
        <f>IF(P$12=0,0,P32/P$12)</f>
        <v>0.10066281602121011</v>
      </c>
      <c r="S32" s="4"/>
      <c r="T32" s="4">
        <v>411.92</v>
      </c>
      <c r="U32" s="4"/>
      <c r="V32" s="12">
        <f>IF(T$12=0,0,T32/T$12)</f>
        <v>9.1838804971852192E-2</v>
      </c>
      <c r="W32" s="4"/>
      <c r="X32" s="4">
        <f>+P32-T32</f>
        <v>119.62999999999994</v>
      </c>
      <c r="Y32" s="4"/>
      <c r="Z32" s="12">
        <f>IF(T32=0,0,X32/T32)</f>
        <v>0.29042046999417348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4</v>
      </c>
      <c r="C34" s="28"/>
      <c r="D34" s="31">
        <f>+D30-D32</f>
        <v>298.47999999999996</v>
      </c>
      <c r="E34" s="14"/>
      <c r="F34" s="34">
        <f>IF(D$12=0,0,D34/D$12)</f>
        <v>0.10385525400139177</v>
      </c>
      <c r="G34" s="14"/>
      <c r="H34" s="31">
        <f>+H30-H32</f>
        <v>1931.5199999999998</v>
      </c>
      <c r="I34" s="14"/>
      <c r="J34" s="34">
        <f>IF(H$12=0,0,H34/H$12)</f>
        <v>0.77283985195558658</v>
      </c>
      <c r="K34" s="16"/>
      <c r="L34" s="31">
        <f>D34-H34</f>
        <v>-1633.0399999999997</v>
      </c>
      <c r="M34" s="16"/>
      <c r="N34" s="34">
        <f>IF(H34=0,0,L34/H34)</f>
        <v>-0.84546885354539425</v>
      </c>
      <c r="O34" s="29"/>
      <c r="P34" s="31">
        <f>+P30-P32</f>
        <v>1358.79</v>
      </c>
      <c r="Q34" s="14"/>
      <c r="R34" s="34">
        <f>IF(P$12=0,0,P34/P$12)</f>
        <v>0.25732222327431115</v>
      </c>
      <c r="S34" s="14"/>
      <c r="T34" s="31">
        <f>+T30-T32</f>
        <v>-3617.5300000000007</v>
      </c>
      <c r="U34" s="14"/>
      <c r="V34" s="34">
        <f>IF(T$12=0,0,T34/T$12)</f>
        <v>-0.80653921186110045</v>
      </c>
      <c r="W34" s="16"/>
      <c r="X34" s="31">
        <f>P34-T34</f>
        <v>4976.3200000000006</v>
      </c>
      <c r="Y34" s="16"/>
      <c r="Z34" s="34">
        <f>IF(T34=0,0,X34/T34)</f>
        <v>-1.3756126417749126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5</v>
      </c>
      <c r="C37" s="28"/>
      <c r="D37" s="36">
        <f>SUM(D34:D36)</f>
        <v>298.47999999999996</v>
      </c>
      <c r="E37" s="14"/>
      <c r="F37" s="33">
        <f>IF(D$12=0,0,D37/D$12)</f>
        <v>0.10385525400139177</v>
      </c>
      <c r="G37" s="14"/>
      <c r="H37" s="36">
        <f>SUM(H34:H36)</f>
        <v>1931.5199999999998</v>
      </c>
      <c r="I37" s="14"/>
      <c r="J37" s="33">
        <f>IF(H$12=0,0,H37/H$12)</f>
        <v>0.77283985195558658</v>
      </c>
      <c r="K37" s="16"/>
      <c r="L37" s="36">
        <f>+D37-H37</f>
        <v>-1633.0399999999997</v>
      </c>
      <c r="M37" s="16"/>
      <c r="N37" s="33">
        <f>IF(H37=0,0,L37/H37)</f>
        <v>-0.84546885354539425</v>
      </c>
      <c r="O37" s="29"/>
      <c r="P37" s="36">
        <f>SUM(P34:P36)</f>
        <v>1358.79</v>
      </c>
      <c r="Q37" s="14"/>
      <c r="R37" s="33">
        <f>IF(P$12=0,0,P37/P$12)</f>
        <v>0.25732222327431115</v>
      </c>
      <c r="S37" s="14"/>
      <c r="T37" s="36">
        <f>SUM(T34:T36)</f>
        <v>-3617.5300000000007</v>
      </c>
      <c r="U37" s="14"/>
      <c r="V37" s="33">
        <f>IF(T$12=0,0,T37/T$12)</f>
        <v>-0.80653921186110045</v>
      </c>
      <c r="W37" s="16"/>
      <c r="X37" s="36">
        <f>+P37-T37</f>
        <v>4976.3200000000006</v>
      </c>
      <c r="Y37" s="16"/>
      <c r="Z37" s="33">
        <f>IF(T37=0,0,X37/T37)</f>
        <v>-1.3756126417749126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1">
        <v>43791.3554997338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6" t="s">
        <v>313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7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2541778.2600000002</v>
      </c>
      <c r="E12" s="4"/>
      <c r="F12" s="12"/>
      <c r="G12" s="4"/>
      <c r="H12" s="4">
        <f>SUM(OSRRefH13x_0)</f>
        <v>2558943.4900000002</v>
      </c>
      <c r="I12" s="4"/>
      <c r="J12" s="12"/>
      <c r="K12" s="4"/>
      <c r="L12" s="4">
        <f t="shared" ref="L12:L24" si="0">+D12-H12</f>
        <v>-17165.229999999981</v>
      </c>
      <c r="M12" s="4"/>
      <c r="N12" s="12">
        <f t="shared" ref="N12:N24" si="1">IF(H12=0,0,L12/H12)</f>
        <v>-6.7079363288323262E-3</v>
      </c>
      <c r="O12" s="10"/>
      <c r="P12" s="4">
        <f>SUM(OSRRefP13x_0)</f>
        <v>6256973.4099999992</v>
      </c>
      <c r="Q12" s="4"/>
      <c r="R12" s="12"/>
      <c r="S12" s="4"/>
      <c r="T12" s="4">
        <f>SUM(OSRRefT13x_0)</f>
        <v>6338298.540000001</v>
      </c>
      <c r="U12" s="4"/>
      <c r="V12" s="12"/>
      <c r="W12" s="4"/>
      <c r="X12" s="4">
        <f t="shared" ref="X12:X24" si="2">+P12-T12</f>
        <v>-81325.130000001751</v>
      </c>
      <c r="Y12" s="4"/>
      <c r="Z12" s="12">
        <f t="shared" ref="Z12:Z24" si="3">IF(T12=0,0,X12/T12)</f>
        <v>-1.2830750947872161E-2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--89845.91</f>
        <v>89845.91</v>
      </c>
      <c r="E13" s="2"/>
      <c r="F13" s="19"/>
      <c r="G13" s="2"/>
      <c r="H13" s="2">
        <f>--101395.98</f>
        <v>101395.98</v>
      </c>
      <c r="I13" s="2"/>
      <c r="J13" s="19"/>
      <c r="K13" s="2"/>
      <c r="L13" s="2">
        <f t="shared" si="0"/>
        <v>-11550.069999999992</v>
      </c>
      <c r="M13" s="2"/>
      <c r="N13" s="19">
        <f t="shared" si="1"/>
        <v>-0.11391053175875407</v>
      </c>
      <c r="O13" s="11"/>
      <c r="P13" s="2">
        <f>--225616.67</f>
        <v>225616.67</v>
      </c>
      <c r="Q13" s="2"/>
      <c r="R13" s="19"/>
      <c r="S13" s="2"/>
      <c r="T13" s="2">
        <f>--235954.29</f>
        <v>235954.29</v>
      </c>
      <c r="U13" s="2"/>
      <c r="V13" s="19"/>
      <c r="W13" s="2"/>
      <c r="X13" s="2">
        <f t="shared" si="2"/>
        <v>-10337.619999999995</v>
      </c>
      <c r="Y13" s="2"/>
      <c r="Z13" s="19">
        <f t="shared" si="3"/>
        <v>-4.3811960358932214E-2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--115316.39</f>
        <v>115316.39</v>
      </c>
      <c r="E14" s="2"/>
      <c r="F14" s="19"/>
      <c r="G14" s="2"/>
      <c r="H14" s="2">
        <f>--140444.11</f>
        <v>140444.10999999999</v>
      </c>
      <c r="I14" s="2"/>
      <c r="J14" s="19"/>
      <c r="K14" s="2"/>
      <c r="L14" s="2">
        <f t="shared" si="0"/>
        <v>-25127.719999999987</v>
      </c>
      <c r="M14" s="2"/>
      <c r="N14" s="19">
        <f t="shared" si="1"/>
        <v>-0.17891615390634744</v>
      </c>
      <c r="O14" s="11"/>
      <c r="P14" s="2">
        <f>--368822.4</f>
        <v>368822.4</v>
      </c>
      <c r="Q14" s="2"/>
      <c r="R14" s="19"/>
      <c r="S14" s="2"/>
      <c r="T14" s="2">
        <f>--458548.28</f>
        <v>458548.28</v>
      </c>
      <c r="U14" s="2"/>
      <c r="V14" s="19"/>
      <c r="W14" s="2"/>
      <c r="X14" s="2">
        <f t="shared" si="2"/>
        <v>-89725.88</v>
      </c>
      <c r="Y14" s="2"/>
      <c r="Z14" s="19">
        <f t="shared" si="3"/>
        <v>-0.1956737903367558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--19711.97</f>
        <v>19711.97</v>
      </c>
      <c r="E15" s="2"/>
      <c r="F15" s="19"/>
      <c r="G15" s="2"/>
      <c r="H15" s="2">
        <f>--15101.03</f>
        <v>15101.03</v>
      </c>
      <c r="I15" s="2"/>
      <c r="J15" s="19"/>
      <c r="K15" s="2"/>
      <c r="L15" s="2">
        <f t="shared" si="0"/>
        <v>4610.9400000000005</v>
      </c>
      <c r="M15" s="2"/>
      <c r="N15" s="19">
        <f t="shared" si="1"/>
        <v>0.30533943711124345</v>
      </c>
      <c r="O15" s="11"/>
      <c r="P15" s="2">
        <f>--69878.4</f>
        <v>69878.399999999994</v>
      </c>
      <c r="Q15" s="2"/>
      <c r="R15" s="19"/>
      <c r="S15" s="2"/>
      <c r="T15" s="2">
        <f>--56077.52</f>
        <v>56077.52</v>
      </c>
      <c r="U15" s="2"/>
      <c r="V15" s="19"/>
      <c r="W15" s="2"/>
      <c r="X15" s="2">
        <f t="shared" si="2"/>
        <v>13800.879999999997</v>
      </c>
      <c r="Y15" s="2"/>
      <c r="Z15" s="19">
        <f t="shared" si="3"/>
        <v>0.2461036080054895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--75527.74</f>
        <v>75527.740000000005</v>
      </c>
      <c r="E16" s="2"/>
      <c r="F16" s="19"/>
      <c r="G16" s="2"/>
      <c r="H16" s="2">
        <f>--91629.76</f>
        <v>91629.759999999995</v>
      </c>
      <c r="I16" s="2"/>
      <c r="J16" s="19"/>
      <c r="K16" s="2"/>
      <c r="L16" s="2">
        <f t="shared" si="0"/>
        <v>-16102.01999999999</v>
      </c>
      <c r="M16" s="2"/>
      <c r="N16" s="19">
        <f t="shared" si="1"/>
        <v>-0.17572915175157056</v>
      </c>
      <c r="O16" s="11"/>
      <c r="P16" s="2">
        <f>--186642.74</f>
        <v>186642.74</v>
      </c>
      <c r="Q16" s="2"/>
      <c r="R16" s="19"/>
      <c r="S16" s="2"/>
      <c r="T16" s="2">
        <f>--218113.16</f>
        <v>218113.16</v>
      </c>
      <c r="U16" s="2"/>
      <c r="V16" s="19"/>
      <c r="W16" s="2"/>
      <c r="X16" s="2">
        <f t="shared" si="2"/>
        <v>-31470.420000000013</v>
      </c>
      <c r="Y16" s="2"/>
      <c r="Z16" s="19">
        <f t="shared" si="3"/>
        <v>-0.14428482903094894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--21855.03</f>
        <v>21855.03</v>
      </c>
      <c r="E18" s="2"/>
      <c r="F18" s="19"/>
      <c r="G18" s="2"/>
      <c r="H18" s="2">
        <f>--27897.29</f>
        <v>27897.29</v>
      </c>
      <c r="I18" s="2"/>
      <c r="J18" s="19"/>
      <c r="K18" s="2"/>
      <c r="L18" s="2">
        <f t="shared" si="0"/>
        <v>-6042.260000000002</v>
      </c>
      <c r="M18" s="2"/>
      <c r="N18" s="19">
        <f t="shared" si="1"/>
        <v>-0.21658949668587887</v>
      </c>
      <c r="O18" s="11"/>
      <c r="P18" s="2">
        <f>--64145.93</f>
        <v>64145.93</v>
      </c>
      <c r="Q18" s="2"/>
      <c r="R18" s="19"/>
      <c r="S18" s="2"/>
      <c r="T18" s="2">
        <f>--93588.92</f>
        <v>93588.92</v>
      </c>
      <c r="U18" s="2"/>
      <c r="V18" s="19"/>
      <c r="W18" s="2"/>
      <c r="X18" s="2">
        <f t="shared" si="2"/>
        <v>-29442.989999999998</v>
      </c>
      <c r="Y18" s="2"/>
      <c r="Z18" s="19">
        <f t="shared" si="3"/>
        <v>-0.3145990999789291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--1934030.88</f>
        <v>1934030.88</v>
      </c>
      <c r="E19" s="2"/>
      <c r="F19" s="19"/>
      <c r="G19" s="2"/>
      <c r="H19" s="2">
        <f>--1910638.25</f>
        <v>1910638.25</v>
      </c>
      <c r="I19" s="2"/>
      <c r="J19" s="19"/>
      <c r="K19" s="2"/>
      <c r="L19" s="2">
        <f t="shared" si="0"/>
        <v>23392.629999999888</v>
      </c>
      <c r="M19" s="2"/>
      <c r="N19" s="19">
        <f t="shared" si="1"/>
        <v>1.2243358992734437E-2</v>
      </c>
      <c r="O19" s="11"/>
      <c r="P19" s="2">
        <f>--4585030.01</f>
        <v>4585030.01</v>
      </c>
      <c r="Q19" s="2"/>
      <c r="R19" s="19"/>
      <c r="S19" s="2"/>
      <c r="T19" s="2">
        <f>--4549982.05</f>
        <v>4549982.05</v>
      </c>
      <c r="U19" s="2"/>
      <c r="V19" s="19"/>
      <c r="W19" s="2"/>
      <c r="X19" s="2">
        <f t="shared" si="2"/>
        <v>35047.959999999963</v>
      </c>
      <c r="Y19" s="2"/>
      <c r="Z19" s="19">
        <f t="shared" si="3"/>
        <v>7.7028787399282079E-3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--9149.73</f>
        <v>9149.73</v>
      </c>
      <c r="E20" s="2"/>
      <c r="F20" s="19"/>
      <c r="G20" s="2"/>
      <c r="H20" s="2">
        <f>--11678.23</f>
        <v>11678.23</v>
      </c>
      <c r="I20" s="2"/>
      <c r="J20" s="19"/>
      <c r="K20" s="2"/>
      <c r="L20" s="2">
        <f t="shared" si="0"/>
        <v>-2528.5</v>
      </c>
      <c r="M20" s="2"/>
      <c r="N20" s="19">
        <f t="shared" si="1"/>
        <v>-0.21651397514863127</v>
      </c>
      <c r="O20" s="11"/>
      <c r="P20" s="2">
        <f>--24938.79</f>
        <v>24938.79</v>
      </c>
      <c r="Q20" s="2"/>
      <c r="R20" s="19"/>
      <c r="S20" s="2"/>
      <c r="T20" s="2">
        <f>--26978.15</f>
        <v>26978.15</v>
      </c>
      <c r="U20" s="2"/>
      <c r="V20" s="19"/>
      <c r="W20" s="2"/>
      <c r="X20" s="2">
        <f t="shared" si="2"/>
        <v>-2039.3600000000006</v>
      </c>
      <c r="Y20" s="2"/>
      <c r="Z20" s="19">
        <f t="shared" si="3"/>
        <v>-7.5593026208246317E-2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--30502.48</f>
        <v>30502.48</v>
      </c>
      <c r="E21" s="2"/>
      <c r="F21" s="19"/>
      <c r="G21" s="2"/>
      <c r="H21" s="2">
        <f>--34867.19</f>
        <v>34867.19</v>
      </c>
      <c r="I21" s="2"/>
      <c r="J21" s="19"/>
      <c r="K21" s="2"/>
      <c r="L21" s="2">
        <f t="shared" si="0"/>
        <v>-4364.7100000000028</v>
      </c>
      <c r="M21" s="2"/>
      <c r="N21" s="19">
        <f t="shared" si="1"/>
        <v>-0.1251810082774093</v>
      </c>
      <c r="O21" s="11"/>
      <c r="P21" s="2">
        <f>--189788.06</f>
        <v>189788.06</v>
      </c>
      <c r="Q21" s="2"/>
      <c r="R21" s="19"/>
      <c r="S21" s="2"/>
      <c r="T21" s="2">
        <f>--163905.1</f>
        <v>163905.1</v>
      </c>
      <c r="U21" s="2"/>
      <c r="V21" s="19"/>
      <c r="W21" s="2"/>
      <c r="X21" s="2">
        <f t="shared" si="2"/>
        <v>25882.959999999992</v>
      </c>
      <c r="Y21" s="2"/>
      <c r="Z21" s="19">
        <f t="shared" si="3"/>
        <v>0.15791430529007328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--150364.49</f>
        <v>150364.49</v>
      </c>
      <c r="E22" s="2"/>
      <c r="F22" s="19"/>
      <c r="G22" s="2"/>
      <c r="H22" s="2">
        <f>--134821.43</f>
        <v>134821.43</v>
      </c>
      <c r="I22" s="2"/>
      <c r="J22" s="19"/>
      <c r="K22" s="2"/>
      <c r="L22" s="2">
        <f t="shared" si="0"/>
        <v>15543.059999999998</v>
      </c>
      <c r="M22" s="2"/>
      <c r="N22" s="19">
        <f t="shared" si="1"/>
        <v>0.11528627162610572</v>
      </c>
      <c r="O22" s="11"/>
      <c r="P22" s="2">
        <f>--334390.14</f>
        <v>334390.14</v>
      </c>
      <c r="Q22" s="2"/>
      <c r="R22" s="19"/>
      <c r="S22" s="2"/>
      <c r="T22" s="2">
        <f>--309095.52</f>
        <v>309095.52</v>
      </c>
      <c r="U22" s="2"/>
      <c r="V22" s="19"/>
      <c r="W22" s="2"/>
      <c r="X22" s="2">
        <f t="shared" si="2"/>
        <v>25294.619999999995</v>
      </c>
      <c r="Y22" s="2"/>
      <c r="Z22" s="19">
        <f t="shared" si="3"/>
        <v>8.1834314518696341E-2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--95473.64</f>
        <v>95473.64</v>
      </c>
      <c r="E23" s="2"/>
      <c r="F23" s="19"/>
      <c r="G23" s="2"/>
      <c r="H23" s="2">
        <f>--90470.22</f>
        <v>90470.22</v>
      </c>
      <c r="I23" s="2"/>
      <c r="J23" s="19"/>
      <c r="K23" s="2"/>
      <c r="L23" s="2">
        <f t="shared" si="0"/>
        <v>5003.4199999999983</v>
      </c>
      <c r="M23" s="2"/>
      <c r="N23" s="19">
        <f t="shared" si="1"/>
        <v>5.5304607416672563E-2</v>
      </c>
      <c r="O23" s="11"/>
      <c r="P23" s="2">
        <f>--207720.27</f>
        <v>207720.27</v>
      </c>
      <c r="Q23" s="2"/>
      <c r="R23" s="19"/>
      <c r="S23" s="2"/>
      <c r="T23" s="2">
        <f>--213494.57</f>
        <v>213494.57</v>
      </c>
      <c r="U23" s="2"/>
      <c r="V23" s="19"/>
      <c r="W23" s="2"/>
      <c r="X23" s="2">
        <f t="shared" si="2"/>
        <v>-5774.3000000000175</v>
      </c>
      <c r="Y23" s="2"/>
      <c r="Z23" s="19">
        <f t="shared" si="3"/>
        <v>-2.7046589522159825E-2</v>
      </c>
    </row>
    <row r="24" spans="1:26" s="24" customFormat="1" hidden="1" outlineLevel="1" x14ac:dyDescent="0.25">
      <c r="A24" s="44"/>
      <c r="B24" s="11" t="str">
        <f>CONCATENATE("          ", "4159", " - ", "NON-TAXABLE SALES-FOOD")</f>
        <v xml:space="preserve">          4159 - NON-TAXABLE SALES-FOOD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--1054.9</f>
        <v>1054.9000000000001</v>
      </c>
      <c r="U24" s="2"/>
      <c r="V24" s="19"/>
      <c r="W24" s="2"/>
      <c r="X24" s="2">
        <f t="shared" si="2"/>
        <v>-1054.9000000000001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8</v>
      </c>
      <c r="C26" s="10"/>
      <c r="D26" s="4">
        <f>SUM(OSRRefD16x_0)</f>
        <v>644493.49</v>
      </c>
      <c r="E26" s="4"/>
      <c r="F26" s="12">
        <f t="shared" ref="F26:F28" si="4">IF(D$12=0,0,D26/D$12)</f>
        <v>0.2535600764796847</v>
      </c>
      <c r="G26" s="4"/>
      <c r="H26" s="4">
        <f>SUM(OSRRefH16x_0)</f>
        <v>673126.83000000007</v>
      </c>
      <c r="I26" s="4"/>
      <c r="J26" s="12">
        <f t="shared" ref="J26:J28" si="5">IF(H$12=0,0,H26/H$12)</f>
        <v>0.26304872797327777</v>
      </c>
      <c r="K26" s="4"/>
      <c r="L26" s="4">
        <f t="shared" ref="L26:L28" si="6">+D26-H26</f>
        <v>-28633.340000000084</v>
      </c>
      <c r="M26" s="4"/>
      <c r="N26" s="12">
        <f t="shared" ref="N26:N28" si="7">IF(H26=0,0,L26/H26)</f>
        <v>-4.2537808216618081E-2</v>
      </c>
      <c r="O26" s="10"/>
      <c r="P26" s="4">
        <f>SUM(OSRRefP16x_0)</f>
        <v>1695475.75</v>
      </c>
      <c r="Q26" s="4"/>
      <c r="R26" s="12">
        <f t="shared" ref="R26:R28" si="8">IF(P$12=0,0,P26/P$12)</f>
        <v>0.27097378219480084</v>
      </c>
      <c r="S26" s="4"/>
      <c r="T26" s="4">
        <f>SUM(OSRRefT16x_0)</f>
        <v>1691102.0699999998</v>
      </c>
      <c r="U26" s="4"/>
      <c r="V26" s="12">
        <f t="shared" ref="V26:V28" si="9">IF(T$12=0,0,T26/T$12)</f>
        <v>0.26680694500704277</v>
      </c>
      <c r="W26" s="4"/>
      <c r="X26" s="4">
        <f t="shared" ref="X26:X28" si="10">+P26-T26</f>
        <v>4373.6800000001676</v>
      </c>
      <c r="Y26" s="4"/>
      <c r="Z26" s="12">
        <f t="shared" ref="Z26:Z28" si="11">IF(T26=0,0,X26/T26)</f>
        <v>2.5862897796584024E-3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681644.24</v>
      </c>
      <c r="E27" s="2"/>
      <c r="F27" s="19">
        <f t="shared" si="4"/>
        <v>0.26817612327835394</v>
      </c>
      <c r="G27" s="2"/>
      <c r="H27" s="2">
        <v>678423.52</v>
      </c>
      <c r="I27" s="2"/>
      <c r="J27" s="19">
        <f t="shared" si="5"/>
        <v>0.26511860173981411</v>
      </c>
      <c r="K27" s="2"/>
      <c r="L27" s="2">
        <f t="shared" si="6"/>
        <v>3220.7199999999721</v>
      </c>
      <c r="M27" s="2"/>
      <c r="N27" s="19">
        <f t="shared" si="7"/>
        <v>4.7473589948649952E-3</v>
      </c>
      <c r="O27" s="11"/>
      <c r="P27" s="2">
        <v>1761416.41</v>
      </c>
      <c r="Q27" s="2"/>
      <c r="R27" s="19">
        <f t="shared" si="8"/>
        <v>0.28151252923416215</v>
      </c>
      <c r="S27" s="2"/>
      <c r="T27" s="2">
        <v>1763475.41</v>
      </c>
      <c r="U27" s="2"/>
      <c r="V27" s="19">
        <f t="shared" si="9"/>
        <v>0.27822536266964787</v>
      </c>
      <c r="W27" s="2"/>
      <c r="X27" s="2">
        <f t="shared" si="10"/>
        <v>-2059</v>
      </c>
      <c r="Y27" s="2"/>
      <c r="Z27" s="19">
        <f t="shared" si="11"/>
        <v>-1.1675807829948704E-3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-37150.75</v>
      </c>
      <c r="E28" s="2"/>
      <c r="F28" s="19">
        <f t="shared" si="4"/>
        <v>-1.4616046798669211E-2</v>
      </c>
      <c r="G28" s="2"/>
      <c r="H28" s="2">
        <v>-5296.69</v>
      </c>
      <c r="I28" s="2"/>
      <c r="J28" s="19">
        <f t="shared" si="5"/>
        <v>-2.0698737665363603E-3</v>
      </c>
      <c r="K28" s="2"/>
      <c r="L28" s="2">
        <f t="shared" si="6"/>
        <v>-31854.06</v>
      </c>
      <c r="M28" s="2"/>
      <c r="N28" s="19">
        <f t="shared" si="7"/>
        <v>6.013955885656892</v>
      </c>
      <c r="O28" s="11"/>
      <c r="P28" s="2">
        <v>-65940.66</v>
      </c>
      <c r="Q28" s="2"/>
      <c r="R28" s="19">
        <f t="shared" si="8"/>
        <v>-1.0538747039361321E-2</v>
      </c>
      <c r="S28" s="2"/>
      <c r="T28" s="2">
        <v>-72373.34</v>
      </c>
      <c r="U28" s="2"/>
      <c r="V28" s="19">
        <f t="shared" si="9"/>
        <v>-1.1418417662605079E-2</v>
      </c>
      <c r="W28" s="2"/>
      <c r="X28" s="2">
        <f t="shared" si="10"/>
        <v>6432.679999999993</v>
      </c>
      <c r="Y28" s="2"/>
      <c r="Z28" s="19">
        <f t="shared" si="11"/>
        <v>-8.8881900434607461E-2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6</v>
      </c>
      <c r="C30" s="28"/>
      <c r="D30" s="21">
        <f>D12-D26</f>
        <v>1897284.7700000003</v>
      </c>
      <c r="E30" s="14"/>
      <c r="F30" s="22">
        <f>IF(D$12=0,0,D30/D$12)</f>
        <v>0.7464399235203153</v>
      </c>
      <c r="G30" s="14"/>
      <c r="H30" s="21">
        <f>H12-H26</f>
        <v>1885816.6600000001</v>
      </c>
      <c r="I30" s="14"/>
      <c r="J30" s="22">
        <f>IF(H$12=0,0,H30/H$12)</f>
        <v>0.73695127202672228</v>
      </c>
      <c r="K30" s="16"/>
      <c r="L30" s="21">
        <f>+D30-H30</f>
        <v>11468.110000000102</v>
      </c>
      <c r="M30" s="16"/>
      <c r="N30" s="22">
        <f>IF(H30=0,0,L30/H30)</f>
        <v>6.08124333783333E-3</v>
      </c>
      <c r="O30" s="29"/>
      <c r="P30" s="21">
        <f>P12-P26</f>
        <v>4561497.6599999992</v>
      </c>
      <c r="Q30" s="14"/>
      <c r="R30" s="22">
        <f>IF(P$12=0,0,P30/P$12)</f>
        <v>0.72902621780519916</v>
      </c>
      <c r="S30" s="14"/>
      <c r="T30" s="21">
        <f>T12-T26</f>
        <v>4647196.4700000007</v>
      </c>
      <c r="U30" s="14"/>
      <c r="V30" s="22">
        <f>IF(T$12=0,0,T30/T$12)</f>
        <v>0.73319305499295717</v>
      </c>
      <c r="W30" s="16"/>
      <c r="X30" s="21">
        <f>+P30-T30</f>
        <v>-85698.810000001453</v>
      </c>
      <c r="Y30" s="16"/>
      <c r="Z30" s="22">
        <f>IF(T30=0,0,X30/T30)</f>
        <v>-1.844096985208836E-2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9</v>
      </c>
      <c r="C32" s="10"/>
      <c r="D32" s="20">
        <f>SUM(OSRRefD22x_0)</f>
        <v>1274352.1500000001</v>
      </c>
      <c r="E32" s="20"/>
      <c r="F32" s="35">
        <f t="shared" ref="F32:F42" si="12">IF(D$12=0,0,D32/D$12)</f>
        <v>0.50136243985342765</v>
      </c>
      <c r="G32" s="20"/>
      <c r="H32" s="20">
        <f>SUM(OSRRefH22x_0)</f>
        <v>1224776.51</v>
      </c>
      <c r="I32" s="20"/>
      <c r="J32" s="35">
        <f t="shared" ref="J32:J42" si="13">IF(H$12=0,0,H32/H$12)</f>
        <v>0.47862585273424696</v>
      </c>
      <c r="K32" s="4"/>
      <c r="L32" s="20">
        <f t="shared" ref="L32:L42" si="14">+D32-H32</f>
        <v>49575.64000000013</v>
      </c>
      <c r="M32" s="4"/>
      <c r="N32" s="35">
        <f t="shared" ref="N32:N42" si="15">IF(H32=0,0,L32/H32)</f>
        <v>4.0477294914808684E-2</v>
      </c>
      <c r="O32" s="10"/>
      <c r="P32" s="20">
        <f>SUM(OSRRefP22x_0)</f>
        <v>3945222.07</v>
      </c>
      <c r="Q32" s="20"/>
      <c r="R32" s="35">
        <f t="shared" ref="R32:R42" si="16">IF(P$12=0,0,P32/P$12)</f>
        <v>0.63053201787539648</v>
      </c>
      <c r="S32" s="20"/>
      <c r="T32" s="20">
        <f>SUM(OSRRefT22x_0)</f>
        <v>3644726.12</v>
      </c>
      <c r="U32" s="20"/>
      <c r="V32" s="35">
        <f t="shared" ref="V32:V42" si="17">IF(T$12=0,0,T32/T$12)</f>
        <v>0.57503225778948552</v>
      </c>
      <c r="W32" s="4"/>
      <c r="X32" s="20">
        <f t="shared" ref="X32:X42" si="18">+P32-T32</f>
        <v>300495.94999999972</v>
      </c>
      <c r="Y32" s="4"/>
      <c r="Z32" s="35">
        <f t="shared" ref="Z32:Z42" si="19">IF(T32=0,0,X32/T32)</f>
        <v>8.2446784780635232E-2</v>
      </c>
    </row>
    <row r="33" spans="1:26" s="27" customFormat="1" outlineLevel="1" collapsed="1" x14ac:dyDescent="0.25">
      <c r="A33" s="25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171099.82</v>
      </c>
      <c r="E33" s="1"/>
      <c r="F33" s="5">
        <f t="shared" si="12"/>
        <v>6.7315006463230978E-2</v>
      </c>
      <c r="G33" s="1"/>
      <c r="H33" s="1">
        <f>SUM(OSRRefH22_0x_0)</f>
        <v>203230.4</v>
      </c>
      <c r="I33" s="1"/>
      <c r="J33" s="5">
        <f t="shared" si="13"/>
        <v>7.9419651428097759E-2</v>
      </c>
      <c r="K33" s="1"/>
      <c r="L33" s="1">
        <f t="shared" si="14"/>
        <v>-32130.579999999987</v>
      </c>
      <c r="M33" s="1"/>
      <c r="N33" s="5">
        <f t="shared" si="15"/>
        <v>-0.15809928042261387</v>
      </c>
      <c r="O33" s="13"/>
      <c r="P33" s="1">
        <f>SUM(OSRRefP22_0x_0)</f>
        <v>651217.72</v>
      </c>
      <c r="Q33" s="1"/>
      <c r="R33" s="5">
        <f t="shared" si="16"/>
        <v>0.1040787098374452</v>
      </c>
      <c r="S33" s="1"/>
      <c r="T33" s="1">
        <f>SUM(OSRRefT22_0x_0)</f>
        <v>614267.04</v>
      </c>
      <c r="U33" s="1"/>
      <c r="V33" s="5">
        <f t="shared" si="17"/>
        <v>9.6913554343244918E-2</v>
      </c>
      <c r="W33" s="1"/>
      <c r="X33" s="1">
        <f t="shared" si="18"/>
        <v>36950.679999999935</v>
      </c>
      <c r="Y33" s="1"/>
      <c r="Z33" s="5">
        <f t="shared" si="19"/>
        <v>6.0154098452034691E-2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6">
        <v>45910.49</v>
      </c>
      <c r="E34" s="2"/>
      <c r="F34" s="7">
        <f t="shared" si="12"/>
        <v>1.8062350568692011E-2</v>
      </c>
      <c r="G34" s="2"/>
      <c r="H34" s="6">
        <v>40931.56</v>
      </c>
      <c r="I34" s="2"/>
      <c r="J34" s="7">
        <f t="shared" si="13"/>
        <v>1.5995491952032124E-2</v>
      </c>
      <c r="K34" s="2"/>
      <c r="L34" s="6">
        <f t="shared" si="14"/>
        <v>4978.93</v>
      </c>
      <c r="M34" s="2"/>
      <c r="N34" s="7">
        <f t="shared" si="15"/>
        <v>0.12164036748171828</v>
      </c>
      <c r="O34" s="11"/>
      <c r="P34" s="6">
        <v>119466.15000000001</v>
      </c>
      <c r="Q34" s="2"/>
      <c r="R34" s="7">
        <f t="shared" si="16"/>
        <v>1.9093280756006924E-2</v>
      </c>
      <c r="S34" s="2"/>
      <c r="T34" s="6">
        <v>107191.03</v>
      </c>
      <c r="U34" s="2"/>
      <c r="V34" s="7">
        <f t="shared" si="17"/>
        <v>1.6911641085306149E-2</v>
      </c>
      <c r="W34" s="2"/>
      <c r="X34" s="6">
        <f t="shared" si="18"/>
        <v>12275.12000000001</v>
      </c>
      <c r="Y34" s="2"/>
      <c r="Z34" s="7">
        <f t="shared" si="19"/>
        <v>0.11451629861192686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6">
        <v>-3683.27</v>
      </c>
      <c r="E35" s="2"/>
      <c r="F35" s="7">
        <f t="shared" si="12"/>
        <v>-1.4490917866297273E-3</v>
      </c>
      <c r="G35" s="2"/>
      <c r="H35" s="6">
        <v>37181.689999999995</v>
      </c>
      <c r="I35" s="2"/>
      <c r="J35" s="7">
        <f t="shared" si="13"/>
        <v>1.4530094214780801E-2</v>
      </c>
      <c r="K35" s="2"/>
      <c r="L35" s="6">
        <f t="shared" si="14"/>
        <v>-40864.959999999992</v>
      </c>
      <c r="M35" s="2"/>
      <c r="N35" s="7">
        <f t="shared" si="15"/>
        <v>-1.0990613928522344</v>
      </c>
      <c r="O35" s="11"/>
      <c r="P35" s="6">
        <v>41504.79</v>
      </c>
      <c r="Q35" s="2"/>
      <c r="R35" s="7">
        <f t="shared" si="16"/>
        <v>6.6333652519069931E-3</v>
      </c>
      <c r="S35" s="2"/>
      <c r="T35" s="6">
        <v>62367.469999999994</v>
      </c>
      <c r="U35" s="2"/>
      <c r="V35" s="7">
        <f t="shared" si="17"/>
        <v>9.8397810715933846E-3</v>
      </c>
      <c r="W35" s="2"/>
      <c r="X35" s="6">
        <f t="shared" si="18"/>
        <v>-20862.679999999993</v>
      </c>
      <c r="Y35" s="2"/>
      <c r="Z35" s="7">
        <f t="shared" si="19"/>
        <v>-0.33451220644351926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6">
        <v>65782.649999999994</v>
      </c>
      <c r="E36" s="2"/>
      <c r="F36" s="7">
        <f t="shared" si="12"/>
        <v>2.5880562059728999E-2</v>
      </c>
      <c r="G36" s="2"/>
      <c r="H36" s="6">
        <v>74063.459999999992</v>
      </c>
      <c r="I36" s="2"/>
      <c r="J36" s="7">
        <f t="shared" si="13"/>
        <v>2.8942983809306388E-2</v>
      </c>
      <c r="K36" s="2"/>
      <c r="L36" s="6">
        <f t="shared" si="14"/>
        <v>-8280.8099999999977</v>
      </c>
      <c r="M36" s="2"/>
      <c r="N36" s="7">
        <f t="shared" si="15"/>
        <v>-0.11180695581869925</v>
      </c>
      <c r="O36" s="11"/>
      <c r="P36" s="6">
        <v>263342.94</v>
      </c>
      <c r="Q36" s="2"/>
      <c r="R36" s="7">
        <f t="shared" si="16"/>
        <v>4.2087910998490248E-2</v>
      </c>
      <c r="S36" s="2"/>
      <c r="T36" s="6">
        <v>248800.42</v>
      </c>
      <c r="U36" s="2"/>
      <c r="V36" s="7">
        <f t="shared" si="17"/>
        <v>3.9253502880916676E-2</v>
      </c>
      <c r="W36" s="2"/>
      <c r="X36" s="6">
        <f t="shared" si="18"/>
        <v>14542.51999999999</v>
      </c>
      <c r="Y36" s="2"/>
      <c r="Z36" s="7">
        <f t="shared" si="19"/>
        <v>5.8450544416283494E-2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1690.52</v>
      </c>
      <c r="E37" s="2"/>
      <c r="F37" s="7">
        <f t="shared" si="12"/>
        <v>6.6509342164253139E-4</v>
      </c>
      <c r="G37" s="2"/>
      <c r="H37" s="6">
        <v>1564.87</v>
      </c>
      <c r="I37" s="2"/>
      <c r="J37" s="7">
        <f t="shared" si="13"/>
        <v>6.1152972158834179E-4</v>
      </c>
      <c r="K37" s="2"/>
      <c r="L37" s="6">
        <f t="shared" si="14"/>
        <v>125.65000000000009</v>
      </c>
      <c r="M37" s="2"/>
      <c r="N37" s="7">
        <f t="shared" si="15"/>
        <v>8.0294209742662395E-2</v>
      </c>
      <c r="O37" s="11"/>
      <c r="P37" s="6">
        <v>4800.37</v>
      </c>
      <c r="Q37" s="2"/>
      <c r="R37" s="7">
        <f t="shared" si="16"/>
        <v>7.6720319640930044E-4</v>
      </c>
      <c r="S37" s="2"/>
      <c r="T37" s="6">
        <v>4695.5200000000004</v>
      </c>
      <c r="U37" s="2"/>
      <c r="V37" s="7">
        <f t="shared" si="17"/>
        <v>7.4081710893977545E-4</v>
      </c>
      <c r="W37" s="2"/>
      <c r="X37" s="6">
        <f t="shared" si="18"/>
        <v>104.84999999999945</v>
      </c>
      <c r="Y37" s="2"/>
      <c r="Z37" s="7">
        <f t="shared" si="19"/>
        <v>2.2329795209050211E-2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6">
        <v>16796.75</v>
      </c>
      <c r="E38" s="2"/>
      <c r="F38" s="7">
        <f t="shared" si="12"/>
        <v>6.6082672372844977E-3</v>
      </c>
      <c r="G38" s="2"/>
      <c r="H38" s="6">
        <v>15541.630000000001</v>
      </c>
      <c r="I38" s="2"/>
      <c r="J38" s="7">
        <f t="shared" si="13"/>
        <v>6.0734557291845471E-3</v>
      </c>
      <c r="K38" s="2"/>
      <c r="L38" s="6">
        <f t="shared" si="14"/>
        <v>1255.119999999999</v>
      </c>
      <c r="M38" s="2"/>
      <c r="N38" s="7">
        <f t="shared" si="15"/>
        <v>8.0758581950541794E-2</v>
      </c>
      <c r="O38" s="11"/>
      <c r="P38" s="6">
        <v>46733.71</v>
      </c>
      <c r="Q38" s="2"/>
      <c r="R38" s="7">
        <f t="shared" si="16"/>
        <v>7.4690600291363561E-3</v>
      </c>
      <c r="S38" s="2"/>
      <c r="T38" s="6">
        <v>47389.29</v>
      </c>
      <c r="U38" s="2"/>
      <c r="V38" s="7">
        <f t="shared" si="17"/>
        <v>7.4766579234054184E-3</v>
      </c>
      <c r="W38" s="2"/>
      <c r="X38" s="6">
        <f t="shared" si="18"/>
        <v>-655.58000000000175</v>
      </c>
      <c r="Y38" s="2"/>
      <c r="Z38" s="7">
        <f t="shared" si="19"/>
        <v>-1.3833927454916538E-2</v>
      </c>
    </row>
    <row r="39" spans="1:26" s="24" customFormat="1" hidden="1" outlineLevel="2" x14ac:dyDescent="0.25">
      <c r="A39" s="26"/>
      <c r="B39" s="11" t="str">
        <f>CONCATENATE("          ", "6117", " - ", "RETIREMENT STAFF HOURLY")</f>
        <v xml:space="preserve">          6117 - RETIREMENT STAFF HOURLY</v>
      </c>
      <c r="C39" s="11"/>
      <c r="D39" s="6">
        <v>1716.24</v>
      </c>
      <c r="E39" s="2"/>
      <c r="F39" s="7">
        <f t="shared" si="12"/>
        <v>6.7521232162871673E-4</v>
      </c>
      <c r="G39" s="2"/>
      <c r="H39" s="6">
        <v>1545.4</v>
      </c>
      <c r="I39" s="2"/>
      <c r="J39" s="7">
        <f t="shared" si="13"/>
        <v>6.0392111277142739E-4</v>
      </c>
      <c r="K39" s="2"/>
      <c r="L39" s="6">
        <f t="shared" si="14"/>
        <v>170.83999999999992</v>
      </c>
      <c r="M39" s="2"/>
      <c r="N39" s="7">
        <f t="shared" si="15"/>
        <v>0.11054743108580296</v>
      </c>
      <c r="O39" s="11"/>
      <c r="P39" s="6">
        <v>6745.02</v>
      </c>
      <c r="Q39" s="2"/>
      <c r="R39" s="7">
        <f t="shared" si="16"/>
        <v>1.0780004257681512E-3</v>
      </c>
      <c r="S39" s="2"/>
      <c r="T39" s="6">
        <v>6597.95</v>
      </c>
      <c r="U39" s="2"/>
      <c r="V39" s="7">
        <f t="shared" si="17"/>
        <v>1.0409654828281406E-3</v>
      </c>
      <c r="W39" s="2"/>
      <c r="X39" s="6">
        <f t="shared" si="18"/>
        <v>147.07000000000062</v>
      </c>
      <c r="Y39" s="2"/>
      <c r="Z39" s="7">
        <f t="shared" si="19"/>
        <v>2.2290256822194866E-2</v>
      </c>
    </row>
    <row r="40" spans="1:26" s="24" customFormat="1" hidden="1" outlineLevel="2" x14ac:dyDescent="0.25">
      <c r="A40" s="26"/>
      <c r="B40" s="11" t="str">
        <f>CONCATENATE("          ", "6118", " - ", "VACATION")</f>
        <v xml:space="preserve">          6118 - VACATION</v>
      </c>
      <c r="C40" s="11"/>
      <c r="D40" s="6">
        <v>20998.98</v>
      </c>
      <c r="E40" s="2"/>
      <c r="F40" s="7">
        <f t="shared" si="12"/>
        <v>8.2615310432311261E-3</v>
      </c>
      <c r="G40" s="2"/>
      <c r="H40" s="6">
        <v>18149.449999999997</v>
      </c>
      <c r="I40" s="2"/>
      <c r="J40" s="7">
        <f t="shared" si="13"/>
        <v>7.0925559985695486E-3</v>
      </c>
      <c r="K40" s="2"/>
      <c r="L40" s="6">
        <f t="shared" si="14"/>
        <v>2849.5300000000025</v>
      </c>
      <c r="M40" s="2"/>
      <c r="N40" s="7">
        <f t="shared" si="15"/>
        <v>0.15700365575816363</v>
      </c>
      <c r="O40" s="11"/>
      <c r="P40" s="6">
        <v>70446.680000000008</v>
      </c>
      <c r="Q40" s="2"/>
      <c r="R40" s="7">
        <f t="shared" si="16"/>
        <v>1.1258906724361487E-2</v>
      </c>
      <c r="S40" s="2"/>
      <c r="T40" s="6">
        <v>61610.979999999996</v>
      </c>
      <c r="U40" s="2"/>
      <c r="V40" s="7">
        <f t="shared" si="17"/>
        <v>9.7204288518729174E-3</v>
      </c>
      <c r="W40" s="2"/>
      <c r="X40" s="6">
        <f t="shared" si="18"/>
        <v>8835.7000000000116</v>
      </c>
      <c r="Y40" s="2"/>
      <c r="Z40" s="7">
        <f t="shared" si="19"/>
        <v>0.14341112574414516</v>
      </c>
    </row>
    <row r="41" spans="1:26" s="24" customFormat="1" hidden="1" outlineLevel="2" x14ac:dyDescent="0.25">
      <c r="A41" s="26"/>
      <c r="B41" s="11" t="str">
        <f>CONCATENATE("          ", "6119", " - ", "SICK LEAVE")</f>
        <v xml:space="preserve">          6119 - SICK LEAVE</v>
      </c>
      <c r="C41" s="11"/>
      <c r="D41" s="6">
        <v>14940.96</v>
      </c>
      <c r="E41" s="2"/>
      <c r="F41" s="7">
        <f t="shared" si="12"/>
        <v>5.8781524081490876E-3</v>
      </c>
      <c r="G41" s="2"/>
      <c r="H41" s="6">
        <v>7468.9</v>
      </c>
      <c r="I41" s="2"/>
      <c r="J41" s="7">
        <f t="shared" si="13"/>
        <v>2.9187436257140631E-3</v>
      </c>
      <c r="K41" s="2"/>
      <c r="L41" s="6">
        <f t="shared" si="14"/>
        <v>7472.0599999999995</v>
      </c>
      <c r="M41" s="2"/>
      <c r="N41" s="7">
        <f t="shared" si="15"/>
        <v>1.0004230877371501</v>
      </c>
      <c r="O41" s="11"/>
      <c r="P41" s="6">
        <v>73923.11</v>
      </c>
      <c r="Q41" s="2"/>
      <c r="R41" s="7">
        <f t="shared" si="16"/>
        <v>1.1814515606196258E-2</v>
      </c>
      <c r="S41" s="2"/>
      <c r="T41" s="6">
        <v>49947.219999999994</v>
      </c>
      <c r="U41" s="2"/>
      <c r="V41" s="7">
        <f t="shared" si="17"/>
        <v>7.8802252189275994E-3</v>
      </c>
      <c r="W41" s="2"/>
      <c r="X41" s="6">
        <f t="shared" si="18"/>
        <v>23975.890000000007</v>
      </c>
      <c r="Y41" s="2"/>
      <c r="Z41" s="7">
        <f t="shared" si="19"/>
        <v>0.48002451387684858</v>
      </c>
    </row>
    <row r="42" spans="1:26" s="24" customFormat="1" hidden="1" outlineLevel="2" x14ac:dyDescent="0.25">
      <c r="A42" s="26"/>
      <c r="B42" s="11" t="str">
        <f>CONCATENATE("          ", "6156", " - ", "EMPLOYEE MEALS")</f>
        <v xml:space="preserve">          6156 - EMPLOYEE MEALS</v>
      </c>
      <c r="C42" s="11"/>
      <c r="D42" s="6">
        <v>6946.5</v>
      </c>
      <c r="E42" s="2"/>
      <c r="F42" s="7">
        <f t="shared" si="12"/>
        <v>2.7329291895037294E-3</v>
      </c>
      <c r="G42" s="2"/>
      <c r="H42" s="6">
        <v>6783.44</v>
      </c>
      <c r="I42" s="2"/>
      <c r="J42" s="7">
        <f t="shared" si="13"/>
        <v>2.6508752641505183E-3</v>
      </c>
      <c r="K42" s="2"/>
      <c r="L42" s="6">
        <f t="shared" si="14"/>
        <v>163.0600000000004</v>
      </c>
      <c r="M42" s="2"/>
      <c r="N42" s="7">
        <f t="shared" si="15"/>
        <v>2.4037951245975554E-2</v>
      </c>
      <c r="O42" s="11"/>
      <c r="P42" s="6">
        <v>24254.95</v>
      </c>
      <c r="Q42" s="2"/>
      <c r="R42" s="7">
        <f t="shared" si="16"/>
        <v>3.8764668491694937E-3</v>
      </c>
      <c r="S42" s="2"/>
      <c r="T42" s="6">
        <v>25667.16</v>
      </c>
      <c r="U42" s="2"/>
      <c r="V42" s="7">
        <f t="shared" si="17"/>
        <v>4.0495347194548521E-3</v>
      </c>
      <c r="W42" s="2"/>
      <c r="X42" s="6">
        <f t="shared" si="18"/>
        <v>-1412.2099999999991</v>
      </c>
      <c r="Y42" s="2"/>
      <c r="Z42" s="7">
        <f t="shared" si="19"/>
        <v>-5.5020111301756762E-2</v>
      </c>
    </row>
    <row r="43" spans="1:26" s="27" customFormat="1" outlineLevel="1" collapsed="1" x14ac:dyDescent="0.25">
      <c r="A43" s="25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663307.22</v>
      </c>
      <c r="E43" s="1"/>
      <c r="F43" s="5">
        <f t="shared" ref="F43:F50" si="20">IF(D$12=0,0,D43/D$12)</f>
        <v>0.26096187477817201</v>
      </c>
      <c r="G43" s="1"/>
      <c r="H43" s="1">
        <f>SUM(OSRRefH22_1x_0)</f>
        <v>618272.48</v>
      </c>
      <c r="I43" s="1"/>
      <c r="J43" s="5">
        <f t="shared" ref="J43:J50" si="21">IF(H$12=0,0,H43/H$12)</f>
        <v>0.2416124007490294</v>
      </c>
      <c r="K43" s="1"/>
      <c r="L43" s="1">
        <f t="shared" ref="L43:L50" si="22">+D43-H43</f>
        <v>45034.739999999991</v>
      </c>
      <c r="M43" s="1"/>
      <c r="N43" s="5">
        <f t="shared" ref="N43:N50" si="23">IF(H43=0,0,L43/H43)</f>
        <v>7.283963213112768E-2</v>
      </c>
      <c r="O43" s="13"/>
      <c r="P43" s="1">
        <f>SUM(OSRRefP22_1x_0)</f>
        <v>1938567.9</v>
      </c>
      <c r="Q43" s="1"/>
      <c r="R43" s="5">
        <f t="shared" ref="R43:R50" si="24">IF(P$12=0,0,P43/P$12)</f>
        <v>0.30982517792096548</v>
      </c>
      <c r="S43" s="1"/>
      <c r="T43" s="1">
        <f>SUM(OSRRefT22_1x_0)</f>
        <v>1749599.83</v>
      </c>
      <c r="U43" s="1"/>
      <c r="V43" s="5">
        <f t="shared" ref="V43:V50" si="25">IF(T$12=0,0,T43/T$12)</f>
        <v>0.27603619787842937</v>
      </c>
      <c r="W43" s="1"/>
      <c r="X43" s="1">
        <f t="shared" ref="X43:X50" si="26">+P43-T43</f>
        <v>188968.06999999983</v>
      </c>
      <c r="Y43" s="1"/>
      <c r="Z43" s="5">
        <f t="shared" ref="Z43:Z50" si="27">IF(T43=0,0,X43/T43)</f>
        <v>0.1080064519667905</v>
      </c>
    </row>
    <row r="44" spans="1:26" s="24" customFormat="1" hidden="1" outlineLevel="2" x14ac:dyDescent="0.25">
      <c r="A44" s="26"/>
      <c r="B44" s="11" t="str">
        <f>CONCATENATE("          ", "6001", " - ", "ADMINISTRATIVE SALARIES")</f>
        <v xml:space="preserve">          6001 - ADMINISTRATIVE SALARIES</v>
      </c>
      <c r="C44" s="11"/>
      <c r="D44" s="6">
        <v>27521.1</v>
      </c>
      <c r="E44" s="2"/>
      <c r="F44" s="7">
        <f t="shared" si="20"/>
        <v>1.0827498382962798E-2</v>
      </c>
      <c r="G44" s="2"/>
      <c r="H44" s="6">
        <v>26468.6</v>
      </c>
      <c r="I44" s="2"/>
      <c r="J44" s="7">
        <f t="shared" si="21"/>
        <v>1.0343565656465511E-2</v>
      </c>
      <c r="K44" s="2"/>
      <c r="L44" s="6">
        <f t="shared" si="22"/>
        <v>1052.5</v>
      </c>
      <c r="M44" s="2"/>
      <c r="N44" s="7">
        <f t="shared" si="23"/>
        <v>3.9764097836681958E-2</v>
      </c>
      <c r="O44" s="11"/>
      <c r="P44" s="6">
        <v>100392.72</v>
      </c>
      <c r="Q44" s="2"/>
      <c r="R44" s="7">
        <f t="shared" si="24"/>
        <v>1.6044933136450713E-2</v>
      </c>
      <c r="S44" s="2"/>
      <c r="T44" s="6">
        <v>99827.209999999992</v>
      </c>
      <c r="U44" s="2"/>
      <c r="V44" s="7">
        <f t="shared" si="25"/>
        <v>1.5749843490332024E-2</v>
      </c>
      <c r="W44" s="2"/>
      <c r="X44" s="6">
        <f t="shared" si="26"/>
        <v>565.51000000000931</v>
      </c>
      <c r="Y44" s="2"/>
      <c r="Z44" s="7">
        <f t="shared" si="27"/>
        <v>5.6648883605983713E-3</v>
      </c>
    </row>
    <row r="45" spans="1:26" s="24" customFormat="1" hidden="1" outlineLevel="2" x14ac:dyDescent="0.25">
      <c r="A45" s="26"/>
      <c r="B45" s="11" t="str">
        <f>CONCATENATE("          ", "6002", " - ", "STAFF SALARIES")</f>
        <v xml:space="preserve">          6002 - STAFF SALARIES</v>
      </c>
      <c r="C45" s="11"/>
      <c r="D45" s="6">
        <v>120525.23</v>
      </c>
      <c r="E45" s="2"/>
      <c r="F45" s="7">
        <f t="shared" si="20"/>
        <v>4.7417680722471829E-2</v>
      </c>
      <c r="G45" s="2"/>
      <c r="H45" s="6">
        <v>113910.64</v>
      </c>
      <c r="I45" s="2"/>
      <c r="J45" s="7">
        <f t="shared" si="21"/>
        <v>4.4514714938077821E-2</v>
      </c>
      <c r="K45" s="2"/>
      <c r="L45" s="6">
        <f t="shared" si="22"/>
        <v>6614.5899999999965</v>
      </c>
      <c r="M45" s="2"/>
      <c r="N45" s="7">
        <f t="shared" si="23"/>
        <v>5.8068236645847982E-2</v>
      </c>
      <c r="O45" s="11"/>
      <c r="P45" s="6">
        <v>404628.86000000004</v>
      </c>
      <c r="Q45" s="2"/>
      <c r="R45" s="7">
        <f t="shared" si="24"/>
        <v>6.4668464045782179E-2</v>
      </c>
      <c r="S45" s="2"/>
      <c r="T45" s="6">
        <v>383193.46</v>
      </c>
      <c r="U45" s="2"/>
      <c r="V45" s="7">
        <f t="shared" si="25"/>
        <v>6.045683357792736E-2</v>
      </c>
      <c r="W45" s="2"/>
      <c r="X45" s="6">
        <f t="shared" si="26"/>
        <v>21435.400000000023</v>
      </c>
      <c r="Y45" s="2"/>
      <c r="Z45" s="7">
        <f t="shared" si="27"/>
        <v>5.5938846137927357E-2</v>
      </c>
    </row>
    <row r="46" spans="1:26" s="24" customFormat="1" hidden="1" outlineLevel="2" x14ac:dyDescent="0.25">
      <c r="A46" s="26"/>
      <c r="B46" s="11" t="str">
        <f>CONCATENATE("          ", "6004", " - ", "STAFF HOURLY")</f>
        <v xml:space="preserve">          6004 - STAFF HOURLY</v>
      </c>
      <c r="C46" s="11"/>
      <c r="D46" s="6">
        <v>126180.30999999998</v>
      </c>
      <c r="E46" s="2"/>
      <c r="F46" s="7">
        <f t="shared" si="20"/>
        <v>4.9642532547272619E-2</v>
      </c>
      <c r="G46" s="2"/>
      <c r="H46" s="6">
        <v>108793.73000000001</v>
      </c>
      <c r="I46" s="2"/>
      <c r="J46" s="7">
        <f t="shared" si="21"/>
        <v>4.2515096728454917E-2</v>
      </c>
      <c r="K46" s="2"/>
      <c r="L46" s="6">
        <f t="shared" si="22"/>
        <v>17386.579999999973</v>
      </c>
      <c r="M46" s="2"/>
      <c r="N46" s="7">
        <f t="shared" si="23"/>
        <v>0.1598123347733364</v>
      </c>
      <c r="O46" s="11"/>
      <c r="P46" s="6">
        <v>325630.36</v>
      </c>
      <c r="Q46" s="2"/>
      <c r="R46" s="7">
        <f t="shared" si="24"/>
        <v>5.204279108483538E-2</v>
      </c>
      <c r="S46" s="2"/>
      <c r="T46" s="6">
        <v>303373.97000000003</v>
      </c>
      <c r="U46" s="2"/>
      <c r="V46" s="7">
        <f t="shared" si="25"/>
        <v>4.7863629030007786E-2</v>
      </c>
      <c r="W46" s="2"/>
      <c r="X46" s="6">
        <f t="shared" si="26"/>
        <v>22256.389999999956</v>
      </c>
      <c r="Y46" s="2"/>
      <c r="Z46" s="7">
        <f t="shared" si="27"/>
        <v>7.3362886077536424E-2</v>
      </c>
    </row>
    <row r="47" spans="1:26" s="24" customFormat="1" hidden="1" outlineLevel="2" x14ac:dyDescent="0.25">
      <c r="A47" s="26"/>
      <c r="B47" s="11" t="str">
        <f>CONCATENATE("          ", "6005", " - ", "TEMPORARY WAGES-HOURLY")</f>
        <v xml:space="preserve">          6005 - TEMPORARY WAGES-HOURLY</v>
      </c>
      <c r="C47" s="11"/>
      <c r="D47" s="6">
        <v>154041.54</v>
      </c>
      <c r="E47" s="2"/>
      <c r="F47" s="7">
        <f t="shared" si="20"/>
        <v>6.060384669432179E-2</v>
      </c>
      <c r="G47" s="2"/>
      <c r="H47" s="6">
        <v>126081.86000000002</v>
      </c>
      <c r="I47" s="2"/>
      <c r="J47" s="7">
        <f t="shared" si="21"/>
        <v>4.9271060690754057E-2</v>
      </c>
      <c r="K47" s="2"/>
      <c r="L47" s="6">
        <f t="shared" si="22"/>
        <v>27959.679999999993</v>
      </c>
      <c r="M47" s="2"/>
      <c r="N47" s="7">
        <f t="shared" si="23"/>
        <v>0.22175814982424902</v>
      </c>
      <c r="O47" s="11"/>
      <c r="P47" s="6">
        <v>386507.1</v>
      </c>
      <c r="Q47" s="2"/>
      <c r="R47" s="7">
        <f t="shared" si="24"/>
        <v>6.1772213924111918E-2</v>
      </c>
      <c r="S47" s="2"/>
      <c r="T47" s="6">
        <v>310320.39999999997</v>
      </c>
      <c r="U47" s="2"/>
      <c r="V47" s="7">
        <f t="shared" si="25"/>
        <v>4.8959574567467426E-2</v>
      </c>
      <c r="W47" s="2"/>
      <c r="X47" s="6">
        <f t="shared" si="26"/>
        <v>76186.700000000012</v>
      </c>
      <c r="Y47" s="2"/>
      <c r="Z47" s="7">
        <f t="shared" si="27"/>
        <v>0.24550980212709195</v>
      </c>
    </row>
    <row r="48" spans="1:26" s="24" customFormat="1" hidden="1" outlineLevel="2" x14ac:dyDescent="0.25">
      <c r="A48" s="26"/>
      <c r="B48" s="11" t="str">
        <f>CONCATENATE("          ", "6006", " - ", "TEMPORARY PART TIME")</f>
        <v xml:space="preserve">          6006 - TEMPORARY PART TIME</v>
      </c>
      <c r="C48" s="11"/>
      <c r="D48" s="6">
        <v>9156.44</v>
      </c>
      <c r="E48" s="2"/>
      <c r="F48" s="7">
        <f t="shared" si="20"/>
        <v>3.6023756061238795E-3</v>
      </c>
      <c r="G48" s="2"/>
      <c r="H48" s="6">
        <v>2810.38</v>
      </c>
      <c r="I48" s="2"/>
      <c r="J48" s="7">
        <f t="shared" si="21"/>
        <v>1.0982579376928718E-3</v>
      </c>
      <c r="K48" s="2"/>
      <c r="L48" s="6">
        <f t="shared" si="22"/>
        <v>6346.06</v>
      </c>
      <c r="M48" s="2"/>
      <c r="N48" s="7">
        <f t="shared" si="23"/>
        <v>2.2580789786434576</v>
      </c>
      <c r="O48" s="11"/>
      <c r="P48" s="6">
        <v>32989.19</v>
      </c>
      <c r="Q48" s="2"/>
      <c r="R48" s="7">
        <f t="shared" si="24"/>
        <v>5.272387756559126E-3</v>
      </c>
      <c r="S48" s="2"/>
      <c r="T48" s="6">
        <v>9143.44</v>
      </c>
      <c r="U48" s="2"/>
      <c r="V48" s="7">
        <f t="shared" si="25"/>
        <v>1.4425701065194697E-3</v>
      </c>
      <c r="W48" s="2"/>
      <c r="X48" s="6">
        <f t="shared" si="26"/>
        <v>23845.75</v>
      </c>
      <c r="Y48" s="2"/>
      <c r="Z48" s="7">
        <f t="shared" si="27"/>
        <v>2.6079626486311498</v>
      </c>
    </row>
    <row r="49" spans="1:26" s="24" customFormat="1" hidden="1" outlineLevel="2" x14ac:dyDescent="0.25">
      <c r="A49" s="26"/>
      <c r="B49" s="11" t="str">
        <f>CONCATENATE("          ", "6007", " - ", "STUDENT HOURLY")</f>
        <v xml:space="preserve">          6007 - STUDENT HOURLY</v>
      </c>
      <c r="C49" s="11"/>
      <c r="D49" s="6">
        <v>182765.6</v>
      </c>
      <c r="E49" s="2"/>
      <c r="F49" s="7">
        <f t="shared" si="20"/>
        <v>7.1904620035580916E-2</v>
      </c>
      <c r="G49" s="2"/>
      <c r="H49" s="6">
        <v>189889.42</v>
      </c>
      <c r="I49" s="2"/>
      <c r="J49" s="7">
        <f t="shared" si="21"/>
        <v>7.4206179519814244E-2</v>
      </c>
      <c r="K49" s="2"/>
      <c r="L49" s="6">
        <f t="shared" si="22"/>
        <v>-7123.820000000007</v>
      </c>
      <c r="M49" s="2"/>
      <c r="N49" s="7">
        <f t="shared" si="23"/>
        <v>-3.7515623566600008E-2</v>
      </c>
      <c r="O49" s="11"/>
      <c r="P49" s="6">
        <v>594022.19999999995</v>
      </c>
      <c r="Q49" s="2"/>
      <c r="R49" s="7">
        <f t="shared" si="24"/>
        <v>9.4937625761781844E-2</v>
      </c>
      <c r="S49" s="2"/>
      <c r="T49" s="6">
        <v>546703.78</v>
      </c>
      <c r="U49" s="2"/>
      <c r="V49" s="7">
        <f t="shared" si="25"/>
        <v>8.6254028040780792E-2</v>
      </c>
      <c r="W49" s="2"/>
      <c r="X49" s="6">
        <f t="shared" si="26"/>
        <v>47318.419999999925</v>
      </c>
      <c r="Y49" s="2"/>
      <c r="Z49" s="7">
        <f t="shared" si="27"/>
        <v>8.6552209315252815E-2</v>
      </c>
    </row>
    <row r="50" spans="1:26" s="24" customFormat="1" hidden="1" outlineLevel="2" x14ac:dyDescent="0.25">
      <c r="A50" s="26"/>
      <c r="B50" s="11" t="str">
        <f>CONCATENATE("          ", "6008", " - ", "STUDENT HOURLY-FICA EXEMPT")</f>
        <v xml:space="preserve">          6008 - STUDENT HOURLY-FICA EXEMPT</v>
      </c>
      <c r="C50" s="11"/>
      <c r="D50" s="6">
        <v>43117</v>
      </c>
      <c r="E50" s="2"/>
      <c r="F50" s="7">
        <f t="shared" si="20"/>
        <v>1.6963320789438179E-2</v>
      </c>
      <c r="G50" s="2"/>
      <c r="H50" s="6">
        <v>50317.85</v>
      </c>
      <c r="I50" s="2"/>
      <c r="J50" s="7">
        <f t="shared" si="21"/>
        <v>1.9663525277770003E-2</v>
      </c>
      <c r="K50" s="2"/>
      <c r="L50" s="6">
        <f t="shared" si="22"/>
        <v>-7200.8499999999985</v>
      </c>
      <c r="M50" s="2"/>
      <c r="N50" s="7">
        <f t="shared" si="23"/>
        <v>-0.14310726710302604</v>
      </c>
      <c r="O50" s="11"/>
      <c r="P50" s="6">
        <v>94397.47</v>
      </c>
      <c r="Q50" s="2"/>
      <c r="R50" s="7">
        <f t="shared" si="24"/>
        <v>1.5086762211444336E-2</v>
      </c>
      <c r="S50" s="2"/>
      <c r="T50" s="6">
        <v>97037.57</v>
      </c>
      <c r="U50" s="2"/>
      <c r="V50" s="7">
        <f t="shared" si="25"/>
        <v>1.5309719065394479E-2</v>
      </c>
      <c r="W50" s="2"/>
      <c r="X50" s="6">
        <f t="shared" si="26"/>
        <v>-2640.1000000000058</v>
      </c>
      <c r="Y50" s="2"/>
      <c r="Z50" s="7">
        <f t="shared" si="27"/>
        <v>-2.7206987973833287E-2</v>
      </c>
    </row>
    <row r="51" spans="1:26" s="27" customFormat="1" outlineLevel="1" collapsed="1" x14ac:dyDescent="0.25">
      <c r="A51" s="25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6811.09</v>
      </c>
      <c r="E51" s="1"/>
      <c r="F51" s="5">
        <f t="shared" ref="F51:F60" si="28">IF(D$12=0,0,D51/D$12)</f>
        <v>2.6796554629434904E-3</v>
      </c>
      <c r="G51" s="1"/>
      <c r="H51" s="1">
        <f>SUM(OSRRefH22_2x_0)</f>
        <v>4961.21</v>
      </c>
      <c r="I51" s="1"/>
      <c r="J51" s="5">
        <f t="shared" ref="J51:J60" si="29">IF(H$12=0,0,H51/H$12)</f>
        <v>1.9387727862642248E-3</v>
      </c>
      <c r="K51" s="1"/>
      <c r="L51" s="1">
        <f t="shared" ref="L51:L60" si="30">+D51-H51</f>
        <v>1849.88</v>
      </c>
      <c r="M51" s="1"/>
      <c r="N51" s="5">
        <f t="shared" ref="N51:N60" si="31">IF(H51=0,0,L51/H51)</f>
        <v>0.37286871549480877</v>
      </c>
      <c r="O51" s="13"/>
      <c r="P51" s="1">
        <f>SUM(OSRRefP22_2x_0)</f>
        <v>20330.580000000002</v>
      </c>
      <c r="Q51" s="1"/>
      <c r="R51" s="5">
        <f t="shared" ref="R51:R60" si="32">IF(P$12=0,0,P51/P$12)</f>
        <v>3.2492674441459714E-3</v>
      </c>
      <c r="S51" s="1"/>
      <c r="T51" s="1">
        <f>SUM(OSRRefT22_2x_0)</f>
        <v>20543.64</v>
      </c>
      <c r="U51" s="1"/>
      <c r="V51" s="5">
        <f t="shared" ref="V51:V60" si="33">IF(T$12=0,0,T51/T$12)</f>
        <v>3.2411916021866643E-3</v>
      </c>
      <c r="W51" s="1"/>
      <c r="X51" s="1">
        <f t="shared" ref="X51:X60" si="34">+P51-T51</f>
        <v>-213.05999999999767</v>
      </c>
      <c r="Y51" s="1"/>
      <c r="Z51" s="5">
        <f t="shared" ref="Z51:Z60" si="35">IF(T51=0,0,X51/T51)</f>
        <v>-1.0371092951395064E-2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6">
        <v>6811.09</v>
      </c>
      <c r="E52" s="2"/>
      <c r="F52" s="7">
        <f t="shared" si="28"/>
        <v>2.6796554629434904E-3</v>
      </c>
      <c r="G52" s="2"/>
      <c r="H52" s="6">
        <v>4961.21</v>
      </c>
      <c r="I52" s="2"/>
      <c r="J52" s="7">
        <f t="shared" si="29"/>
        <v>1.9387727862642248E-3</v>
      </c>
      <c r="K52" s="2"/>
      <c r="L52" s="6">
        <f t="shared" si="30"/>
        <v>1849.88</v>
      </c>
      <c r="M52" s="2"/>
      <c r="N52" s="7">
        <f t="shared" si="31"/>
        <v>0.37286871549480877</v>
      </c>
      <c r="O52" s="11"/>
      <c r="P52" s="6">
        <v>20330.580000000002</v>
      </c>
      <c r="Q52" s="2"/>
      <c r="R52" s="7">
        <f t="shared" si="32"/>
        <v>3.2492674441459714E-3</v>
      </c>
      <c r="S52" s="2"/>
      <c r="T52" s="6">
        <v>20543.64</v>
      </c>
      <c r="U52" s="2"/>
      <c r="V52" s="7">
        <f t="shared" si="33"/>
        <v>3.2411916021866643E-3</v>
      </c>
      <c r="W52" s="2"/>
      <c r="X52" s="6">
        <f t="shared" si="34"/>
        <v>-213.05999999999767</v>
      </c>
      <c r="Y52" s="2"/>
      <c r="Z52" s="7">
        <f t="shared" si="35"/>
        <v>-1.0371092951395064E-2</v>
      </c>
    </row>
    <row r="53" spans="1:26" s="27" customFormat="1" outlineLevel="1" collapsed="1" x14ac:dyDescent="0.25">
      <c r="A53" s="25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34.049999999999997</v>
      </c>
      <c r="E53" s="1"/>
      <c r="F53" s="5">
        <f t="shared" si="28"/>
        <v>1.3396133146563302E-5</v>
      </c>
      <c r="G53" s="1"/>
      <c r="H53" s="1">
        <f>SUM(OSRRefH22_3x_0)</f>
        <v>-891.92</v>
      </c>
      <c r="I53" s="1"/>
      <c r="J53" s="5">
        <f t="shared" si="29"/>
        <v>-3.4855009635245985E-4</v>
      </c>
      <c r="K53" s="1"/>
      <c r="L53" s="1">
        <f t="shared" si="30"/>
        <v>925.96999999999991</v>
      </c>
      <c r="M53" s="1"/>
      <c r="N53" s="5">
        <f t="shared" si="31"/>
        <v>-1.038176069602655</v>
      </c>
      <c r="O53" s="13"/>
      <c r="P53" s="1">
        <f>SUM(OSRRefP22_3x_0)</f>
        <v>-0.24</v>
      </c>
      <c r="Q53" s="1"/>
      <c r="R53" s="5">
        <f t="shared" si="32"/>
        <v>-3.8357203119391239E-8</v>
      </c>
      <c r="S53" s="1"/>
      <c r="T53" s="1">
        <f>SUM(OSRRefT22_3x_0)</f>
        <v>-362.79</v>
      </c>
      <c r="U53" s="1"/>
      <c r="V53" s="5">
        <f t="shared" si="33"/>
        <v>-5.7237758321178727E-5</v>
      </c>
      <c r="W53" s="1"/>
      <c r="X53" s="1">
        <f t="shared" si="34"/>
        <v>362.55</v>
      </c>
      <c r="Y53" s="1"/>
      <c r="Z53" s="5">
        <f t="shared" si="35"/>
        <v>-0.99933846026626971</v>
      </c>
    </row>
    <row r="54" spans="1:26" s="24" customFormat="1" hidden="1" outlineLevel="2" x14ac:dyDescent="0.25">
      <c r="A54" s="26"/>
      <c r="B54" s="11" t="str">
        <f>CONCATENATE("          ", "6272", " - ", "CASH (OVER/SHORT)")</f>
        <v xml:space="preserve">          6272 - CASH (OVER/SHORT)</v>
      </c>
      <c r="C54" s="11"/>
      <c r="D54" s="6">
        <v>34.049999999999997</v>
      </c>
      <c r="E54" s="2"/>
      <c r="F54" s="7">
        <f t="shared" si="28"/>
        <v>1.3396133146563302E-5</v>
      </c>
      <c r="G54" s="2"/>
      <c r="H54" s="6">
        <v>-891.92</v>
      </c>
      <c r="I54" s="2"/>
      <c r="J54" s="7">
        <f t="shared" si="29"/>
        <v>-3.4855009635245985E-4</v>
      </c>
      <c r="K54" s="2"/>
      <c r="L54" s="6">
        <f t="shared" si="30"/>
        <v>925.96999999999991</v>
      </c>
      <c r="M54" s="2"/>
      <c r="N54" s="7">
        <f t="shared" si="31"/>
        <v>-1.038176069602655</v>
      </c>
      <c r="O54" s="11"/>
      <c r="P54" s="6">
        <v>-0.24</v>
      </c>
      <c r="Q54" s="2"/>
      <c r="R54" s="7">
        <f t="shared" si="32"/>
        <v>-3.8357203119391239E-8</v>
      </c>
      <c r="S54" s="2"/>
      <c r="T54" s="6">
        <v>-362.79</v>
      </c>
      <c r="U54" s="2"/>
      <c r="V54" s="7">
        <f t="shared" si="33"/>
        <v>-5.7237758321178727E-5</v>
      </c>
      <c r="W54" s="2"/>
      <c r="X54" s="6">
        <f t="shared" si="34"/>
        <v>362.55</v>
      </c>
      <c r="Y54" s="2"/>
      <c r="Z54" s="7">
        <f t="shared" si="35"/>
        <v>-0.99933846026626971</v>
      </c>
    </row>
    <row r="55" spans="1:26" s="27" customFormat="1" outlineLevel="1" collapsed="1" x14ac:dyDescent="0.25">
      <c r="A55" s="25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29519.43</v>
      </c>
      <c r="E55" s="1"/>
      <c r="F55" s="5">
        <f t="shared" si="28"/>
        <v>1.1613692061399564E-2</v>
      </c>
      <c r="G55" s="1"/>
      <c r="H55" s="1">
        <f>SUM(OSRRefH22_4x_0)</f>
        <v>29306.9</v>
      </c>
      <c r="I55" s="1"/>
      <c r="J55" s="5">
        <f t="shared" si="29"/>
        <v>1.1452734347017565E-2</v>
      </c>
      <c r="K55" s="1"/>
      <c r="L55" s="1">
        <f t="shared" si="30"/>
        <v>212.52999999999884</v>
      </c>
      <c r="M55" s="1"/>
      <c r="N55" s="5">
        <f t="shared" si="31"/>
        <v>7.2518758381131688E-3</v>
      </c>
      <c r="O55" s="13"/>
      <c r="P55" s="1">
        <f>SUM(OSRRefP22_4x_0)</f>
        <v>64650.599999999991</v>
      </c>
      <c r="Q55" s="1"/>
      <c r="R55" s="5">
        <f t="shared" si="32"/>
        <v>1.0332567483293812E-2</v>
      </c>
      <c r="S55" s="1"/>
      <c r="T55" s="1">
        <f>SUM(OSRRefT22_4x_0)</f>
        <v>63340.530000000006</v>
      </c>
      <c r="U55" s="1"/>
      <c r="V55" s="5">
        <f t="shared" si="33"/>
        <v>9.9933017670701257E-3</v>
      </c>
      <c r="W55" s="1"/>
      <c r="X55" s="1">
        <f t="shared" si="34"/>
        <v>1310.0699999999852</v>
      </c>
      <c r="Y55" s="1"/>
      <c r="Z55" s="5">
        <f t="shared" si="35"/>
        <v>2.0682965551440523E-2</v>
      </c>
    </row>
    <row r="56" spans="1:26" s="24" customFormat="1" hidden="1" outlineLevel="2" x14ac:dyDescent="0.25">
      <c r="A56" s="26"/>
      <c r="B56" s="11" t="str">
        <f>CONCATENATE("          ", "6381", " - ", "BANK/CREDIT CARD FEES")</f>
        <v xml:space="preserve">          6381 - BANK/CREDIT CARD FEES</v>
      </c>
      <c r="C56" s="11"/>
      <c r="D56" s="6">
        <v>29519.43</v>
      </c>
      <c r="E56" s="2"/>
      <c r="F56" s="7">
        <f t="shared" si="28"/>
        <v>1.1613692061399564E-2</v>
      </c>
      <c r="G56" s="2"/>
      <c r="H56" s="6">
        <v>29306.9</v>
      </c>
      <c r="I56" s="2"/>
      <c r="J56" s="7">
        <f t="shared" si="29"/>
        <v>1.1452734347017565E-2</v>
      </c>
      <c r="K56" s="2"/>
      <c r="L56" s="6">
        <f t="shared" si="30"/>
        <v>212.52999999999884</v>
      </c>
      <c r="M56" s="2"/>
      <c r="N56" s="7">
        <f t="shared" si="31"/>
        <v>7.2518758381131688E-3</v>
      </c>
      <c r="O56" s="11"/>
      <c r="P56" s="6">
        <v>64650.599999999991</v>
      </c>
      <c r="Q56" s="2"/>
      <c r="R56" s="7">
        <f t="shared" si="32"/>
        <v>1.0332567483293812E-2</v>
      </c>
      <c r="S56" s="2"/>
      <c r="T56" s="6">
        <v>63340.530000000006</v>
      </c>
      <c r="U56" s="2"/>
      <c r="V56" s="7">
        <f t="shared" si="33"/>
        <v>9.9933017670701257E-3</v>
      </c>
      <c r="W56" s="2"/>
      <c r="X56" s="6">
        <f t="shared" si="34"/>
        <v>1310.0699999999852</v>
      </c>
      <c r="Y56" s="2"/>
      <c r="Z56" s="7">
        <f t="shared" si="35"/>
        <v>2.0682965551440523E-2</v>
      </c>
    </row>
    <row r="57" spans="1:26" s="27" customFormat="1" outlineLevel="1" collapsed="1" x14ac:dyDescent="0.25">
      <c r="A57" s="25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39571.050000000003</v>
      </c>
      <c r="E57" s="1"/>
      <c r="F57" s="5">
        <f t="shared" si="28"/>
        <v>1.5568254171786016E-2</v>
      </c>
      <c r="G57" s="1"/>
      <c r="H57" s="1">
        <f>SUM(OSRRefH22_5x_0)</f>
        <v>35444.590000000004</v>
      </c>
      <c r="I57" s="1"/>
      <c r="J57" s="5">
        <f t="shared" si="29"/>
        <v>1.3851259372671806E-2</v>
      </c>
      <c r="K57" s="1"/>
      <c r="L57" s="1">
        <f t="shared" si="30"/>
        <v>4126.4599999999991</v>
      </c>
      <c r="M57" s="1"/>
      <c r="N57" s="5">
        <f t="shared" si="31"/>
        <v>0.11642002347890042</v>
      </c>
      <c r="O57" s="13"/>
      <c r="P57" s="1">
        <f>SUM(OSRRefP22_5x_0)</f>
        <v>158284.20000000001</v>
      </c>
      <c r="Q57" s="1"/>
      <c r="R57" s="5">
        <f t="shared" si="32"/>
        <v>2.5297246708293114E-2</v>
      </c>
      <c r="S57" s="1"/>
      <c r="T57" s="1">
        <f>SUM(OSRRefT22_5x_0)</f>
        <v>160752.22</v>
      </c>
      <c r="U57" s="1"/>
      <c r="V57" s="5">
        <f t="shared" si="33"/>
        <v>2.5362046136753913E-2</v>
      </c>
      <c r="W57" s="1"/>
      <c r="X57" s="1">
        <f t="shared" si="34"/>
        <v>-2468.0199999999895</v>
      </c>
      <c r="Y57" s="1"/>
      <c r="Z57" s="5">
        <f t="shared" si="35"/>
        <v>-1.5352945047975011E-2</v>
      </c>
    </row>
    <row r="58" spans="1:26" s="24" customFormat="1" hidden="1" outlineLevel="2" x14ac:dyDescent="0.25">
      <c r="A58" s="26"/>
      <c r="B58" s="11" t="str">
        <f>CONCATENATE("          ", "6321", " - ", "BUILDING DEPRECIATION")</f>
        <v xml:space="preserve">          6321 - BUILDING DEPRECIATION</v>
      </c>
      <c r="C58" s="11"/>
      <c r="D58" s="6">
        <v>24042.959999999999</v>
      </c>
      <c r="E58" s="2"/>
      <c r="F58" s="7">
        <f t="shared" si="28"/>
        <v>9.4591099382524413E-3</v>
      </c>
      <c r="G58" s="2"/>
      <c r="H58" s="6">
        <v>21516.510000000002</v>
      </c>
      <c r="I58" s="2"/>
      <c r="J58" s="7">
        <f t="shared" si="29"/>
        <v>8.4083568410492724E-3</v>
      </c>
      <c r="K58" s="2"/>
      <c r="L58" s="6">
        <f t="shared" si="30"/>
        <v>2526.4499999999971</v>
      </c>
      <c r="M58" s="2"/>
      <c r="N58" s="7">
        <f t="shared" si="31"/>
        <v>0.11741913535234091</v>
      </c>
      <c r="O58" s="11"/>
      <c r="P58" s="6">
        <v>96171.839999999997</v>
      </c>
      <c r="Q58" s="2"/>
      <c r="R58" s="7">
        <f t="shared" si="32"/>
        <v>1.5370345005189979E-2</v>
      </c>
      <c r="S58" s="2"/>
      <c r="T58" s="6">
        <v>105039.90000000001</v>
      </c>
      <c r="U58" s="2"/>
      <c r="V58" s="7">
        <f t="shared" si="33"/>
        <v>1.657225505190546E-2</v>
      </c>
      <c r="W58" s="2"/>
      <c r="X58" s="6">
        <f t="shared" si="34"/>
        <v>-8868.0600000000122</v>
      </c>
      <c r="Y58" s="2"/>
      <c r="Z58" s="7">
        <f t="shared" si="35"/>
        <v>-8.4425632545347157E-2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15103.84</v>
      </c>
      <c r="E59" s="2"/>
      <c r="F59" s="7">
        <f t="shared" si="28"/>
        <v>5.9422335290569362E-3</v>
      </c>
      <c r="G59" s="2"/>
      <c r="H59" s="6">
        <v>13503.83</v>
      </c>
      <c r="I59" s="2"/>
      <c r="J59" s="7">
        <f t="shared" si="29"/>
        <v>5.2771114535241255E-3</v>
      </c>
      <c r="K59" s="2"/>
      <c r="L59" s="6">
        <f t="shared" si="30"/>
        <v>1600.0100000000002</v>
      </c>
      <c r="M59" s="2"/>
      <c r="N59" s="7">
        <f t="shared" si="31"/>
        <v>0.11848564444309505</v>
      </c>
      <c r="O59" s="11"/>
      <c r="P59" s="6">
        <v>60415.360000000001</v>
      </c>
      <c r="Q59" s="2"/>
      <c r="R59" s="7">
        <f t="shared" si="32"/>
        <v>9.6556843127131031E-3</v>
      </c>
      <c r="S59" s="2"/>
      <c r="T59" s="6">
        <v>54015.32</v>
      </c>
      <c r="U59" s="2"/>
      <c r="V59" s="7">
        <f t="shared" si="33"/>
        <v>8.522053617247255E-3</v>
      </c>
      <c r="W59" s="2"/>
      <c r="X59" s="6">
        <f t="shared" si="34"/>
        <v>6400.0400000000009</v>
      </c>
      <c r="Y59" s="2"/>
      <c r="Z59" s="7">
        <f t="shared" si="35"/>
        <v>0.11848564444309505</v>
      </c>
    </row>
    <row r="60" spans="1:26" s="24" customFormat="1" hidden="1" outlineLevel="2" x14ac:dyDescent="0.25">
      <c r="A60" s="26"/>
      <c r="B60" s="11" t="str">
        <f>CONCATENATE("          ", "6326", " - ", "VEHICLES DEPRECIATION EXPENSE")</f>
        <v xml:space="preserve">          6326 - VEHICLES DEPRECIATION EXPENSE</v>
      </c>
      <c r="C60" s="11"/>
      <c r="D60" s="6">
        <v>424.25</v>
      </c>
      <c r="E60" s="2"/>
      <c r="F60" s="7">
        <f t="shared" si="28"/>
        <v>1.6691070447663673E-4</v>
      </c>
      <c r="G60" s="2"/>
      <c r="H60" s="6">
        <v>424.25</v>
      </c>
      <c r="I60" s="2"/>
      <c r="J60" s="7">
        <f t="shared" si="29"/>
        <v>1.6579107809840693E-4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1697</v>
      </c>
      <c r="Q60" s="2"/>
      <c r="R60" s="7">
        <f t="shared" si="32"/>
        <v>2.7121739039002887E-4</v>
      </c>
      <c r="S60" s="2"/>
      <c r="T60" s="6">
        <v>1697</v>
      </c>
      <c r="U60" s="2"/>
      <c r="V60" s="7">
        <f t="shared" si="33"/>
        <v>2.6773746760120259E-4</v>
      </c>
      <c r="W60" s="2"/>
      <c r="X60" s="6">
        <f t="shared" si="34"/>
        <v>0</v>
      </c>
      <c r="Y60" s="2"/>
      <c r="Z60" s="7">
        <f t="shared" si="35"/>
        <v>0</v>
      </c>
    </row>
    <row r="61" spans="1:26" s="27" customFormat="1" outlineLevel="1" collapsed="1" x14ac:dyDescent="0.25">
      <c r="A61" s="25"/>
      <c r="B61" s="13" t="str">
        <f>CONCATENATE("     ","Donations                                         ")</f>
        <v xml:space="preserve">     Donations                                         </v>
      </c>
      <c r="C61" s="13"/>
      <c r="D61" s="1">
        <f>SUM(OSRRefD22_6x_0)</f>
        <v>23682.68</v>
      </c>
      <c r="E61" s="1"/>
      <c r="F61" s="5">
        <f t="shared" ref="F61:F71" si="36">IF(D$12=0,0,D61/D$12)</f>
        <v>9.3173666533759702E-3</v>
      </c>
      <c r="G61" s="1"/>
      <c r="H61" s="1">
        <f>SUM(OSRRefH22_6x_0)</f>
        <v>21982.28</v>
      </c>
      <c r="I61" s="1"/>
      <c r="J61" s="5">
        <f t="shared" ref="J61:J71" si="37">IF(H$12=0,0,H61/H$12)</f>
        <v>8.5903733653766613E-3</v>
      </c>
      <c r="K61" s="1"/>
      <c r="L61" s="1">
        <f t="shared" ref="L61:L71" si="38">+D61-H61</f>
        <v>1700.4000000000015</v>
      </c>
      <c r="M61" s="1"/>
      <c r="N61" s="5">
        <f t="shared" ref="N61:N71" si="39">IF(H61=0,0,L61/H61)</f>
        <v>7.7353213588399458E-2</v>
      </c>
      <c r="O61" s="13"/>
      <c r="P61" s="1">
        <f>SUM(OSRRefP22_6x_0)</f>
        <v>50279.43</v>
      </c>
      <c r="Q61" s="1"/>
      <c r="R61" s="5">
        <f t="shared" ref="R61:R71" si="40">IF(P$12=0,0,P61/P$12)</f>
        <v>8.035742955155056E-3</v>
      </c>
      <c r="S61" s="1"/>
      <c r="T61" s="1">
        <f>SUM(OSRRefT22_6x_0)</f>
        <v>45215.57</v>
      </c>
      <c r="U61" s="1"/>
      <c r="V61" s="5">
        <f t="shared" ref="V61:V71" si="41">IF(T$12=0,0,T61/T$12)</f>
        <v>7.1337078420417848E-3</v>
      </c>
      <c r="W61" s="1"/>
      <c r="X61" s="1">
        <f t="shared" ref="X61:X71" si="42">+P61-T61</f>
        <v>5063.8600000000006</v>
      </c>
      <c r="Y61" s="1"/>
      <c r="Z61" s="5">
        <f t="shared" ref="Z61:Z71" si="43">IF(T61=0,0,X61/T61)</f>
        <v>0.11199372251638098</v>
      </c>
    </row>
    <row r="62" spans="1:26" s="24" customFormat="1" hidden="1" outlineLevel="2" x14ac:dyDescent="0.25">
      <c r="A62" s="26"/>
      <c r="B62" s="11" t="str">
        <f>CONCATENATE("          ", "6399", " - ", "DONATION-ON CAMPUS")</f>
        <v xml:space="preserve">          6399 - DONATION-ON CAMPUS</v>
      </c>
      <c r="C62" s="11"/>
      <c r="D62" s="6">
        <v>23682.68</v>
      </c>
      <c r="E62" s="2"/>
      <c r="F62" s="7">
        <f t="shared" si="36"/>
        <v>9.3173666533759702E-3</v>
      </c>
      <c r="G62" s="2"/>
      <c r="H62" s="6">
        <v>21982.28</v>
      </c>
      <c r="I62" s="2"/>
      <c r="J62" s="7">
        <f t="shared" si="37"/>
        <v>8.5903733653766613E-3</v>
      </c>
      <c r="K62" s="2"/>
      <c r="L62" s="6">
        <f t="shared" si="38"/>
        <v>1700.4000000000015</v>
      </c>
      <c r="M62" s="2"/>
      <c r="N62" s="7">
        <f t="shared" si="39"/>
        <v>7.7353213588399458E-2</v>
      </c>
      <c r="O62" s="11"/>
      <c r="P62" s="6">
        <v>50279.43</v>
      </c>
      <c r="Q62" s="2"/>
      <c r="R62" s="7">
        <f t="shared" si="40"/>
        <v>8.035742955155056E-3</v>
      </c>
      <c r="S62" s="2"/>
      <c r="T62" s="6">
        <v>45215.57</v>
      </c>
      <c r="U62" s="2"/>
      <c r="V62" s="7">
        <f t="shared" si="41"/>
        <v>7.1337078420417848E-3</v>
      </c>
      <c r="W62" s="2"/>
      <c r="X62" s="6">
        <f t="shared" si="42"/>
        <v>5063.8600000000006</v>
      </c>
      <c r="Y62" s="2"/>
      <c r="Z62" s="7">
        <f t="shared" si="43"/>
        <v>0.11199372251638098</v>
      </c>
    </row>
    <row r="63" spans="1:26" s="27" customFormat="1" outlineLevel="1" collapsed="1" x14ac:dyDescent="0.25">
      <c r="A63" s="25"/>
      <c r="B63" s="13" t="str">
        <f>CONCATENATE("     ","Employees' Appreciation                           ")</f>
        <v xml:space="preserve">     Employees' Appreciation                           </v>
      </c>
      <c r="C63" s="13"/>
      <c r="D63" s="1">
        <f>SUM(OSRRefD22_7x_0)</f>
        <v>67.64</v>
      </c>
      <c r="E63" s="1"/>
      <c r="F63" s="5">
        <f t="shared" si="36"/>
        <v>2.6611290632409452E-5</v>
      </c>
      <c r="G63" s="1"/>
      <c r="H63" s="1">
        <f>SUM(OSRRefH22_7x_0)</f>
        <v>145.63</v>
      </c>
      <c r="I63" s="1"/>
      <c r="J63" s="5">
        <f t="shared" si="37"/>
        <v>5.6910205547368293E-5</v>
      </c>
      <c r="K63" s="1"/>
      <c r="L63" s="1">
        <f t="shared" si="38"/>
        <v>-77.989999999999995</v>
      </c>
      <c r="M63" s="1"/>
      <c r="N63" s="5">
        <f t="shared" si="39"/>
        <v>-0.53553526059191103</v>
      </c>
      <c r="O63" s="13"/>
      <c r="P63" s="1">
        <f>SUM(OSRRefP22_7x_0)</f>
        <v>1335.5</v>
      </c>
      <c r="Q63" s="1"/>
      <c r="R63" s="5">
        <f t="shared" si="40"/>
        <v>2.1344185319144583E-4</v>
      </c>
      <c r="S63" s="1"/>
      <c r="T63" s="1">
        <f>SUM(OSRRefT22_7x_0)</f>
        <v>980.95</v>
      </c>
      <c r="U63" s="1"/>
      <c r="V63" s="5">
        <f t="shared" si="41"/>
        <v>1.5476550904148479E-4</v>
      </c>
      <c r="W63" s="1"/>
      <c r="X63" s="1">
        <f t="shared" si="42"/>
        <v>354.54999999999995</v>
      </c>
      <c r="Y63" s="1"/>
      <c r="Z63" s="5">
        <f t="shared" si="43"/>
        <v>0.36143534328966814</v>
      </c>
    </row>
    <row r="64" spans="1:26" s="24" customFormat="1" hidden="1" outlineLevel="2" x14ac:dyDescent="0.25">
      <c r="A64" s="26"/>
      <c r="B64" s="11" t="str">
        <f>CONCATENATE("          ", "6277", " - ", "EMPLOYEE APPRECIATION")</f>
        <v xml:space="preserve">          6277 - EMPLOYEE APPRECIATION</v>
      </c>
      <c r="C64" s="11"/>
      <c r="D64" s="6">
        <v>67.64</v>
      </c>
      <c r="E64" s="2"/>
      <c r="F64" s="7">
        <f t="shared" si="36"/>
        <v>2.6611290632409452E-5</v>
      </c>
      <c r="G64" s="2"/>
      <c r="H64" s="6">
        <v>145.63</v>
      </c>
      <c r="I64" s="2"/>
      <c r="J64" s="7">
        <f t="shared" si="37"/>
        <v>5.6910205547368293E-5</v>
      </c>
      <c r="K64" s="2"/>
      <c r="L64" s="6">
        <f t="shared" si="38"/>
        <v>-77.989999999999995</v>
      </c>
      <c r="M64" s="2"/>
      <c r="N64" s="7">
        <f t="shared" si="39"/>
        <v>-0.53553526059191103</v>
      </c>
      <c r="O64" s="11"/>
      <c r="P64" s="6">
        <v>1335.5</v>
      </c>
      <c r="Q64" s="2"/>
      <c r="R64" s="7">
        <f t="shared" si="40"/>
        <v>2.1344185319144583E-4</v>
      </c>
      <c r="S64" s="2"/>
      <c r="T64" s="6">
        <v>980.95</v>
      </c>
      <c r="U64" s="2"/>
      <c r="V64" s="7">
        <f t="shared" si="41"/>
        <v>1.5476550904148479E-4</v>
      </c>
      <c r="W64" s="2"/>
      <c r="X64" s="6">
        <f t="shared" si="42"/>
        <v>354.54999999999995</v>
      </c>
      <c r="Y64" s="2"/>
      <c r="Z64" s="7">
        <f t="shared" si="43"/>
        <v>0.36143534328966814</v>
      </c>
    </row>
    <row r="65" spans="1:26" s="27" customFormat="1" outlineLevel="1" collapsed="1" x14ac:dyDescent="0.25">
      <c r="A65" s="25"/>
      <c r="B65" s="13" t="str">
        <f>CONCATENATE("     ","Equipment Rental                                  ")</f>
        <v xml:space="preserve">     Equipment Rental                                  </v>
      </c>
      <c r="C65" s="13"/>
      <c r="D65" s="1">
        <f>SUM(OSRRefD22_8x_0)</f>
        <v>7439</v>
      </c>
      <c r="E65" s="1"/>
      <c r="F65" s="5">
        <f t="shared" si="36"/>
        <v>2.9266911740759003E-3</v>
      </c>
      <c r="G65" s="1"/>
      <c r="H65" s="1">
        <f>SUM(OSRRefH22_8x_0)</f>
        <v>2004.21</v>
      </c>
      <c r="I65" s="1"/>
      <c r="J65" s="5">
        <f t="shared" si="37"/>
        <v>7.8321776460956545E-4</v>
      </c>
      <c r="K65" s="1"/>
      <c r="L65" s="1">
        <f t="shared" si="38"/>
        <v>5434.79</v>
      </c>
      <c r="M65" s="1"/>
      <c r="N65" s="5">
        <f t="shared" si="39"/>
        <v>2.7116868990774421</v>
      </c>
      <c r="O65" s="13"/>
      <c r="P65" s="1">
        <f>SUM(OSRRefP22_8x_0)</f>
        <v>15053.030000000002</v>
      </c>
      <c r="Q65" s="1"/>
      <c r="R65" s="5">
        <f t="shared" si="40"/>
        <v>2.4058005386345415E-3</v>
      </c>
      <c r="S65" s="1"/>
      <c r="T65" s="1">
        <f>SUM(OSRRefT22_8x_0)</f>
        <v>7809.76</v>
      </c>
      <c r="U65" s="1"/>
      <c r="V65" s="5">
        <f t="shared" si="41"/>
        <v>1.2321540158946188E-3</v>
      </c>
      <c r="W65" s="1"/>
      <c r="X65" s="1">
        <f t="shared" si="42"/>
        <v>7243.2700000000023</v>
      </c>
      <c r="Y65" s="1"/>
      <c r="Z65" s="5">
        <f t="shared" si="43"/>
        <v>0.92746384011800642</v>
      </c>
    </row>
    <row r="66" spans="1:26" s="24" customFormat="1" hidden="1" outlineLevel="2" x14ac:dyDescent="0.25">
      <c r="A66" s="26"/>
      <c r="B66" s="11" t="str">
        <f>CONCATENATE("          ", "6351", " - ", "EQUIPMENT RENTAL")</f>
        <v xml:space="preserve">          6351 - EQUIPMENT RENTAL</v>
      </c>
      <c r="C66" s="11"/>
      <c r="D66" s="6">
        <v>7439</v>
      </c>
      <c r="E66" s="2"/>
      <c r="F66" s="7">
        <f t="shared" si="36"/>
        <v>2.9266911740759003E-3</v>
      </c>
      <c r="G66" s="2"/>
      <c r="H66" s="6">
        <v>2004.21</v>
      </c>
      <c r="I66" s="2"/>
      <c r="J66" s="7">
        <f t="shared" si="37"/>
        <v>7.8321776460956545E-4</v>
      </c>
      <c r="K66" s="2"/>
      <c r="L66" s="6">
        <f t="shared" si="38"/>
        <v>5434.79</v>
      </c>
      <c r="M66" s="2"/>
      <c r="N66" s="7">
        <f t="shared" si="39"/>
        <v>2.7116868990774421</v>
      </c>
      <c r="O66" s="11"/>
      <c r="P66" s="6">
        <v>15053.030000000002</v>
      </c>
      <c r="Q66" s="2"/>
      <c r="R66" s="7">
        <f t="shared" si="40"/>
        <v>2.4058005386345415E-3</v>
      </c>
      <c r="S66" s="2"/>
      <c r="T66" s="6">
        <v>7809.76</v>
      </c>
      <c r="U66" s="2"/>
      <c r="V66" s="7">
        <f t="shared" si="41"/>
        <v>1.2321540158946188E-3</v>
      </c>
      <c r="W66" s="2"/>
      <c r="X66" s="6">
        <f t="shared" si="42"/>
        <v>7243.2700000000023</v>
      </c>
      <c r="Y66" s="2"/>
      <c r="Z66" s="7">
        <f t="shared" si="43"/>
        <v>0.92746384011800642</v>
      </c>
    </row>
    <row r="67" spans="1:26" s="27" customFormat="1" outlineLevel="1" collapsed="1" x14ac:dyDescent="0.25">
      <c r="A67" s="25"/>
      <c r="B67" s="13" t="str">
        <f>CONCATENATE("     ","Freight out/Postage                               ")</f>
        <v xml:space="preserve">     Freight out/Postage                               </v>
      </c>
      <c r="C67" s="13"/>
      <c r="D67" s="1">
        <f>SUM(OSRRefD22_9x_0)</f>
        <v>0</v>
      </c>
      <c r="E67" s="1"/>
      <c r="F67" s="5">
        <f t="shared" si="36"/>
        <v>0</v>
      </c>
      <c r="G67" s="1"/>
      <c r="H67" s="1">
        <f>SUM(OSRRefH22_9x_0)</f>
        <v>0</v>
      </c>
      <c r="I67" s="1"/>
      <c r="J67" s="5">
        <f t="shared" si="37"/>
        <v>0</v>
      </c>
      <c r="K67" s="1"/>
      <c r="L67" s="1">
        <f t="shared" si="38"/>
        <v>0</v>
      </c>
      <c r="M67" s="1"/>
      <c r="N67" s="5">
        <f t="shared" si="39"/>
        <v>0</v>
      </c>
      <c r="O67" s="13"/>
      <c r="P67" s="1">
        <f>SUM(OSRRefP22_9x_0)</f>
        <v>0</v>
      </c>
      <c r="Q67" s="1"/>
      <c r="R67" s="5">
        <f t="shared" si="40"/>
        <v>0</v>
      </c>
      <c r="S67" s="1"/>
      <c r="T67" s="1">
        <f>SUM(OSRRefT22_9x_0)</f>
        <v>3.7</v>
      </c>
      <c r="U67" s="1"/>
      <c r="V67" s="5">
        <f t="shared" si="41"/>
        <v>5.837528757362697E-7</v>
      </c>
      <c r="W67" s="1"/>
      <c r="X67" s="1">
        <f t="shared" si="42"/>
        <v>-3.7</v>
      </c>
      <c r="Y67" s="1"/>
      <c r="Z67" s="5">
        <f t="shared" si="43"/>
        <v>-1</v>
      </c>
    </row>
    <row r="68" spans="1:26" s="24" customFormat="1" hidden="1" outlineLevel="2" x14ac:dyDescent="0.25">
      <c r="A68" s="26"/>
      <c r="B68" s="11" t="str">
        <f>CONCATENATE("          ", "6307", " - ", "POSTAGE")</f>
        <v xml:space="preserve">          6307 - POSTAGE</v>
      </c>
      <c r="C68" s="11"/>
      <c r="D68" s="6"/>
      <c r="E68" s="2"/>
      <c r="F68" s="7">
        <f t="shared" si="36"/>
        <v>0</v>
      </c>
      <c r="G68" s="2"/>
      <c r="H68" s="6"/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/>
      <c r="Q68" s="2"/>
      <c r="R68" s="7">
        <f t="shared" si="40"/>
        <v>0</v>
      </c>
      <c r="S68" s="2"/>
      <c r="T68" s="6">
        <v>3.7</v>
      </c>
      <c r="U68" s="2"/>
      <c r="V68" s="7">
        <f t="shared" si="41"/>
        <v>5.837528757362697E-7</v>
      </c>
      <c r="W68" s="2"/>
      <c r="X68" s="6">
        <f t="shared" si="42"/>
        <v>-3.7</v>
      </c>
      <c r="Y68" s="2"/>
      <c r="Z68" s="7">
        <f t="shared" si="43"/>
        <v>-1</v>
      </c>
    </row>
    <row r="69" spans="1:26" s="27" customFormat="1" outlineLevel="1" collapsed="1" x14ac:dyDescent="0.25">
      <c r="A69" s="25"/>
      <c r="B69" s="13" t="str">
        <f>CONCATENATE("     ","General                                           ")</f>
        <v xml:space="preserve">     General                                           </v>
      </c>
      <c r="C69" s="13"/>
      <c r="D69" s="1">
        <f>SUM(OSRRefD22_10x_0)</f>
        <v>10235.879999999999</v>
      </c>
      <c r="E69" s="1"/>
      <c r="F69" s="5">
        <f t="shared" si="36"/>
        <v>4.0270546652641515E-3</v>
      </c>
      <c r="G69" s="1"/>
      <c r="H69" s="1">
        <f>SUM(OSRRefH22_10x_0)</f>
        <v>4043.08</v>
      </c>
      <c r="I69" s="1"/>
      <c r="J69" s="5">
        <f t="shared" si="37"/>
        <v>1.5799801815865812E-3</v>
      </c>
      <c r="K69" s="1"/>
      <c r="L69" s="1">
        <f t="shared" si="38"/>
        <v>6192.7999999999993</v>
      </c>
      <c r="M69" s="1"/>
      <c r="N69" s="5">
        <f t="shared" si="39"/>
        <v>1.5317035527370222</v>
      </c>
      <c r="O69" s="13"/>
      <c r="P69" s="1">
        <f>SUM(OSRRefP22_10x_0)</f>
        <v>45948.87</v>
      </c>
      <c r="Q69" s="1"/>
      <c r="R69" s="5">
        <f t="shared" si="40"/>
        <v>7.3436255820687607E-3</v>
      </c>
      <c r="S69" s="1"/>
      <c r="T69" s="1">
        <f>SUM(OSRRefT22_10x_0)</f>
        <v>32847.289999999994</v>
      </c>
      <c r="U69" s="1"/>
      <c r="V69" s="5">
        <f t="shared" si="41"/>
        <v>5.1823513507143811E-3</v>
      </c>
      <c r="W69" s="1"/>
      <c r="X69" s="1">
        <f t="shared" si="42"/>
        <v>13101.580000000009</v>
      </c>
      <c r="Y69" s="1"/>
      <c r="Z69" s="5">
        <f t="shared" si="43"/>
        <v>0.3988633461086139</v>
      </c>
    </row>
    <row r="70" spans="1:26" s="24" customFormat="1" hidden="1" outlineLevel="2" x14ac:dyDescent="0.25">
      <c r="A70" s="26"/>
      <c r="B70" s="11" t="str">
        <f>CONCATENATE("          ", "6269", " - ", "ENTERTAINMENT")</f>
        <v xml:space="preserve">          6269 - ENTERTAINMENT</v>
      </c>
      <c r="C70" s="11"/>
      <c r="D70" s="6">
        <v>1850</v>
      </c>
      <c r="E70" s="2"/>
      <c r="F70" s="7">
        <f t="shared" si="36"/>
        <v>7.2783689636247019E-4</v>
      </c>
      <c r="G70" s="2"/>
      <c r="H70" s="6">
        <v>960</v>
      </c>
      <c r="I70" s="2"/>
      <c r="J70" s="7">
        <f t="shared" si="37"/>
        <v>3.7515482610364322E-4</v>
      </c>
      <c r="K70" s="2"/>
      <c r="L70" s="6">
        <f t="shared" si="38"/>
        <v>890</v>
      </c>
      <c r="M70" s="2"/>
      <c r="N70" s="7">
        <f t="shared" si="39"/>
        <v>0.92708333333333337</v>
      </c>
      <c r="O70" s="11"/>
      <c r="P70" s="6">
        <v>5500</v>
      </c>
      <c r="Q70" s="2"/>
      <c r="R70" s="7">
        <f t="shared" si="40"/>
        <v>8.7901923815271584E-4</v>
      </c>
      <c r="S70" s="2"/>
      <c r="T70" s="6">
        <v>4060</v>
      </c>
      <c r="U70" s="2"/>
      <c r="V70" s="7">
        <f t="shared" si="41"/>
        <v>6.4055045283493376E-4</v>
      </c>
      <c r="W70" s="2"/>
      <c r="X70" s="6">
        <f t="shared" si="42"/>
        <v>1440</v>
      </c>
      <c r="Y70" s="2"/>
      <c r="Z70" s="7">
        <f t="shared" si="43"/>
        <v>0.35467980295566504</v>
      </c>
    </row>
    <row r="71" spans="1:26" s="24" customFormat="1" hidden="1" outlineLevel="2" x14ac:dyDescent="0.25">
      <c r="A71" s="26"/>
      <c r="B71" s="11" t="str">
        <f>CONCATENATE("          ", "6279", " - ", "GENERAL EXPENSE")</f>
        <v xml:space="preserve">          6279 - GENERAL EXPENSE</v>
      </c>
      <c r="C71" s="11"/>
      <c r="D71" s="6">
        <v>8385.8799999999992</v>
      </c>
      <c r="E71" s="2"/>
      <c r="F71" s="7">
        <f t="shared" si="36"/>
        <v>3.2992177689016816E-3</v>
      </c>
      <c r="G71" s="2"/>
      <c r="H71" s="6">
        <v>3083.08</v>
      </c>
      <c r="I71" s="2"/>
      <c r="J71" s="7">
        <f t="shared" si="37"/>
        <v>1.2048253554829379E-3</v>
      </c>
      <c r="K71" s="2"/>
      <c r="L71" s="6">
        <f t="shared" si="38"/>
        <v>5302.7999999999993</v>
      </c>
      <c r="M71" s="2"/>
      <c r="N71" s="7">
        <f t="shared" si="39"/>
        <v>1.7199683433449666</v>
      </c>
      <c r="O71" s="11"/>
      <c r="P71" s="6">
        <v>40448.870000000003</v>
      </c>
      <c r="Q71" s="2"/>
      <c r="R71" s="7">
        <f t="shared" si="40"/>
        <v>6.4646063439160444E-3</v>
      </c>
      <c r="S71" s="2"/>
      <c r="T71" s="6">
        <v>28787.289999999997</v>
      </c>
      <c r="U71" s="2"/>
      <c r="V71" s="7">
        <f t="shared" si="41"/>
        <v>4.5418008978794474E-3</v>
      </c>
      <c r="W71" s="2"/>
      <c r="X71" s="6">
        <f t="shared" si="42"/>
        <v>11661.580000000005</v>
      </c>
      <c r="Y71" s="2"/>
      <c r="Z71" s="7">
        <f t="shared" si="43"/>
        <v>0.40509474841153881</v>
      </c>
    </row>
    <row r="72" spans="1:26" s="27" customFormat="1" outlineLevel="1" collapsed="1" x14ac:dyDescent="0.25">
      <c r="A72" s="25"/>
      <c r="B72" s="13" t="str">
        <f>CONCATENATE("     ","Insurance                                         ")</f>
        <v xml:space="preserve">     Insurance                                         </v>
      </c>
      <c r="C72" s="13"/>
      <c r="D72" s="1">
        <f>SUM(OSRRefD22_11x_0)</f>
        <v>4246.03</v>
      </c>
      <c r="E72" s="1"/>
      <c r="F72" s="5">
        <f t="shared" ref="F72:F85" si="44">IF(D$12=0,0,D72/D$12)</f>
        <v>1.6704958362496968E-3</v>
      </c>
      <c r="G72" s="1"/>
      <c r="H72" s="1">
        <f>SUM(OSRRefH22_11x_0)</f>
        <v>3998.11</v>
      </c>
      <c r="I72" s="1"/>
      <c r="J72" s="5">
        <f t="shared" ref="J72:J85" si="45">IF(H$12=0,0,H72/H$12)</f>
        <v>1.5624065227012886E-3</v>
      </c>
      <c r="K72" s="1"/>
      <c r="L72" s="1">
        <f t="shared" ref="L72:L85" si="46">+D72-H72</f>
        <v>247.91999999999962</v>
      </c>
      <c r="M72" s="1"/>
      <c r="N72" s="5">
        <f t="shared" ref="N72:N85" si="47">IF(H72=0,0,L72/H72)</f>
        <v>6.2009299393963553E-2</v>
      </c>
      <c r="O72" s="13"/>
      <c r="P72" s="1">
        <f>SUM(OSRRefP22_11x_0)</f>
        <v>16984.12</v>
      </c>
      <c r="Q72" s="1"/>
      <c r="R72" s="5">
        <f t="shared" ref="R72:R85" si="48">IF(P$12=0,0,P72/P$12)</f>
        <v>2.7144305860171461E-3</v>
      </c>
      <c r="S72" s="1"/>
      <c r="T72" s="1">
        <f>SUM(OSRRefT22_11x_0)</f>
        <v>20580.439999999999</v>
      </c>
      <c r="U72" s="1"/>
      <c r="V72" s="5">
        <f t="shared" ref="V72:V85" si="49">IF(T$12=0,0,T72/T$12)</f>
        <v>3.2469975767345279E-3</v>
      </c>
      <c r="W72" s="1"/>
      <c r="X72" s="1">
        <f t="shared" ref="X72:X85" si="50">+P72-T72</f>
        <v>-3596.3199999999997</v>
      </c>
      <c r="Y72" s="1"/>
      <c r="Z72" s="5">
        <f t="shared" ref="Z72:Z85" si="51">IF(T72=0,0,X72/T72)</f>
        <v>-0.17474456328436128</v>
      </c>
    </row>
    <row r="73" spans="1:26" s="24" customFormat="1" hidden="1" outlineLevel="2" x14ac:dyDescent="0.25">
      <c r="A73" s="26"/>
      <c r="B73" s="11" t="str">
        <f>CONCATENATE("          ", "6314", " - ", "LIABILITY INSURANCE")</f>
        <v xml:space="preserve">          6314 - LIABILITY INSURANCE</v>
      </c>
      <c r="C73" s="11"/>
      <c r="D73" s="6">
        <v>4246.03</v>
      </c>
      <c r="E73" s="2"/>
      <c r="F73" s="7">
        <f t="shared" si="44"/>
        <v>1.6704958362496968E-3</v>
      </c>
      <c r="G73" s="2"/>
      <c r="H73" s="6">
        <v>3998.11</v>
      </c>
      <c r="I73" s="2"/>
      <c r="J73" s="7">
        <f t="shared" si="45"/>
        <v>1.5624065227012886E-3</v>
      </c>
      <c r="K73" s="2"/>
      <c r="L73" s="6">
        <f t="shared" si="46"/>
        <v>247.91999999999962</v>
      </c>
      <c r="M73" s="2"/>
      <c r="N73" s="7">
        <f t="shared" si="47"/>
        <v>6.2009299393963553E-2</v>
      </c>
      <c r="O73" s="11"/>
      <c r="P73" s="6">
        <v>16984.12</v>
      </c>
      <c r="Q73" s="2"/>
      <c r="R73" s="7">
        <f t="shared" si="48"/>
        <v>2.7144305860171461E-3</v>
      </c>
      <c r="S73" s="2"/>
      <c r="T73" s="6">
        <v>20580.439999999999</v>
      </c>
      <c r="U73" s="2"/>
      <c r="V73" s="7">
        <f t="shared" si="49"/>
        <v>3.2469975767345279E-3</v>
      </c>
      <c r="W73" s="2"/>
      <c r="X73" s="6">
        <f t="shared" si="50"/>
        <v>-3596.3199999999997</v>
      </c>
      <c r="Y73" s="2"/>
      <c r="Z73" s="7">
        <f t="shared" si="51"/>
        <v>-0.17474456328436128</v>
      </c>
    </row>
    <row r="74" spans="1:26" s="27" customFormat="1" outlineLevel="1" collapsed="1" x14ac:dyDescent="0.25">
      <c r="A74" s="25"/>
      <c r="B74" s="13" t="str">
        <f>CONCATENATE("     ","Interest                                          ")</f>
        <v xml:space="preserve">     Interest                                          </v>
      </c>
      <c r="C74" s="13"/>
      <c r="D74" s="1">
        <f>SUM(OSRRefD22_12x_0)</f>
        <v>7733.05</v>
      </c>
      <c r="E74" s="1"/>
      <c r="F74" s="5">
        <f t="shared" si="44"/>
        <v>3.0423778980625945E-3</v>
      </c>
      <c r="G74" s="1"/>
      <c r="H74" s="1">
        <f>SUM(OSRRefH22_12x_0)</f>
        <v>7549.1</v>
      </c>
      <c r="I74" s="1"/>
      <c r="J74" s="5">
        <f t="shared" si="45"/>
        <v>2.9500846851448054E-3</v>
      </c>
      <c r="K74" s="1"/>
      <c r="L74" s="1">
        <f t="shared" si="46"/>
        <v>183.94999999999982</v>
      </c>
      <c r="M74" s="1"/>
      <c r="N74" s="5">
        <f t="shared" si="47"/>
        <v>2.4367143103151342E-2</v>
      </c>
      <c r="O74" s="13"/>
      <c r="P74" s="1">
        <f>SUM(OSRRefP22_12x_0)</f>
        <v>30623.05</v>
      </c>
      <c r="Q74" s="1"/>
      <c r="R74" s="5">
        <f t="shared" si="48"/>
        <v>4.8942272874386407E-3</v>
      </c>
      <c r="S74" s="1"/>
      <c r="T74" s="1">
        <f>SUM(OSRRefT22_12x_0)</f>
        <v>31396.099999999995</v>
      </c>
      <c r="U74" s="1"/>
      <c r="V74" s="5">
        <f t="shared" si="49"/>
        <v>4.9533955842982411E-3</v>
      </c>
      <c r="W74" s="1"/>
      <c r="X74" s="1">
        <f t="shared" si="50"/>
        <v>-773.04999999999563</v>
      </c>
      <c r="Y74" s="1"/>
      <c r="Z74" s="5">
        <f t="shared" si="51"/>
        <v>-2.4622484958322713E-2</v>
      </c>
    </row>
    <row r="75" spans="1:26" s="24" customFormat="1" hidden="1" outlineLevel="2" x14ac:dyDescent="0.25">
      <c r="A75" s="26"/>
      <c r="B75" s="11" t="str">
        <f>CONCATENATE("          ", "6401", " - ", "INTEREST EXPENSE")</f>
        <v xml:space="preserve">          6401 - INTEREST EXPENSE</v>
      </c>
      <c r="C75" s="11"/>
      <c r="D75" s="6">
        <v>7733.05</v>
      </c>
      <c r="E75" s="2"/>
      <c r="F75" s="7">
        <f t="shared" si="44"/>
        <v>3.0423778980625945E-3</v>
      </c>
      <c r="G75" s="2"/>
      <c r="H75" s="6">
        <v>7549.1</v>
      </c>
      <c r="I75" s="2"/>
      <c r="J75" s="7">
        <f t="shared" si="45"/>
        <v>2.9500846851448054E-3</v>
      </c>
      <c r="K75" s="2"/>
      <c r="L75" s="6">
        <f t="shared" si="46"/>
        <v>183.94999999999982</v>
      </c>
      <c r="M75" s="2"/>
      <c r="N75" s="7">
        <f t="shared" si="47"/>
        <v>2.4367143103151342E-2</v>
      </c>
      <c r="O75" s="11"/>
      <c r="P75" s="6">
        <v>30623.05</v>
      </c>
      <c r="Q75" s="2"/>
      <c r="R75" s="7">
        <f t="shared" si="48"/>
        <v>4.8942272874386407E-3</v>
      </c>
      <c r="S75" s="2"/>
      <c r="T75" s="6">
        <v>31396.099999999995</v>
      </c>
      <c r="U75" s="2"/>
      <c r="V75" s="7">
        <f t="shared" si="49"/>
        <v>4.9533955842982411E-3</v>
      </c>
      <c r="W75" s="2"/>
      <c r="X75" s="6">
        <f t="shared" si="50"/>
        <v>-773.04999999999563</v>
      </c>
      <c r="Y75" s="2"/>
      <c r="Z75" s="7">
        <f t="shared" si="51"/>
        <v>-2.4622484958322713E-2</v>
      </c>
    </row>
    <row r="76" spans="1:26" s="27" customFormat="1" outlineLevel="1" collapsed="1" x14ac:dyDescent="0.25">
      <c r="A76" s="25"/>
      <c r="B76" s="13" t="str">
        <f>CONCATENATE("     ","Professional Services                             ")</f>
        <v xml:space="preserve">     Professional Services                             </v>
      </c>
      <c r="C76" s="13"/>
      <c r="D76" s="1">
        <f>SUM(OSRRefD22_13x_0)</f>
        <v>0</v>
      </c>
      <c r="E76" s="1"/>
      <c r="F76" s="5">
        <f t="shared" si="44"/>
        <v>0</v>
      </c>
      <c r="G76" s="1"/>
      <c r="H76" s="1">
        <f>SUM(OSRRefH22_13x_0)</f>
        <v>0</v>
      </c>
      <c r="I76" s="1"/>
      <c r="J76" s="5">
        <f t="shared" si="45"/>
        <v>0</v>
      </c>
      <c r="K76" s="1"/>
      <c r="L76" s="1">
        <f t="shared" si="46"/>
        <v>0</v>
      </c>
      <c r="M76" s="1"/>
      <c r="N76" s="5">
        <f t="shared" si="47"/>
        <v>0</v>
      </c>
      <c r="O76" s="13"/>
      <c r="P76" s="1">
        <f>SUM(OSRRefP22_13x_0)</f>
        <v>125</v>
      </c>
      <c r="Q76" s="1"/>
      <c r="R76" s="5">
        <f t="shared" si="48"/>
        <v>1.9977709958016271E-5</v>
      </c>
      <c r="S76" s="1"/>
      <c r="T76" s="1">
        <f>SUM(OSRRefT22_13x_0)</f>
        <v>0</v>
      </c>
      <c r="U76" s="1"/>
      <c r="V76" s="5">
        <f t="shared" si="49"/>
        <v>0</v>
      </c>
      <c r="W76" s="1"/>
      <c r="X76" s="1">
        <f t="shared" si="50"/>
        <v>125</v>
      </c>
      <c r="Y76" s="1"/>
      <c r="Z76" s="5">
        <f t="shared" si="51"/>
        <v>0</v>
      </c>
    </row>
    <row r="77" spans="1:26" s="24" customFormat="1" hidden="1" outlineLevel="2" x14ac:dyDescent="0.25">
      <c r="A77" s="26"/>
      <c r="B77" s="11" t="str">
        <f>CONCATENATE("          ", "6336", " - ", "PROFESSIONAL SERVICES")</f>
        <v xml:space="preserve">          6336 - PROFESSIONAL SERVICES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>
        <v>125</v>
      </c>
      <c r="Q77" s="2"/>
      <c r="R77" s="7">
        <f t="shared" si="48"/>
        <v>1.9977709958016271E-5</v>
      </c>
      <c r="S77" s="2"/>
      <c r="T77" s="6"/>
      <c r="U77" s="2"/>
      <c r="V77" s="7">
        <f t="shared" si="49"/>
        <v>0</v>
      </c>
      <c r="W77" s="2"/>
      <c r="X77" s="6">
        <f t="shared" si="50"/>
        <v>125</v>
      </c>
      <c r="Y77" s="2"/>
      <c r="Z77" s="7">
        <f t="shared" si="51"/>
        <v>0</v>
      </c>
    </row>
    <row r="78" spans="1:26" s="27" customFormat="1" outlineLevel="1" collapsed="1" x14ac:dyDescent="0.25">
      <c r="A78" s="25"/>
      <c r="B78" s="13" t="str">
        <f>CONCATENATE("     ","R/H Commissions                                   ")</f>
        <v xml:space="preserve">     R/H Commissions                                   </v>
      </c>
      <c r="C78" s="13"/>
      <c r="D78" s="1">
        <f>SUM(OSRRefD22_14x_0)</f>
        <v>130766.15000000001</v>
      </c>
      <c r="E78" s="1"/>
      <c r="F78" s="5">
        <f t="shared" si="44"/>
        <v>5.1446718251496888E-2</v>
      </c>
      <c r="G78" s="1"/>
      <c r="H78" s="1">
        <f>SUM(OSRRefH22_14x_0)</f>
        <v>130376.94999999998</v>
      </c>
      <c r="I78" s="1"/>
      <c r="J78" s="5">
        <f t="shared" si="45"/>
        <v>5.094952292205561E-2</v>
      </c>
      <c r="K78" s="1"/>
      <c r="L78" s="1">
        <f t="shared" si="46"/>
        <v>389.20000000002619</v>
      </c>
      <c r="M78" s="1"/>
      <c r="N78" s="5">
        <f t="shared" si="47"/>
        <v>2.985190250270667E-3</v>
      </c>
      <c r="O78" s="13"/>
      <c r="P78" s="1">
        <f>SUM(OSRRefP22_14x_0)</f>
        <v>318687.43</v>
      </c>
      <c r="Q78" s="1"/>
      <c r="R78" s="5">
        <f t="shared" si="48"/>
        <v>5.09331603504449E-2</v>
      </c>
      <c r="S78" s="1"/>
      <c r="T78" s="1">
        <f>SUM(OSRRefT22_14x_0)</f>
        <v>313281.75</v>
      </c>
      <c r="U78" s="1"/>
      <c r="V78" s="5">
        <f t="shared" si="49"/>
        <v>4.9426789858970567E-2</v>
      </c>
      <c r="W78" s="1"/>
      <c r="X78" s="1">
        <f t="shared" si="50"/>
        <v>5405.679999999993</v>
      </c>
      <c r="Y78" s="1"/>
      <c r="Z78" s="5">
        <f t="shared" si="51"/>
        <v>1.7255010864820543E-2</v>
      </c>
    </row>
    <row r="79" spans="1:26" s="24" customFormat="1" hidden="1" outlineLevel="2" x14ac:dyDescent="0.25">
      <c r="A79" s="26"/>
      <c r="B79" s="11" t="str">
        <f>CONCATENATE("          ", "6387", " - ", "COMMISSION DUE HOUSING")</f>
        <v xml:space="preserve">          6387 - COMMISSION DUE HOUSING</v>
      </c>
      <c r="C79" s="11"/>
      <c r="D79" s="6">
        <v>130766.15000000001</v>
      </c>
      <c r="E79" s="2"/>
      <c r="F79" s="7">
        <f t="shared" si="44"/>
        <v>5.1446718251496888E-2</v>
      </c>
      <c r="G79" s="2"/>
      <c r="H79" s="6">
        <v>130376.94999999998</v>
      </c>
      <c r="I79" s="2"/>
      <c r="J79" s="7">
        <f t="shared" si="45"/>
        <v>5.094952292205561E-2</v>
      </c>
      <c r="K79" s="2"/>
      <c r="L79" s="6">
        <f t="shared" si="46"/>
        <v>389.20000000002619</v>
      </c>
      <c r="M79" s="2"/>
      <c r="N79" s="7">
        <f t="shared" si="47"/>
        <v>2.985190250270667E-3</v>
      </c>
      <c r="O79" s="11"/>
      <c r="P79" s="6">
        <v>318687.43</v>
      </c>
      <c r="Q79" s="2"/>
      <c r="R79" s="7">
        <f t="shared" si="48"/>
        <v>5.09331603504449E-2</v>
      </c>
      <c r="S79" s="2"/>
      <c r="T79" s="6">
        <v>313281.75</v>
      </c>
      <c r="U79" s="2"/>
      <c r="V79" s="7">
        <f t="shared" si="49"/>
        <v>4.9426789858970567E-2</v>
      </c>
      <c r="W79" s="2"/>
      <c r="X79" s="6">
        <f t="shared" si="50"/>
        <v>5405.679999999993</v>
      </c>
      <c r="Y79" s="2"/>
      <c r="Z79" s="7">
        <f t="shared" si="51"/>
        <v>1.7255010864820543E-2</v>
      </c>
    </row>
    <row r="80" spans="1:26" s="27" customFormat="1" outlineLevel="1" collapsed="1" x14ac:dyDescent="0.25">
      <c r="A80" s="25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SUM(OSRRefD22_15x_0)</f>
        <v>1850</v>
      </c>
      <c r="E80" s="1"/>
      <c r="F80" s="5">
        <f t="shared" si="44"/>
        <v>7.2783689636247019E-4</v>
      </c>
      <c r="G80" s="1"/>
      <c r="H80" s="1">
        <f>SUM(OSRRefH22_15x_0)</f>
        <v>1850</v>
      </c>
      <c r="I80" s="1"/>
      <c r="J80" s="5">
        <f t="shared" si="45"/>
        <v>7.2295461280389578E-4</v>
      </c>
      <c r="K80" s="1"/>
      <c r="L80" s="1">
        <f t="shared" si="46"/>
        <v>0</v>
      </c>
      <c r="M80" s="1"/>
      <c r="N80" s="5">
        <f t="shared" si="47"/>
        <v>0</v>
      </c>
      <c r="O80" s="13"/>
      <c r="P80" s="1">
        <f>SUM(OSRRefP22_15x_0)</f>
        <v>7400</v>
      </c>
      <c r="Q80" s="1"/>
      <c r="R80" s="5">
        <f t="shared" si="48"/>
        <v>1.1826804295145632E-3</v>
      </c>
      <c r="S80" s="1"/>
      <c r="T80" s="1">
        <f>SUM(OSRRefT22_15x_0)</f>
        <v>7400</v>
      </c>
      <c r="U80" s="1"/>
      <c r="V80" s="5">
        <f t="shared" si="49"/>
        <v>1.1675057514725392E-3</v>
      </c>
      <c r="W80" s="1"/>
      <c r="X80" s="1">
        <f t="shared" si="50"/>
        <v>0</v>
      </c>
      <c r="Y80" s="1"/>
      <c r="Z80" s="5">
        <f t="shared" si="51"/>
        <v>0</v>
      </c>
    </row>
    <row r="81" spans="1:26" s="24" customFormat="1" hidden="1" outlineLevel="2" x14ac:dyDescent="0.25">
      <c r="A81" s="26"/>
      <c r="B81" s="11" t="str">
        <f>CONCATENATE("          ", "6273", " - ", "RENT")</f>
        <v xml:space="preserve">          6273 - RENT</v>
      </c>
      <c r="C81" s="11"/>
      <c r="D81" s="6">
        <v>1850</v>
      </c>
      <c r="E81" s="2"/>
      <c r="F81" s="7">
        <f t="shared" si="44"/>
        <v>7.2783689636247019E-4</v>
      </c>
      <c r="G81" s="2"/>
      <c r="H81" s="6">
        <v>1850</v>
      </c>
      <c r="I81" s="2"/>
      <c r="J81" s="7">
        <f t="shared" si="45"/>
        <v>7.2295461280389578E-4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7400</v>
      </c>
      <c r="Q81" s="2"/>
      <c r="R81" s="7">
        <f t="shared" si="48"/>
        <v>1.1826804295145632E-3</v>
      </c>
      <c r="S81" s="2"/>
      <c r="T81" s="6">
        <v>7400</v>
      </c>
      <c r="U81" s="2"/>
      <c r="V81" s="7">
        <f t="shared" si="49"/>
        <v>1.1675057514725392E-3</v>
      </c>
      <c r="W81" s="2"/>
      <c r="X81" s="6">
        <f t="shared" si="50"/>
        <v>0</v>
      </c>
      <c r="Y81" s="2"/>
      <c r="Z81" s="7">
        <f t="shared" si="51"/>
        <v>0</v>
      </c>
    </row>
    <row r="82" spans="1:26" s="27" customFormat="1" outlineLevel="1" collapsed="1" x14ac:dyDescent="0.25">
      <c r="A82" s="25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SUM(OSRRefD22_16x_0)</f>
        <v>26365.21</v>
      </c>
      <c r="E82" s="1"/>
      <c r="F82" s="5">
        <f t="shared" si="44"/>
        <v>1.0372741955862033E-2</v>
      </c>
      <c r="G82" s="1"/>
      <c r="H82" s="1">
        <f>SUM(OSRRefH22_16x_0)</f>
        <v>35675.24</v>
      </c>
      <c r="I82" s="1"/>
      <c r="J82" s="5">
        <f t="shared" si="45"/>
        <v>1.3941394227505975E-2</v>
      </c>
      <c r="K82" s="1"/>
      <c r="L82" s="1">
        <f t="shared" si="46"/>
        <v>-9310.0299999999988</v>
      </c>
      <c r="M82" s="1"/>
      <c r="N82" s="5">
        <f t="shared" si="47"/>
        <v>-0.26096614907145682</v>
      </c>
      <c r="O82" s="13"/>
      <c r="P82" s="1">
        <f>SUM(OSRRefP22_16x_0)</f>
        <v>112956.52</v>
      </c>
      <c r="Q82" s="1"/>
      <c r="R82" s="5">
        <f t="shared" si="48"/>
        <v>1.8052900755414911E-2</v>
      </c>
      <c r="S82" s="1"/>
      <c r="T82" s="1">
        <f>SUM(OSRRefT22_16x_0)</f>
        <v>95565</v>
      </c>
      <c r="U82" s="1"/>
      <c r="V82" s="5">
        <f t="shared" si="49"/>
        <v>1.5077390153982868E-2</v>
      </c>
      <c r="W82" s="1"/>
      <c r="X82" s="1">
        <f t="shared" si="50"/>
        <v>17391.520000000004</v>
      </c>
      <c r="Y82" s="1"/>
      <c r="Z82" s="5">
        <f t="shared" si="51"/>
        <v>0.18198629205252972</v>
      </c>
    </row>
    <row r="83" spans="1:26" s="24" customFormat="1" hidden="1" outlineLevel="2" x14ac:dyDescent="0.25">
      <c r="A83" s="26"/>
      <c r="B83" s="11" t="str">
        <f>CONCATENATE("          ", "6371", " - ", "COMPUTER SOFTWARE MAINTENANCE")</f>
        <v xml:space="preserve">          6371 - COMPUTER SOFTWARE MAINTENANCE</v>
      </c>
      <c r="C83" s="11"/>
      <c r="D83" s="6"/>
      <c r="E83" s="2"/>
      <c r="F83" s="7">
        <f t="shared" si="44"/>
        <v>0</v>
      </c>
      <c r="G83" s="2"/>
      <c r="H83" s="6">
        <v>14136.99</v>
      </c>
      <c r="I83" s="2"/>
      <c r="J83" s="7">
        <f t="shared" si="45"/>
        <v>5.5245416927905662E-3</v>
      </c>
      <c r="K83" s="2"/>
      <c r="L83" s="6">
        <f t="shared" si="46"/>
        <v>-14136.99</v>
      </c>
      <c r="M83" s="2"/>
      <c r="N83" s="7">
        <f t="shared" si="47"/>
        <v>-1</v>
      </c>
      <c r="O83" s="11"/>
      <c r="P83" s="6">
        <v>17273.12</v>
      </c>
      <c r="Q83" s="2"/>
      <c r="R83" s="7">
        <f t="shared" si="48"/>
        <v>2.7606190514400798E-3</v>
      </c>
      <c r="S83" s="2"/>
      <c r="T83" s="6">
        <v>6474.49</v>
      </c>
      <c r="U83" s="2"/>
      <c r="V83" s="7">
        <f t="shared" si="49"/>
        <v>1.0214870693042487E-3</v>
      </c>
      <c r="W83" s="2"/>
      <c r="X83" s="6">
        <f t="shared" si="50"/>
        <v>10798.63</v>
      </c>
      <c r="Y83" s="2"/>
      <c r="Z83" s="7">
        <f t="shared" si="51"/>
        <v>1.6678734541253442</v>
      </c>
    </row>
    <row r="84" spans="1:26" s="24" customFormat="1" hidden="1" outlineLevel="2" x14ac:dyDescent="0.25">
      <c r="A84" s="26"/>
      <c r="B84" s="11" t="str">
        <f>CONCATENATE("          ", "6373", " - ", "MAINTENANCE CONTRACTS")</f>
        <v xml:space="preserve">          6373 - MAINTENANCE CONTRACTS</v>
      </c>
      <c r="C84" s="11"/>
      <c r="D84" s="6">
        <v>7849.52</v>
      </c>
      <c r="E84" s="2"/>
      <c r="F84" s="7">
        <f t="shared" si="44"/>
        <v>3.0882001485054798E-3</v>
      </c>
      <c r="G84" s="2"/>
      <c r="H84" s="6">
        <v>6984.31</v>
      </c>
      <c r="I84" s="2"/>
      <c r="J84" s="7">
        <f t="shared" si="45"/>
        <v>2.7293725036499341E-3</v>
      </c>
      <c r="K84" s="2"/>
      <c r="L84" s="6">
        <f t="shared" si="46"/>
        <v>865.21</v>
      </c>
      <c r="M84" s="2"/>
      <c r="N84" s="7">
        <f t="shared" si="47"/>
        <v>0.12387909471372262</v>
      </c>
      <c r="O84" s="11"/>
      <c r="P84" s="6">
        <v>32696.04</v>
      </c>
      <c r="Q84" s="2"/>
      <c r="R84" s="7">
        <f t="shared" si="48"/>
        <v>5.225536031165586E-3</v>
      </c>
      <c r="S84" s="2"/>
      <c r="T84" s="6">
        <v>37180.93</v>
      </c>
      <c r="U84" s="2"/>
      <c r="V84" s="7">
        <f t="shared" si="49"/>
        <v>5.8660742729862003E-3</v>
      </c>
      <c r="W84" s="2"/>
      <c r="X84" s="6">
        <f t="shared" si="50"/>
        <v>-4484.8899999999994</v>
      </c>
      <c r="Y84" s="2"/>
      <c r="Z84" s="7">
        <f t="shared" si="51"/>
        <v>-0.12062339484246358</v>
      </c>
    </row>
    <row r="85" spans="1:26" s="24" customFormat="1" hidden="1" outlineLevel="2" x14ac:dyDescent="0.25">
      <c r="A85" s="26"/>
      <c r="B85" s="11" t="str">
        <f>CONCATENATE("          ", "6375", " - ", "OUTSIDE REPAIRS &amp; MAINTENANCE")</f>
        <v xml:space="preserve">          6375 - OUTSIDE REPAIRS &amp; MAINTENANCE</v>
      </c>
      <c r="C85" s="11"/>
      <c r="D85" s="6">
        <v>18515.689999999999</v>
      </c>
      <c r="E85" s="2"/>
      <c r="F85" s="7">
        <f t="shared" si="44"/>
        <v>7.2845418073565543E-3</v>
      </c>
      <c r="G85" s="2"/>
      <c r="H85" s="6">
        <v>14553.94</v>
      </c>
      <c r="I85" s="2"/>
      <c r="J85" s="7">
        <f t="shared" si="45"/>
        <v>5.6874800310654765E-3</v>
      </c>
      <c r="K85" s="2"/>
      <c r="L85" s="6">
        <f t="shared" si="46"/>
        <v>3961.7499999999982</v>
      </c>
      <c r="M85" s="2"/>
      <c r="N85" s="7">
        <f t="shared" si="47"/>
        <v>0.27221151110970626</v>
      </c>
      <c r="O85" s="11"/>
      <c r="P85" s="6">
        <v>62987.360000000001</v>
      </c>
      <c r="Q85" s="2"/>
      <c r="R85" s="7">
        <f t="shared" si="48"/>
        <v>1.0066745672809246E-2</v>
      </c>
      <c r="S85" s="2"/>
      <c r="T85" s="6">
        <v>51909.58</v>
      </c>
      <c r="U85" s="2"/>
      <c r="V85" s="7">
        <f t="shared" si="49"/>
        <v>8.1898288116924196E-3</v>
      </c>
      <c r="W85" s="2"/>
      <c r="X85" s="6">
        <f t="shared" si="50"/>
        <v>11077.779999999999</v>
      </c>
      <c r="Y85" s="2"/>
      <c r="Z85" s="7">
        <f t="shared" si="51"/>
        <v>0.21340530977133698</v>
      </c>
    </row>
    <row r="86" spans="1:26" s="27" customFormat="1" outlineLevel="1" collapsed="1" x14ac:dyDescent="0.25">
      <c r="A86" s="25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SUM(OSRRefD22_17x_0)</f>
        <v>32085.1</v>
      </c>
      <c r="E86" s="1"/>
      <c r="F86" s="5">
        <f t="shared" ref="F86:F88" si="52">IF(D$12=0,0,D86/D$12)</f>
        <v>1.2623091677556483E-2</v>
      </c>
      <c r="G86" s="1"/>
      <c r="H86" s="1">
        <f>SUM(OSRRefH22_17x_0)</f>
        <v>30731.690000000002</v>
      </c>
      <c r="I86" s="1"/>
      <c r="J86" s="5">
        <f t="shared" ref="J86:J88" si="53">IF(H$12=0,0,H86/H$12)</f>
        <v>1.2009522726896951E-2</v>
      </c>
      <c r="K86" s="1"/>
      <c r="L86" s="1">
        <f t="shared" ref="L86:L88" si="54">+D86-H86</f>
        <v>1353.4099999999962</v>
      </c>
      <c r="M86" s="1"/>
      <c r="N86" s="5">
        <f t="shared" ref="N86:N88" si="55">IF(H86=0,0,L86/H86)</f>
        <v>4.4039556561972219E-2</v>
      </c>
      <c r="O86" s="13"/>
      <c r="P86" s="1">
        <f>SUM(OSRRefP22_17x_0)</f>
        <v>92348.87</v>
      </c>
      <c r="Q86" s="1"/>
      <c r="R86" s="5">
        <f t="shared" ref="R86:R88" si="56">IF(P$12=0,0,P86/P$12)</f>
        <v>1.4759351518484398E-2</v>
      </c>
      <c r="S86" s="1"/>
      <c r="T86" s="1">
        <f>SUM(OSRRefT22_17x_0)</f>
        <v>96699.459999999992</v>
      </c>
      <c r="U86" s="1"/>
      <c r="V86" s="5">
        <f t="shared" ref="V86:V88" si="57">IF(T$12=0,0,T86/T$12)</f>
        <v>1.5256375096525507E-2</v>
      </c>
      <c r="W86" s="1"/>
      <c r="X86" s="1">
        <f t="shared" ref="X86:X88" si="58">+P86-T86</f>
        <v>-4350.5899999999965</v>
      </c>
      <c r="Y86" s="1"/>
      <c r="Z86" s="5">
        <f t="shared" ref="Z86:Z88" si="59">IF(T86=0,0,X86/T86)</f>
        <v>-4.4990840693422664E-2</v>
      </c>
    </row>
    <row r="87" spans="1:26" s="24" customFormat="1" hidden="1" outlineLevel="2" x14ac:dyDescent="0.25">
      <c r="A87" s="26"/>
      <c r="B87" s="11" t="str">
        <f>CONCATENATE("          ", "6254", " - ", "ROYALTY &amp; COMMISSIONS")</f>
        <v xml:space="preserve">          6254 - ROYALTY &amp; COMMISSIONS</v>
      </c>
      <c r="C87" s="11"/>
      <c r="D87" s="6">
        <v>10321.9</v>
      </c>
      <c r="E87" s="2"/>
      <c r="F87" s="7">
        <f t="shared" si="52"/>
        <v>4.0608971138182603E-3</v>
      </c>
      <c r="G87" s="2"/>
      <c r="H87" s="6">
        <v>8935.3700000000008</v>
      </c>
      <c r="I87" s="2"/>
      <c r="J87" s="7">
        <f t="shared" si="53"/>
        <v>3.4918199776267822E-3</v>
      </c>
      <c r="K87" s="2"/>
      <c r="L87" s="6">
        <f t="shared" si="54"/>
        <v>1386.5299999999988</v>
      </c>
      <c r="M87" s="2"/>
      <c r="N87" s="7">
        <f t="shared" si="55"/>
        <v>0.15517320491484948</v>
      </c>
      <c r="O87" s="11"/>
      <c r="P87" s="6">
        <v>44979.51</v>
      </c>
      <c r="Q87" s="2"/>
      <c r="R87" s="7">
        <f t="shared" si="56"/>
        <v>7.1887008386695393E-3</v>
      </c>
      <c r="S87" s="2"/>
      <c r="T87" s="6">
        <v>49080.82</v>
      </c>
      <c r="U87" s="2"/>
      <c r="V87" s="7">
        <f t="shared" si="57"/>
        <v>7.7435323833768156E-3</v>
      </c>
      <c r="W87" s="2"/>
      <c r="X87" s="6">
        <f t="shared" si="58"/>
        <v>-4101.3099999999977</v>
      </c>
      <c r="Y87" s="2"/>
      <c r="Z87" s="7">
        <f t="shared" si="59"/>
        <v>-8.3562377319694292E-2</v>
      </c>
    </row>
    <row r="88" spans="1:26" s="24" customFormat="1" hidden="1" outlineLevel="2" x14ac:dyDescent="0.25">
      <c r="A88" s="26"/>
      <c r="B88" s="11" t="str">
        <f>CONCATENATE("          ", "6259", " - ", "ROYALTY &amp; COMMISSIONS")</f>
        <v xml:space="preserve">          6259 - ROYALTY &amp; COMMISSIONS</v>
      </c>
      <c r="C88" s="11"/>
      <c r="D88" s="6">
        <v>21763.200000000001</v>
      </c>
      <c r="E88" s="2"/>
      <c r="F88" s="7">
        <f t="shared" si="52"/>
        <v>8.5621945637382232E-3</v>
      </c>
      <c r="G88" s="2"/>
      <c r="H88" s="6">
        <v>21796.32</v>
      </c>
      <c r="I88" s="2"/>
      <c r="J88" s="7">
        <f t="shared" si="53"/>
        <v>8.517702749270167E-3</v>
      </c>
      <c r="K88" s="2"/>
      <c r="L88" s="6">
        <f t="shared" si="54"/>
        <v>-33.119999999998981</v>
      </c>
      <c r="M88" s="2"/>
      <c r="N88" s="7">
        <f t="shared" si="55"/>
        <v>-1.5195225616066832E-3</v>
      </c>
      <c r="O88" s="11"/>
      <c r="P88" s="6">
        <v>47369.36</v>
      </c>
      <c r="Q88" s="2"/>
      <c r="R88" s="7">
        <f t="shared" si="56"/>
        <v>7.5706506798148606E-3</v>
      </c>
      <c r="S88" s="2"/>
      <c r="T88" s="6">
        <v>47618.64</v>
      </c>
      <c r="U88" s="2"/>
      <c r="V88" s="7">
        <f t="shared" si="57"/>
        <v>7.5128427131486916E-3</v>
      </c>
      <c r="W88" s="2"/>
      <c r="X88" s="6">
        <f t="shared" si="58"/>
        <v>-249.27999999999884</v>
      </c>
      <c r="Y88" s="2"/>
      <c r="Z88" s="7">
        <f t="shared" si="59"/>
        <v>-5.2349248109563578E-3</v>
      </c>
    </row>
    <row r="89" spans="1:26" s="27" customFormat="1" outlineLevel="1" collapsed="1" x14ac:dyDescent="0.25">
      <c r="A89" s="25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SUM(OSRRefD22_18x_0)</f>
        <v>42410.14</v>
      </c>
      <c r="E89" s="1"/>
      <c r="F89" s="5">
        <f t="shared" ref="F89:F94" si="60">IF(D$12=0,0,D89/D$12)</f>
        <v>1.6685224146971812E-2</v>
      </c>
      <c r="G89" s="1"/>
      <c r="H89" s="1">
        <f>SUM(OSRRefH22_18x_0)</f>
        <v>53316.31</v>
      </c>
      <c r="I89" s="1"/>
      <c r="J89" s="5">
        <f t="shared" ref="J89:J94" si="61">IF(H$12=0,0,H89/H$12)</f>
        <v>2.0835282298477014E-2</v>
      </c>
      <c r="K89" s="1"/>
      <c r="L89" s="1">
        <f t="shared" ref="L89:L94" si="62">+D89-H89</f>
        <v>-10906.169999999998</v>
      </c>
      <c r="M89" s="1"/>
      <c r="N89" s="5">
        <f t="shared" ref="N89:N94" si="63">IF(H89=0,0,L89/H89)</f>
        <v>-0.20455597921161459</v>
      </c>
      <c r="O89" s="13"/>
      <c r="P89" s="1">
        <f>SUM(OSRRefP22_18x_0)</f>
        <v>160143.75</v>
      </c>
      <c r="Q89" s="1"/>
      <c r="R89" s="5">
        <f t="shared" ref="R89:R94" si="64">IF(P$12=0,0,P89/P$12)</f>
        <v>2.5594443112712546E-2</v>
      </c>
      <c r="S89" s="1"/>
      <c r="T89" s="1">
        <f>SUM(OSRRefT22_18x_0)</f>
        <v>155385.33000000002</v>
      </c>
      <c r="U89" s="1"/>
      <c r="V89" s="5">
        <f t="shared" ref="V89:V94" si="65">IF(T$12=0,0,T89/T$12)</f>
        <v>2.4515306279656559E-2</v>
      </c>
      <c r="W89" s="1"/>
      <c r="X89" s="1">
        <f t="shared" ref="X89:X94" si="66">+P89-T89</f>
        <v>4758.4199999999837</v>
      </c>
      <c r="Y89" s="1"/>
      <c r="Z89" s="5">
        <f t="shared" ref="Z89:Z94" si="67">IF(T89=0,0,X89/T89)</f>
        <v>3.0623354212395617E-2</v>
      </c>
    </row>
    <row r="90" spans="1:26" s="24" customFormat="1" hidden="1" outlineLevel="2" x14ac:dyDescent="0.25">
      <c r="A90" s="26"/>
      <c r="B90" s="11" t="str">
        <f>CONCATENATE("          ", "6282", " - ", "JANITORIAL/EXTERMINATOR EXPENS")</f>
        <v xml:space="preserve">          6282 - JANITORIAL/EXTERMINATOR EXPENS</v>
      </c>
      <c r="C90" s="11"/>
      <c r="D90" s="6">
        <v>2785.87</v>
      </c>
      <c r="E90" s="2"/>
      <c r="F90" s="7">
        <f t="shared" si="60"/>
        <v>1.0960318780915215E-3</v>
      </c>
      <c r="G90" s="2"/>
      <c r="H90" s="6">
        <v>2785.87</v>
      </c>
      <c r="I90" s="2"/>
      <c r="J90" s="7">
        <f t="shared" si="61"/>
        <v>1.088679766038913E-3</v>
      </c>
      <c r="K90" s="2"/>
      <c r="L90" s="6">
        <f t="shared" si="62"/>
        <v>0</v>
      </c>
      <c r="M90" s="2"/>
      <c r="N90" s="7">
        <f t="shared" si="63"/>
        <v>0</v>
      </c>
      <c r="O90" s="11"/>
      <c r="P90" s="6">
        <v>11413.48</v>
      </c>
      <c r="Q90" s="2"/>
      <c r="R90" s="7">
        <f t="shared" si="64"/>
        <v>1.8241215444129563E-3</v>
      </c>
      <c r="S90" s="2"/>
      <c r="T90" s="6">
        <v>10949.56</v>
      </c>
      <c r="U90" s="2"/>
      <c r="V90" s="7">
        <f t="shared" si="65"/>
        <v>1.7275235508234673E-3</v>
      </c>
      <c r="W90" s="2"/>
      <c r="X90" s="6">
        <f t="shared" si="66"/>
        <v>463.92000000000007</v>
      </c>
      <c r="Y90" s="2"/>
      <c r="Z90" s="7">
        <f t="shared" si="67"/>
        <v>4.2368825779300727E-2</v>
      </c>
    </row>
    <row r="91" spans="1:26" s="24" customFormat="1" hidden="1" outlineLevel="2" x14ac:dyDescent="0.25">
      <c r="A91" s="26"/>
      <c r="B91" s="11" t="str">
        <f>CONCATENATE("          ", "6283", " - ", "PLANT SERVICE")</f>
        <v xml:space="preserve">          6283 - PLANT SERVICE</v>
      </c>
      <c r="C91" s="11"/>
      <c r="D91" s="6"/>
      <c r="E91" s="2"/>
      <c r="F91" s="7">
        <f t="shared" si="60"/>
        <v>0</v>
      </c>
      <c r="G91" s="2"/>
      <c r="H91" s="6">
        <v>176</v>
      </c>
      <c r="I91" s="2"/>
      <c r="J91" s="7">
        <f t="shared" si="61"/>
        <v>6.8778384785667926E-5</v>
      </c>
      <c r="K91" s="2"/>
      <c r="L91" s="6">
        <f t="shared" si="62"/>
        <v>-176</v>
      </c>
      <c r="M91" s="2"/>
      <c r="N91" s="7">
        <f t="shared" si="63"/>
        <v>-1</v>
      </c>
      <c r="O91" s="11"/>
      <c r="P91" s="6">
        <v>599.34</v>
      </c>
      <c r="Q91" s="2"/>
      <c r="R91" s="7">
        <f t="shared" si="64"/>
        <v>9.5787525489899773E-5</v>
      </c>
      <c r="S91" s="2"/>
      <c r="T91" s="6">
        <v>704</v>
      </c>
      <c r="U91" s="2"/>
      <c r="V91" s="7">
        <f t="shared" si="65"/>
        <v>1.1107081743738752E-4</v>
      </c>
      <c r="W91" s="2"/>
      <c r="X91" s="6">
        <f t="shared" si="66"/>
        <v>-104.65999999999997</v>
      </c>
      <c r="Y91" s="2"/>
      <c r="Z91" s="7">
        <f t="shared" si="67"/>
        <v>-0.14866477272727269</v>
      </c>
    </row>
    <row r="92" spans="1:26" s="24" customFormat="1" hidden="1" outlineLevel="2" x14ac:dyDescent="0.25">
      <c r="A92" s="26"/>
      <c r="B92" s="11" t="str">
        <f>CONCATENATE("          ", "6284", " - ", "TRASH REMOVAL EXPENSE")</f>
        <v xml:space="preserve">          6284 - TRASH REMOVAL EXPENSE</v>
      </c>
      <c r="C92" s="11"/>
      <c r="D92" s="6">
        <v>4199</v>
      </c>
      <c r="E92" s="2"/>
      <c r="F92" s="7">
        <f t="shared" si="60"/>
        <v>1.6519930420681149E-3</v>
      </c>
      <c r="G92" s="2"/>
      <c r="H92" s="6">
        <v>14328.27</v>
      </c>
      <c r="I92" s="2"/>
      <c r="J92" s="7">
        <f t="shared" si="61"/>
        <v>5.5992912918917167E-3</v>
      </c>
      <c r="K92" s="2"/>
      <c r="L92" s="6">
        <f t="shared" si="62"/>
        <v>-10129.27</v>
      </c>
      <c r="M92" s="2"/>
      <c r="N92" s="7">
        <f t="shared" si="63"/>
        <v>-0.70694298753443363</v>
      </c>
      <c r="O92" s="11"/>
      <c r="P92" s="6">
        <v>9021</v>
      </c>
      <c r="Q92" s="2"/>
      <c r="R92" s="7">
        <f t="shared" si="64"/>
        <v>1.4417513722501181E-3</v>
      </c>
      <c r="S92" s="2"/>
      <c r="T92" s="6">
        <v>26302.27</v>
      </c>
      <c r="U92" s="2"/>
      <c r="V92" s="7">
        <f t="shared" si="65"/>
        <v>4.1497366894302197E-3</v>
      </c>
      <c r="W92" s="2"/>
      <c r="X92" s="6">
        <f t="shared" si="66"/>
        <v>-17281.27</v>
      </c>
      <c r="Y92" s="2"/>
      <c r="Z92" s="7">
        <f t="shared" si="67"/>
        <v>-0.65702580043471537</v>
      </c>
    </row>
    <row r="93" spans="1:26" s="24" customFormat="1" hidden="1" outlineLevel="2" x14ac:dyDescent="0.25">
      <c r="A93" s="26"/>
      <c r="B93" s="11" t="str">
        <f>CONCATENATE("          ", "6285", " - ", "JANITORIAL SERVICES")</f>
        <v xml:space="preserve">          6285 - JANITORIAL SERVICES</v>
      </c>
      <c r="C93" s="11"/>
      <c r="D93" s="6">
        <v>24632.47</v>
      </c>
      <c r="E93" s="2"/>
      <c r="F93" s="7">
        <f t="shared" si="60"/>
        <v>9.691038115968463E-3</v>
      </c>
      <c r="G93" s="2"/>
      <c r="H93" s="6">
        <v>26565.439999999999</v>
      </c>
      <c r="I93" s="2"/>
      <c r="J93" s="7">
        <f t="shared" si="61"/>
        <v>1.0381409399548716E-2</v>
      </c>
      <c r="K93" s="2"/>
      <c r="L93" s="6">
        <f t="shared" si="62"/>
        <v>-1932.9699999999975</v>
      </c>
      <c r="M93" s="2"/>
      <c r="N93" s="7">
        <f t="shared" si="63"/>
        <v>-7.2762581760362252E-2</v>
      </c>
      <c r="O93" s="11"/>
      <c r="P93" s="6">
        <v>104216.84</v>
      </c>
      <c r="Q93" s="2"/>
      <c r="R93" s="7">
        <f t="shared" si="64"/>
        <v>1.6656110418087906E-2</v>
      </c>
      <c r="S93" s="2"/>
      <c r="T93" s="6">
        <v>87389.02</v>
      </c>
      <c r="U93" s="2"/>
      <c r="V93" s="7">
        <f t="shared" si="65"/>
        <v>1.3787457225074158E-2</v>
      </c>
      <c r="W93" s="2"/>
      <c r="X93" s="6">
        <f t="shared" si="66"/>
        <v>16827.819999999992</v>
      </c>
      <c r="Y93" s="2"/>
      <c r="Z93" s="7">
        <f t="shared" si="67"/>
        <v>0.19256217771980955</v>
      </c>
    </row>
    <row r="94" spans="1:26" s="24" customFormat="1" hidden="1" outlineLevel="2" x14ac:dyDescent="0.25">
      <c r="A94" s="26"/>
      <c r="B94" s="11" t="str">
        <f>CONCATENATE("          ", "6286", " - ", "LAUNDRY EXPENSE")</f>
        <v xml:space="preserve">          6286 - LAUNDRY EXPENSE</v>
      </c>
      <c r="C94" s="11"/>
      <c r="D94" s="6">
        <v>10792.8</v>
      </c>
      <c r="E94" s="2"/>
      <c r="F94" s="7">
        <f t="shared" si="60"/>
        <v>4.2461611108437127E-3</v>
      </c>
      <c r="G94" s="2"/>
      <c r="H94" s="6">
        <v>9460.73</v>
      </c>
      <c r="I94" s="2"/>
      <c r="J94" s="7">
        <f t="shared" si="61"/>
        <v>3.6971234562120005E-3</v>
      </c>
      <c r="K94" s="2"/>
      <c r="L94" s="6">
        <f t="shared" si="62"/>
        <v>1332.0699999999997</v>
      </c>
      <c r="M94" s="2"/>
      <c r="N94" s="7">
        <f t="shared" si="63"/>
        <v>0.14079991713113044</v>
      </c>
      <c r="O94" s="11"/>
      <c r="P94" s="6">
        <v>34893.089999999997</v>
      </c>
      <c r="Q94" s="2"/>
      <c r="R94" s="7">
        <f t="shared" si="64"/>
        <v>5.5766722524716629E-3</v>
      </c>
      <c r="S94" s="2"/>
      <c r="T94" s="6">
        <v>30040.48</v>
      </c>
      <c r="U94" s="2"/>
      <c r="V94" s="7">
        <f t="shared" si="65"/>
        <v>4.7395179968913225E-3</v>
      </c>
      <c r="W94" s="2"/>
      <c r="X94" s="6">
        <f t="shared" si="66"/>
        <v>4852.6099999999969</v>
      </c>
      <c r="Y94" s="2"/>
      <c r="Z94" s="7">
        <f t="shared" si="67"/>
        <v>0.16153570116056723</v>
      </c>
    </row>
    <row r="95" spans="1:26" s="27" customFormat="1" outlineLevel="1" collapsed="1" x14ac:dyDescent="0.25">
      <c r="A95" s="25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SUM(OSRRefD22_19x_0)</f>
        <v>393.42</v>
      </c>
      <c r="E95" s="1"/>
      <c r="F95" s="5">
        <f t="shared" ref="F95:F105" si="68">IF(D$12=0,0,D95/D$12)</f>
        <v>1.5478140095509353E-4</v>
      </c>
      <c r="G95" s="1"/>
      <c r="H95" s="1">
        <f>SUM(OSRRefH22_19x_0)</f>
        <v>387.42</v>
      </c>
      <c r="I95" s="1"/>
      <c r="J95" s="5">
        <f t="shared" ref="J95:J105" si="69">IF(H$12=0,0,H95/H$12)</f>
        <v>1.5139841950945153E-4</v>
      </c>
      <c r="K95" s="1"/>
      <c r="L95" s="1">
        <f t="shared" ref="L95:L105" si="70">+D95-H95</f>
        <v>6</v>
      </c>
      <c r="M95" s="1"/>
      <c r="N95" s="5">
        <f t="shared" ref="N95:N105" si="71">IF(H95=0,0,L95/H95)</f>
        <v>1.5487068297971194E-2</v>
      </c>
      <c r="O95" s="13"/>
      <c r="P95" s="1">
        <f>SUM(OSRRefP22_19x_0)</f>
        <v>1696.4</v>
      </c>
      <c r="Q95" s="1"/>
      <c r="R95" s="5">
        <f t="shared" ref="R95:R105" si="72">IF(P$12=0,0,P95/P$12)</f>
        <v>2.7112149738223044E-4</v>
      </c>
      <c r="S95" s="1"/>
      <c r="T95" s="1">
        <f>SUM(OSRRefT22_19x_0)</f>
        <v>1120.5899999999999</v>
      </c>
      <c r="U95" s="1"/>
      <c r="V95" s="5">
        <f t="shared" ref="V95:V105" si="73">IF(T$12=0,0,T95/T$12)</f>
        <v>1.7679665811386658E-4</v>
      </c>
      <c r="W95" s="1"/>
      <c r="X95" s="1">
        <f t="shared" ref="X95:X105" si="74">+P95-T95</f>
        <v>575.81000000000017</v>
      </c>
      <c r="Y95" s="1"/>
      <c r="Z95" s="5">
        <f t="shared" ref="Z95:Z105" si="75">IF(T95=0,0,X95/T95)</f>
        <v>0.51384538502039123</v>
      </c>
    </row>
    <row r="96" spans="1:26" s="24" customFormat="1" hidden="1" outlineLevel="2" x14ac:dyDescent="0.25">
      <c r="A96" s="26"/>
      <c r="B96" s="11" t="str">
        <f>CONCATENATE("          ", "6275", " - ", "SUBSCRIPTIONS")</f>
        <v xml:space="preserve">          6275 - SUBSCRIPTIONS</v>
      </c>
      <c r="C96" s="11"/>
      <c r="D96" s="6">
        <v>393.42</v>
      </c>
      <c r="E96" s="2"/>
      <c r="F96" s="7">
        <f t="shared" si="68"/>
        <v>1.5478140095509353E-4</v>
      </c>
      <c r="G96" s="2"/>
      <c r="H96" s="6">
        <v>387.42</v>
      </c>
      <c r="I96" s="2"/>
      <c r="J96" s="7">
        <f t="shared" si="69"/>
        <v>1.5139841950945153E-4</v>
      </c>
      <c r="K96" s="2"/>
      <c r="L96" s="6">
        <f t="shared" si="70"/>
        <v>6</v>
      </c>
      <c r="M96" s="2"/>
      <c r="N96" s="7">
        <f t="shared" si="71"/>
        <v>1.5487068297971194E-2</v>
      </c>
      <c r="O96" s="11"/>
      <c r="P96" s="6">
        <v>1696.4</v>
      </c>
      <c r="Q96" s="2"/>
      <c r="R96" s="7">
        <f t="shared" si="72"/>
        <v>2.7112149738223044E-4</v>
      </c>
      <c r="S96" s="2"/>
      <c r="T96" s="6">
        <v>1120.5899999999999</v>
      </c>
      <c r="U96" s="2"/>
      <c r="V96" s="7">
        <f t="shared" si="73"/>
        <v>1.7679665811386658E-4</v>
      </c>
      <c r="W96" s="2"/>
      <c r="X96" s="6">
        <f t="shared" si="74"/>
        <v>575.81000000000017</v>
      </c>
      <c r="Y96" s="2"/>
      <c r="Z96" s="7">
        <f t="shared" si="75"/>
        <v>0.51384538502039123</v>
      </c>
    </row>
    <row r="97" spans="1:26" s="27" customFormat="1" outlineLevel="1" collapsed="1" x14ac:dyDescent="0.25">
      <c r="A97" s="25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SUM(OSRRefD22_20x_0)</f>
        <v>59267.66</v>
      </c>
      <c r="E97" s="1"/>
      <c r="F97" s="5">
        <f t="shared" si="68"/>
        <v>2.3317399842738444E-2</v>
      </c>
      <c r="G97" s="1"/>
      <c r="H97" s="1">
        <f>SUM(OSRRefH22_20x_0)</f>
        <v>49688.619999999988</v>
      </c>
      <c r="I97" s="1"/>
      <c r="J97" s="5">
        <f t="shared" si="69"/>
        <v>1.941763082857292E-2</v>
      </c>
      <c r="K97" s="1"/>
      <c r="L97" s="1">
        <f t="shared" si="70"/>
        <v>9579.0400000000154</v>
      </c>
      <c r="M97" s="1"/>
      <c r="N97" s="5">
        <f t="shared" si="71"/>
        <v>0.19278136523010736</v>
      </c>
      <c r="O97" s="13"/>
      <c r="P97" s="1">
        <f>SUM(OSRRefP22_20x_0)</f>
        <v>196206.36</v>
      </c>
      <c r="Q97" s="1"/>
      <c r="R97" s="5">
        <f t="shared" si="72"/>
        <v>3.1358030015985E-2</v>
      </c>
      <c r="S97" s="1"/>
      <c r="T97" s="1">
        <f>SUM(OSRRefT22_20x_0)</f>
        <v>176868.04</v>
      </c>
      <c r="U97" s="1"/>
      <c r="V97" s="5">
        <f t="shared" si="73"/>
        <v>2.790465593941556E-2</v>
      </c>
      <c r="W97" s="1"/>
      <c r="X97" s="1">
        <f t="shared" si="74"/>
        <v>19338.319999999978</v>
      </c>
      <c r="Y97" s="1"/>
      <c r="Z97" s="5">
        <f t="shared" si="75"/>
        <v>0.10933756036421265</v>
      </c>
    </row>
    <row r="98" spans="1:26" s="24" customFormat="1" hidden="1" outlineLevel="2" x14ac:dyDescent="0.25">
      <c r="A98" s="26"/>
      <c r="B98" s="11" t="str">
        <f>CONCATENATE("          ", "6234", " - ", "EXPENDABLE SUPPLIES &amp; EQUIPMEN")</f>
        <v xml:space="preserve">          6234 - EXPENDABLE SUPPLIES &amp; EQUIPMEN</v>
      </c>
      <c r="C98" s="11"/>
      <c r="D98" s="6">
        <v>4076.8</v>
      </c>
      <c r="E98" s="2"/>
      <c r="F98" s="7">
        <f t="shared" si="68"/>
        <v>1.6039164643732533E-3</v>
      </c>
      <c r="G98" s="2"/>
      <c r="H98" s="6">
        <v>701.87</v>
      </c>
      <c r="I98" s="2"/>
      <c r="J98" s="7">
        <f t="shared" si="69"/>
        <v>2.7428116437225422E-4</v>
      </c>
      <c r="K98" s="2"/>
      <c r="L98" s="6">
        <f t="shared" si="70"/>
        <v>3374.9300000000003</v>
      </c>
      <c r="M98" s="2"/>
      <c r="N98" s="7">
        <f t="shared" si="71"/>
        <v>4.8084830524171149</v>
      </c>
      <c r="O98" s="11"/>
      <c r="P98" s="6">
        <v>11746.89</v>
      </c>
      <c r="Q98" s="2"/>
      <c r="R98" s="7">
        <f t="shared" si="72"/>
        <v>1.8774076906297738E-3</v>
      </c>
      <c r="S98" s="2"/>
      <c r="T98" s="6">
        <v>6168.24</v>
      </c>
      <c r="U98" s="2"/>
      <c r="V98" s="7">
        <f t="shared" si="73"/>
        <v>9.7316968600851027E-4</v>
      </c>
      <c r="W98" s="2"/>
      <c r="X98" s="6">
        <f t="shared" si="74"/>
        <v>5578.65</v>
      </c>
      <c r="Y98" s="2"/>
      <c r="Z98" s="7">
        <f t="shared" si="75"/>
        <v>0.90441519785222357</v>
      </c>
    </row>
    <row r="99" spans="1:26" s="24" customFormat="1" hidden="1" outlineLevel="2" x14ac:dyDescent="0.25">
      <c r="A99" s="26"/>
      <c r="B99" s="11" t="str">
        <f>CONCATENATE("          ", "6237", " - ", "JANITORIAL SUPPLIES")</f>
        <v xml:space="preserve">          6237 - JANITORIAL SUPPLIES</v>
      </c>
      <c r="C99" s="11"/>
      <c r="D99" s="6">
        <v>21890.59</v>
      </c>
      <c r="E99" s="2"/>
      <c r="F99" s="7">
        <f t="shared" si="68"/>
        <v>8.6123130189963929E-3</v>
      </c>
      <c r="G99" s="2"/>
      <c r="H99" s="6">
        <v>19830.38</v>
      </c>
      <c r="I99" s="2"/>
      <c r="J99" s="7">
        <f t="shared" si="69"/>
        <v>7.7494403754887137E-3</v>
      </c>
      <c r="K99" s="2"/>
      <c r="L99" s="6">
        <f t="shared" si="70"/>
        <v>2060.2099999999991</v>
      </c>
      <c r="M99" s="2"/>
      <c r="N99" s="7">
        <f t="shared" si="71"/>
        <v>0.10389160469945603</v>
      </c>
      <c r="O99" s="11"/>
      <c r="P99" s="6">
        <v>56342.5</v>
      </c>
      <c r="Q99" s="2"/>
      <c r="R99" s="7">
        <f t="shared" si="72"/>
        <v>9.0047529864762527E-3</v>
      </c>
      <c r="S99" s="2"/>
      <c r="T99" s="6">
        <v>60696.47</v>
      </c>
      <c r="U99" s="2"/>
      <c r="V99" s="7">
        <f t="shared" si="73"/>
        <v>9.5761456512270873E-3</v>
      </c>
      <c r="W99" s="2"/>
      <c r="X99" s="6">
        <f t="shared" si="74"/>
        <v>-4353.9700000000012</v>
      </c>
      <c r="Y99" s="2"/>
      <c r="Z99" s="7">
        <f t="shared" si="75"/>
        <v>-7.1733496198378599E-2</v>
      </c>
    </row>
    <row r="100" spans="1:26" s="24" customFormat="1" hidden="1" outlineLevel="2" x14ac:dyDescent="0.25">
      <c r="A100" s="26"/>
      <c r="B100" s="11" t="str">
        <f>CONCATENATE("          ", "6239", " - ", "KITCHEN SUPPLIES")</f>
        <v xml:space="preserve">          6239 - KITCHEN SUPPLIES</v>
      </c>
      <c r="C100" s="11"/>
      <c r="D100" s="6">
        <v>13696.84</v>
      </c>
      <c r="E100" s="2"/>
      <c r="F100" s="7">
        <f t="shared" si="68"/>
        <v>5.3886840624720739E-3</v>
      </c>
      <c r="G100" s="2"/>
      <c r="H100" s="6">
        <v>7148.57</v>
      </c>
      <c r="I100" s="2"/>
      <c r="J100" s="7">
        <f t="shared" si="69"/>
        <v>2.793563057541376E-3</v>
      </c>
      <c r="K100" s="2"/>
      <c r="L100" s="6">
        <f t="shared" si="70"/>
        <v>6548.27</v>
      </c>
      <c r="M100" s="2"/>
      <c r="N100" s="7">
        <f t="shared" si="71"/>
        <v>0.91602516307457305</v>
      </c>
      <c r="O100" s="11"/>
      <c r="P100" s="6">
        <v>46871.97</v>
      </c>
      <c r="Q100" s="2"/>
      <c r="R100" s="7">
        <f t="shared" si="72"/>
        <v>7.4911569745667187E-3</v>
      </c>
      <c r="S100" s="2"/>
      <c r="T100" s="6">
        <v>23202.82</v>
      </c>
      <c r="U100" s="2"/>
      <c r="V100" s="7">
        <f t="shared" si="73"/>
        <v>3.6607332162678467E-3</v>
      </c>
      <c r="W100" s="2"/>
      <c r="X100" s="6">
        <f t="shared" si="74"/>
        <v>23669.15</v>
      </c>
      <c r="Y100" s="2"/>
      <c r="Z100" s="7">
        <f t="shared" si="75"/>
        <v>1.0200979880893788</v>
      </c>
    </row>
    <row r="101" spans="1:26" s="24" customFormat="1" hidden="1" outlineLevel="2" x14ac:dyDescent="0.25">
      <c r="A101" s="26"/>
      <c r="B101" s="11" t="str">
        <f>CONCATENATE("          ", "6241", " - ", "OFFICE EXPENSE")</f>
        <v xml:space="preserve">          6241 - OFFICE EXPENSE</v>
      </c>
      <c r="C101" s="11"/>
      <c r="D101" s="6">
        <v>3138.24</v>
      </c>
      <c r="E101" s="2"/>
      <c r="F101" s="7">
        <f t="shared" si="68"/>
        <v>1.2346631684543559E-3</v>
      </c>
      <c r="G101" s="2"/>
      <c r="H101" s="6">
        <v>3846.78</v>
      </c>
      <c r="I101" s="2"/>
      <c r="J101" s="7">
        <f t="shared" si="69"/>
        <v>1.5032688353739301E-3</v>
      </c>
      <c r="K101" s="2"/>
      <c r="L101" s="6">
        <f t="shared" si="70"/>
        <v>-708.54000000000042</v>
      </c>
      <c r="M101" s="2"/>
      <c r="N101" s="7">
        <f t="shared" si="71"/>
        <v>-0.18419041380063336</v>
      </c>
      <c r="O101" s="11"/>
      <c r="P101" s="6">
        <v>35570.35</v>
      </c>
      <c r="Q101" s="2"/>
      <c r="R101" s="7">
        <f t="shared" si="72"/>
        <v>5.684913083240992E-3</v>
      </c>
      <c r="S101" s="2"/>
      <c r="T101" s="6">
        <v>14344.71</v>
      </c>
      <c r="U101" s="2"/>
      <c r="V101" s="7">
        <f t="shared" si="73"/>
        <v>2.2631799227304929E-3</v>
      </c>
      <c r="W101" s="2"/>
      <c r="X101" s="6">
        <f t="shared" si="74"/>
        <v>21225.64</v>
      </c>
      <c r="Y101" s="2"/>
      <c r="Z101" s="7">
        <f t="shared" si="75"/>
        <v>1.4796841483724663</v>
      </c>
    </row>
    <row r="102" spans="1:26" s="24" customFormat="1" hidden="1" outlineLevel="2" x14ac:dyDescent="0.25">
      <c r="A102" s="26"/>
      <c r="B102" s="11" t="str">
        <f>CONCATENATE("          ", "6243", " - ", "PAPER SUPPLIES")</f>
        <v xml:space="preserve">          6243 - PAPER SUPPLIES</v>
      </c>
      <c r="C102" s="11"/>
      <c r="D102" s="6">
        <v>16026.590000000002</v>
      </c>
      <c r="E102" s="2"/>
      <c r="F102" s="7">
        <f t="shared" si="68"/>
        <v>6.3052667702020553E-3</v>
      </c>
      <c r="G102" s="2"/>
      <c r="H102" s="6">
        <v>17276.38</v>
      </c>
      <c r="I102" s="2"/>
      <c r="J102" s="7">
        <f t="shared" si="69"/>
        <v>6.751372223542146E-3</v>
      </c>
      <c r="K102" s="2"/>
      <c r="L102" s="6">
        <f t="shared" si="70"/>
        <v>-1249.7899999999991</v>
      </c>
      <c r="M102" s="2"/>
      <c r="N102" s="7">
        <f t="shared" si="71"/>
        <v>-7.2340964947517877E-2</v>
      </c>
      <c r="O102" s="11"/>
      <c r="P102" s="6">
        <v>42726.28</v>
      </c>
      <c r="Q102" s="2"/>
      <c r="R102" s="7">
        <f t="shared" si="72"/>
        <v>6.8285858353999305E-3</v>
      </c>
      <c r="S102" s="2"/>
      <c r="T102" s="6">
        <v>48859.58</v>
      </c>
      <c r="U102" s="2"/>
      <c r="V102" s="7">
        <f t="shared" si="73"/>
        <v>7.7086271168287368E-3</v>
      </c>
      <c r="W102" s="2"/>
      <c r="X102" s="6">
        <f t="shared" si="74"/>
        <v>-6133.3000000000029</v>
      </c>
      <c r="Y102" s="2"/>
      <c r="Z102" s="7">
        <f t="shared" si="75"/>
        <v>-0.12552911834281022</v>
      </c>
    </row>
    <row r="103" spans="1:26" s="24" customFormat="1" hidden="1" outlineLevel="2" x14ac:dyDescent="0.25">
      <c r="A103" s="26"/>
      <c r="B103" s="11" t="str">
        <f>CONCATENATE("          ", "6245", " - ", "PRINTING")</f>
        <v xml:space="preserve">          6245 - PRINTING</v>
      </c>
      <c r="C103" s="11"/>
      <c r="D103" s="6">
        <v>84.16</v>
      </c>
      <c r="E103" s="2"/>
      <c r="F103" s="7">
        <f t="shared" si="68"/>
        <v>3.3110677404251616E-5</v>
      </c>
      <c r="G103" s="2"/>
      <c r="H103" s="6">
        <v>145.09</v>
      </c>
      <c r="I103" s="2"/>
      <c r="J103" s="7">
        <f t="shared" si="69"/>
        <v>5.6699180957685001E-5</v>
      </c>
      <c r="K103" s="2"/>
      <c r="L103" s="6">
        <f t="shared" si="70"/>
        <v>-60.930000000000007</v>
      </c>
      <c r="M103" s="2"/>
      <c r="N103" s="7">
        <f t="shared" si="71"/>
        <v>-0.41994624026466337</v>
      </c>
      <c r="O103" s="11"/>
      <c r="P103" s="6">
        <v>1606.35</v>
      </c>
      <c r="Q103" s="2"/>
      <c r="R103" s="7">
        <f t="shared" si="72"/>
        <v>2.5672955512847544E-4</v>
      </c>
      <c r="S103" s="2"/>
      <c r="T103" s="6">
        <v>1828.87</v>
      </c>
      <c r="U103" s="2"/>
      <c r="V103" s="7">
        <f t="shared" si="73"/>
        <v>2.8854273563453823E-4</v>
      </c>
      <c r="W103" s="2"/>
      <c r="X103" s="6">
        <f t="shared" si="74"/>
        <v>-222.51999999999998</v>
      </c>
      <c r="Y103" s="2"/>
      <c r="Z103" s="7">
        <f t="shared" si="75"/>
        <v>-0.1216707584464724</v>
      </c>
    </row>
    <row r="104" spans="1:26" s="24" customFormat="1" hidden="1" outlineLevel="2" x14ac:dyDescent="0.25">
      <c r="A104" s="26"/>
      <c r="B104" s="11" t="str">
        <f>CONCATENATE("          ", "6247", " - ", "STORE SUPPLIES")</f>
        <v xml:space="preserve">          6247 - STORE SUPPLIES</v>
      </c>
      <c r="C104" s="11"/>
      <c r="D104" s="6">
        <v>215.03</v>
      </c>
      <c r="E104" s="2"/>
      <c r="F104" s="7">
        <f t="shared" si="68"/>
        <v>8.4598252878282149E-5</v>
      </c>
      <c r="G104" s="2"/>
      <c r="H104" s="6">
        <v>55.09</v>
      </c>
      <c r="I104" s="2"/>
      <c r="J104" s="7">
        <f t="shared" si="69"/>
        <v>2.1528416010468445E-5</v>
      </c>
      <c r="K104" s="2"/>
      <c r="L104" s="6">
        <f t="shared" si="70"/>
        <v>159.94</v>
      </c>
      <c r="M104" s="2"/>
      <c r="N104" s="7">
        <f t="shared" si="71"/>
        <v>2.9032492285351239</v>
      </c>
      <c r="O104" s="11"/>
      <c r="P104" s="6">
        <v>2314.5300000000002</v>
      </c>
      <c r="Q104" s="2"/>
      <c r="R104" s="7">
        <f t="shared" si="72"/>
        <v>3.6991207223301923E-4</v>
      </c>
      <c r="S104" s="2"/>
      <c r="T104" s="6">
        <v>4804.78</v>
      </c>
      <c r="U104" s="2"/>
      <c r="V104" s="7">
        <f t="shared" si="73"/>
        <v>7.5805517358921992E-4</v>
      </c>
      <c r="W104" s="2"/>
      <c r="X104" s="6">
        <f t="shared" si="74"/>
        <v>-2490.2499999999995</v>
      </c>
      <c r="Y104" s="2"/>
      <c r="Z104" s="7">
        <f t="shared" si="75"/>
        <v>-0.51828595690125245</v>
      </c>
    </row>
    <row r="105" spans="1:26" s="24" customFormat="1" hidden="1" outlineLevel="2" x14ac:dyDescent="0.25">
      <c r="A105" s="26"/>
      <c r="B105" s="11" t="str">
        <f>CONCATENATE("          ", "6248", " - ", "UNIFORMS")</f>
        <v xml:space="preserve">          6248 - UNIFORMS</v>
      </c>
      <c r="C105" s="11"/>
      <c r="D105" s="6">
        <v>139.41</v>
      </c>
      <c r="E105" s="2"/>
      <c r="F105" s="7">
        <f t="shared" si="68"/>
        <v>5.4847427957779442E-5</v>
      </c>
      <c r="G105" s="2"/>
      <c r="H105" s="6">
        <v>684.46</v>
      </c>
      <c r="I105" s="2"/>
      <c r="J105" s="7">
        <f t="shared" si="69"/>
        <v>2.6747757528635383E-4</v>
      </c>
      <c r="K105" s="2"/>
      <c r="L105" s="6">
        <f t="shared" si="70"/>
        <v>-545.05000000000007</v>
      </c>
      <c r="M105" s="2"/>
      <c r="N105" s="7">
        <f t="shared" si="71"/>
        <v>-0.79632118750547887</v>
      </c>
      <c r="O105" s="11"/>
      <c r="P105" s="6">
        <v>-972.51</v>
      </c>
      <c r="Q105" s="2"/>
      <c r="R105" s="7">
        <f t="shared" si="72"/>
        <v>-1.5542818169016323E-4</v>
      </c>
      <c r="S105" s="2"/>
      <c r="T105" s="6">
        <v>16962.57</v>
      </c>
      <c r="U105" s="2"/>
      <c r="V105" s="7">
        <f t="shared" si="73"/>
        <v>2.6762024371291284E-3</v>
      </c>
      <c r="W105" s="2"/>
      <c r="X105" s="6">
        <f t="shared" si="74"/>
        <v>-17935.079999999998</v>
      </c>
      <c r="Y105" s="2"/>
      <c r="Z105" s="7">
        <f t="shared" si="75"/>
        <v>-1.0573327037117606</v>
      </c>
    </row>
    <row r="106" spans="1:26" s="27" customFormat="1" outlineLevel="1" collapsed="1" x14ac:dyDescent="0.25">
      <c r="A106" s="25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SUM(OSRRefD22_21x_0)</f>
        <v>3152.32</v>
      </c>
      <c r="E106" s="1"/>
      <c r="F106" s="5">
        <f t="shared" ref="F106:F113" si="76">IF(D$12=0,0,D106/D$12)</f>
        <v>1.2402025973736984E-3</v>
      </c>
      <c r="G106" s="1"/>
      <c r="H106" s="1">
        <f>SUM(OSRRefH22_21x_0)</f>
        <v>2695.23</v>
      </c>
      <c r="I106" s="1"/>
      <c r="J106" s="5">
        <f t="shared" ref="J106:J113" si="77">IF(H$12=0,0,H106/H$12)</f>
        <v>1.0532588978742941E-3</v>
      </c>
      <c r="K106" s="1"/>
      <c r="L106" s="1">
        <f t="shared" ref="L106:L113" si="78">+D106-H106</f>
        <v>457.09000000000015</v>
      </c>
      <c r="M106" s="1"/>
      <c r="N106" s="5">
        <f t="shared" ref="N106:N113" si="79">IF(H106=0,0,L106/H106)</f>
        <v>0.16959220548895648</v>
      </c>
      <c r="O106" s="13"/>
      <c r="P106" s="1">
        <f>SUM(OSRRefP22_21x_0)</f>
        <v>9353.36</v>
      </c>
      <c r="Q106" s="1"/>
      <c r="R106" s="5">
        <f t="shared" ref="R106:R113" si="80">IF(P$12=0,0,P106/P$12)</f>
        <v>1.4948697057032886E-3</v>
      </c>
      <c r="S106" s="1"/>
      <c r="T106" s="1">
        <f>SUM(OSRRefT22_21x_0)</f>
        <v>10468.469999999999</v>
      </c>
      <c r="U106" s="1"/>
      <c r="V106" s="5">
        <f t="shared" ref="V106:V113" si="81">IF(T$12=0,0,T106/T$12)</f>
        <v>1.6516214775834774E-3</v>
      </c>
      <c r="W106" s="1"/>
      <c r="X106" s="1">
        <f t="shared" ref="X106:X113" si="82">+P106-T106</f>
        <v>-1115.1099999999988</v>
      </c>
      <c r="Y106" s="1"/>
      <c r="Z106" s="5">
        <f t="shared" ref="Z106:Z113" si="83">IF(T106=0,0,X106/T106)</f>
        <v>-0.10652081918370104</v>
      </c>
    </row>
    <row r="107" spans="1:26" s="24" customFormat="1" hidden="1" outlineLevel="2" x14ac:dyDescent="0.25">
      <c r="A107" s="26"/>
      <c r="B107" s="11" t="str">
        <f>CONCATENATE("          ", "6309", " - ", "TELEPHONE")</f>
        <v xml:space="preserve">          6309 - TELEPHONE</v>
      </c>
      <c r="C107" s="11"/>
      <c r="D107" s="6">
        <v>3152.32</v>
      </c>
      <c r="E107" s="2"/>
      <c r="F107" s="7">
        <f t="shared" si="76"/>
        <v>1.2402025973736984E-3</v>
      </c>
      <c r="G107" s="2"/>
      <c r="H107" s="6">
        <v>2695.23</v>
      </c>
      <c r="I107" s="2"/>
      <c r="J107" s="7">
        <f t="shared" si="77"/>
        <v>1.0532588978742941E-3</v>
      </c>
      <c r="K107" s="2"/>
      <c r="L107" s="6">
        <f t="shared" si="78"/>
        <v>457.09000000000015</v>
      </c>
      <c r="M107" s="2"/>
      <c r="N107" s="7">
        <f t="shared" si="79"/>
        <v>0.16959220548895648</v>
      </c>
      <c r="O107" s="11"/>
      <c r="P107" s="6">
        <v>9353.36</v>
      </c>
      <c r="Q107" s="2"/>
      <c r="R107" s="7">
        <f t="shared" si="80"/>
        <v>1.4948697057032886E-3</v>
      </c>
      <c r="S107" s="2"/>
      <c r="T107" s="6">
        <v>10468.469999999999</v>
      </c>
      <c r="U107" s="2"/>
      <c r="V107" s="7">
        <f t="shared" si="81"/>
        <v>1.6516214775834774E-3</v>
      </c>
      <c r="W107" s="2"/>
      <c r="X107" s="6">
        <f t="shared" si="82"/>
        <v>-1115.1099999999988</v>
      </c>
      <c r="Y107" s="2"/>
      <c r="Z107" s="7">
        <f t="shared" si="83"/>
        <v>-0.10652081918370104</v>
      </c>
    </row>
    <row r="108" spans="1:26" s="27" customFormat="1" outlineLevel="1" collapsed="1" x14ac:dyDescent="0.25">
      <c r="A108" s="25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SUM(OSRRefD22_22x_0)</f>
        <v>332.95</v>
      </c>
      <c r="E108" s="1"/>
      <c r="F108" s="5">
        <f t="shared" si="76"/>
        <v>1.3099097007777537E-4</v>
      </c>
      <c r="G108" s="1"/>
      <c r="H108" s="1">
        <f>SUM(OSRRefH22_22x_0)</f>
        <v>372.07</v>
      </c>
      <c r="I108" s="1"/>
      <c r="J108" s="5">
        <f t="shared" si="77"/>
        <v>1.4539985015456515E-4</v>
      </c>
      <c r="K108" s="1"/>
      <c r="L108" s="1">
        <f t="shared" si="78"/>
        <v>-39.120000000000005</v>
      </c>
      <c r="M108" s="1"/>
      <c r="N108" s="5">
        <f t="shared" si="79"/>
        <v>-0.10514150563066091</v>
      </c>
      <c r="O108" s="13"/>
      <c r="P108" s="1">
        <f>SUM(OSRRefP22_22x_0)</f>
        <v>5299.77</v>
      </c>
      <c r="Q108" s="1"/>
      <c r="R108" s="5">
        <f t="shared" si="80"/>
        <v>8.4701814323356721E-4</v>
      </c>
      <c r="S108" s="1"/>
      <c r="T108" s="1">
        <f>SUM(OSRRefT22_22x_0)</f>
        <v>6697.94</v>
      </c>
      <c r="U108" s="1"/>
      <c r="V108" s="5">
        <f t="shared" si="81"/>
        <v>1.0567410098672946E-3</v>
      </c>
      <c r="W108" s="1"/>
      <c r="X108" s="1">
        <f t="shared" si="82"/>
        <v>-1398.1699999999992</v>
      </c>
      <c r="Y108" s="1"/>
      <c r="Z108" s="5">
        <f t="shared" si="83"/>
        <v>-0.20874627124160552</v>
      </c>
    </row>
    <row r="109" spans="1:26" s="24" customFormat="1" hidden="1" outlineLevel="2" x14ac:dyDescent="0.25">
      <c r="A109" s="26"/>
      <c r="B109" s="11" t="str">
        <f>CONCATENATE("          ", "6376", " - ", "TRAINING")</f>
        <v xml:space="preserve">          6376 - TRAINING</v>
      </c>
      <c r="C109" s="11"/>
      <c r="D109" s="6">
        <v>332.95</v>
      </c>
      <c r="E109" s="2"/>
      <c r="F109" s="7">
        <f t="shared" si="76"/>
        <v>1.3099097007777537E-4</v>
      </c>
      <c r="G109" s="2"/>
      <c r="H109" s="6">
        <v>372.07</v>
      </c>
      <c r="I109" s="2"/>
      <c r="J109" s="7">
        <f t="shared" si="77"/>
        <v>1.4539985015456515E-4</v>
      </c>
      <c r="K109" s="2"/>
      <c r="L109" s="6">
        <f t="shared" si="78"/>
        <v>-39.120000000000005</v>
      </c>
      <c r="M109" s="2"/>
      <c r="N109" s="7">
        <f t="shared" si="79"/>
        <v>-0.10514150563066091</v>
      </c>
      <c r="O109" s="11"/>
      <c r="P109" s="6">
        <v>5299.77</v>
      </c>
      <c r="Q109" s="2"/>
      <c r="R109" s="7">
        <f t="shared" si="80"/>
        <v>8.4701814323356721E-4</v>
      </c>
      <c r="S109" s="2"/>
      <c r="T109" s="6">
        <v>6697.94</v>
      </c>
      <c r="U109" s="2"/>
      <c r="V109" s="7">
        <f t="shared" si="81"/>
        <v>1.0567410098672946E-3</v>
      </c>
      <c r="W109" s="2"/>
      <c r="X109" s="6">
        <f t="shared" si="82"/>
        <v>-1398.1699999999992</v>
      </c>
      <c r="Y109" s="2"/>
      <c r="Z109" s="7">
        <f t="shared" si="83"/>
        <v>-0.20874627124160552</v>
      </c>
    </row>
    <row r="110" spans="1:26" s="27" customFormat="1" outlineLevel="1" collapsed="1" x14ac:dyDescent="0.25">
      <c r="A110" s="25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SUM(OSRRefD22_23x_0)</f>
        <v>291.26</v>
      </c>
      <c r="E110" s="1"/>
      <c r="F110" s="5">
        <f t="shared" si="76"/>
        <v>1.1458906726190977E-4</v>
      </c>
      <c r="G110" s="1"/>
      <c r="H110" s="1">
        <f>SUM(OSRRefH22_23x_0)</f>
        <v>370.29</v>
      </c>
      <c r="I110" s="1"/>
      <c r="J110" s="5">
        <f t="shared" si="77"/>
        <v>1.4470425058116465E-4</v>
      </c>
      <c r="K110" s="1"/>
      <c r="L110" s="1">
        <f t="shared" si="78"/>
        <v>-79.03000000000003</v>
      </c>
      <c r="M110" s="1"/>
      <c r="N110" s="5">
        <f t="shared" si="79"/>
        <v>-0.21342731372707885</v>
      </c>
      <c r="O110" s="13"/>
      <c r="P110" s="1">
        <f>SUM(OSRRefP22_23x_0)</f>
        <v>3080.85</v>
      </c>
      <c r="Q110" s="1"/>
      <c r="R110" s="5">
        <f t="shared" si="80"/>
        <v>4.9238662179323543E-4</v>
      </c>
      <c r="S110" s="1"/>
      <c r="T110" s="1">
        <f>SUM(OSRRefT22_23x_0)</f>
        <v>3302.64</v>
      </c>
      <c r="U110" s="1"/>
      <c r="V110" s="5">
        <f t="shared" si="81"/>
        <v>5.210609723031442E-4</v>
      </c>
      <c r="W110" s="1"/>
      <c r="X110" s="1">
        <f t="shared" si="82"/>
        <v>-221.78999999999996</v>
      </c>
      <c r="Y110" s="1"/>
      <c r="Z110" s="5">
        <f t="shared" si="83"/>
        <v>-6.7155366615798268E-2</v>
      </c>
    </row>
    <row r="111" spans="1:26" s="24" customFormat="1" hidden="1" outlineLevel="2" x14ac:dyDescent="0.25">
      <c r="A111" s="26"/>
      <c r="B111" s="11" t="str">
        <f>CONCATENATE("          ", "6292", " - ", "TRAVEL/CONFERENCE")</f>
        <v xml:space="preserve">          6292 - TRAVEL/CONFERENCE</v>
      </c>
      <c r="C111" s="11"/>
      <c r="D111" s="6">
        <v>291.26</v>
      </c>
      <c r="E111" s="2"/>
      <c r="F111" s="7">
        <f t="shared" si="76"/>
        <v>1.1458906726190977E-4</v>
      </c>
      <c r="G111" s="2"/>
      <c r="H111" s="6">
        <v>122.66</v>
      </c>
      <c r="I111" s="2"/>
      <c r="J111" s="7">
        <f t="shared" si="77"/>
        <v>4.793384476028425E-5</v>
      </c>
      <c r="K111" s="2"/>
      <c r="L111" s="6">
        <f t="shared" si="78"/>
        <v>168.6</v>
      </c>
      <c r="M111" s="2"/>
      <c r="N111" s="7">
        <f t="shared" si="79"/>
        <v>1.3745312245230719</v>
      </c>
      <c r="O111" s="11"/>
      <c r="P111" s="6">
        <v>2525.36</v>
      </c>
      <c r="Q111" s="2"/>
      <c r="R111" s="7">
        <f t="shared" si="80"/>
        <v>4.0360727695660777E-4</v>
      </c>
      <c r="S111" s="2"/>
      <c r="T111" s="6">
        <v>1300.24</v>
      </c>
      <c r="U111" s="2"/>
      <c r="V111" s="7">
        <f t="shared" si="81"/>
        <v>2.0514022679657493E-4</v>
      </c>
      <c r="W111" s="2"/>
      <c r="X111" s="6">
        <f t="shared" si="82"/>
        <v>1225.1200000000001</v>
      </c>
      <c r="Y111" s="2"/>
      <c r="Z111" s="7">
        <f t="shared" si="83"/>
        <v>0.94222605057527853</v>
      </c>
    </row>
    <row r="112" spans="1:26" s="24" customFormat="1" hidden="1" outlineLevel="2" x14ac:dyDescent="0.25">
      <c r="A112" s="26"/>
      <c r="B112" s="11" t="str">
        <f>CONCATENATE("          ", "6294", " - ", "TRAVEL OPERATIONAL")</f>
        <v xml:space="preserve">          6294 - TRAVEL OPERATIONAL</v>
      </c>
      <c r="C112" s="11"/>
      <c r="D112" s="6"/>
      <c r="E112" s="2"/>
      <c r="F112" s="7">
        <f t="shared" si="76"/>
        <v>0</v>
      </c>
      <c r="G112" s="2"/>
      <c r="H112" s="6">
        <v>120.9</v>
      </c>
      <c r="I112" s="2"/>
      <c r="J112" s="7">
        <f t="shared" si="77"/>
        <v>4.7246060912427569E-5</v>
      </c>
      <c r="K112" s="2"/>
      <c r="L112" s="6">
        <f t="shared" si="78"/>
        <v>-120.9</v>
      </c>
      <c r="M112" s="2"/>
      <c r="N112" s="7">
        <f t="shared" si="79"/>
        <v>-1</v>
      </c>
      <c r="O112" s="11"/>
      <c r="P112" s="6">
        <v>45.49</v>
      </c>
      <c r="Q112" s="2"/>
      <c r="R112" s="7">
        <f t="shared" si="80"/>
        <v>7.2702882079212811E-6</v>
      </c>
      <c r="S112" s="2"/>
      <c r="T112" s="6">
        <v>1656.63</v>
      </c>
      <c r="U112" s="2"/>
      <c r="V112" s="7">
        <f t="shared" si="81"/>
        <v>2.6136825041377744E-4</v>
      </c>
      <c r="W112" s="2"/>
      <c r="X112" s="6">
        <f t="shared" si="82"/>
        <v>-1611.14</v>
      </c>
      <c r="Y112" s="2"/>
      <c r="Z112" s="7">
        <f t="shared" si="83"/>
        <v>-0.97254063973246896</v>
      </c>
    </row>
    <row r="113" spans="1:26" s="24" customFormat="1" hidden="1" outlineLevel="2" x14ac:dyDescent="0.25">
      <c r="A113" s="26"/>
      <c r="B113" s="11" t="str">
        <f>CONCATENATE("          ", "6298", " - ", "VEHICLE MILEAGE")</f>
        <v xml:space="preserve">          6298 - VEHICLE MILEAGE</v>
      </c>
      <c r="C113" s="11"/>
      <c r="D113" s="6"/>
      <c r="E113" s="2"/>
      <c r="F113" s="7">
        <f t="shared" si="76"/>
        <v>0</v>
      </c>
      <c r="G113" s="2"/>
      <c r="H113" s="6">
        <v>126.73</v>
      </c>
      <c r="I113" s="2"/>
      <c r="J113" s="7">
        <f t="shared" si="77"/>
        <v>4.9524344908452821E-5</v>
      </c>
      <c r="K113" s="2"/>
      <c r="L113" s="6">
        <f t="shared" si="78"/>
        <v>-126.73</v>
      </c>
      <c r="M113" s="2"/>
      <c r="N113" s="7">
        <f t="shared" si="79"/>
        <v>-1</v>
      </c>
      <c r="O113" s="11"/>
      <c r="P113" s="6">
        <v>510</v>
      </c>
      <c r="Q113" s="2"/>
      <c r="R113" s="7">
        <f t="shared" si="80"/>
        <v>8.1509056628706385E-5</v>
      </c>
      <c r="S113" s="2"/>
      <c r="T113" s="6">
        <v>345.77</v>
      </c>
      <c r="U113" s="2"/>
      <c r="V113" s="7">
        <f t="shared" si="81"/>
        <v>5.455249509279188E-5</v>
      </c>
      <c r="W113" s="2"/>
      <c r="X113" s="6">
        <f t="shared" si="82"/>
        <v>164.23000000000002</v>
      </c>
      <c r="Y113" s="2"/>
      <c r="Z113" s="7">
        <f t="shared" si="83"/>
        <v>0.47496890996905466</v>
      </c>
    </row>
    <row r="114" spans="1:26" s="27" customFormat="1" outlineLevel="1" collapsed="1" x14ac:dyDescent="0.25">
      <c r="A114" s="25"/>
      <c r="B114" s="13" t="str">
        <f>CONCATENATE("     ","Utilities                                         ")</f>
        <v xml:space="preserve">     Utilities                                         </v>
      </c>
      <c r="C114" s="13"/>
      <c r="D114" s="1">
        <f>SUM(OSRRefD22_24x_0)</f>
        <v>13691</v>
      </c>
      <c r="E114" s="1"/>
      <c r="F114" s="5">
        <f t="shared" ref="F114:F115" si="84">IF(D$12=0,0,D114/D$12)</f>
        <v>5.386386458431665E-3</v>
      </c>
      <c r="G114" s="1"/>
      <c r="H114" s="1">
        <f>SUM(OSRRefH22_24x_0)</f>
        <v>-10733.38</v>
      </c>
      <c r="I114" s="1"/>
      <c r="J114" s="5">
        <f t="shared" ref="J114:J115" si="85">IF(H$12=0,0,H114/H$12)</f>
        <v>-4.1944576118795023E-3</v>
      </c>
      <c r="K114" s="1"/>
      <c r="L114" s="1">
        <f t="shared" ref="L114:L115" si="86">+D114-H114</f>
        <v>24424.379999999997</v>
      </c>
      <c r="M114" s="1"/>
      <c r="N114" s="5">
        <f t="shared" ref="N114:N115" si="87">IF(H114=0,0,L114/H114)</f>
        <v>-2.2755534603265701</v>
      </c>
      <c r="O114" s="13"/>
      <c r="P114" s="1">
        <f>SUM(OSRRefP22_24x_0)</f>
        <v>44649</v>
      </c>
      <c r="Q114" s="1"/>
      <c r="R114" s="5">
        <f t="shared" ref="R114:R115" si="88">IF(P$12=0,0,P114/P$12)</f>
        <v>7.1358781753237477E-3</v>
      </c>
      <c r="S114" s="1"/>
      <c r="T114" s="1">
        <f>SUM(OSRRefT22_24x_0)</f>
        <v>30962.620000000003</v>
      </c>
      <c r="U114" s="1"/>
      <c r="V114" s="5">
        <f t="shared" ref="V114:V115" si="89">IF(T$12=0,0,T114/T$12)</f>
        <v>4.8850049906295516E-3</v>
      </c>
      <c r="W114" s="1"/>
      <c r="X114" s="1">
        <f t="shared" ref="X114:X115" si="90">+P114-T114</f>
        <v>13686.379999999997</v>
      </c>
      <c r="Y114" s="1"/>
      <c r="Z114" s="5">
        <f t="shared" ref="Z114:Z115" si="91">IF(T114=0,0,X114/T114)</f>
        <v>0.44202913060974802</v>
      </c>
    </row>
    <row r="115" spans="1:26" s="24" customFormat="1" hidden="1" outlineLevel="2" x14ac:dyDescent="0.25">
      <c r="A115" s="26"/>
      <c r="B115" s="11" t="str">
        <f>CONCATENATE("          ", "6274", " - ", "UTILITIES")</f>
        <v xml:space="preserve">          6274 - UTILITIES</v>
      </c>
      <c r="C115" s="11"/>
      <c r="D115" s="6">
        <v>13691</v>
      </c>
      <c r="E115" s="2"/>
      <c r="F115" s="7">
        <f t="shared" si="84"/>
        <v>5.386386458431665E-3</v>
      </c>
      <c r="G115" s="2"/>
      <c r="H115" s="6">
        <v>-10733.38</v>
      </c>
      <c r="I115" s="2"/>
      <c r="J115" s="7">
        <f t="shared" si="85"/>
        <v>-4.1944576118795023E-3</v>
      </c>
      <c r="K115" s="2"/>
      <c r="L115" s="6">
        <f t="shared" si="86"/>
        <v>24424.379999999997</v>
      </c>
      <c r="M115" s="2"/>
      <c r="N115" s="7">
        <f t="shared" si="87"/>
        <v>-2.2755534603265701</v>
      </c>
      <c r="O115" s="11"/>
      <c r="P115" s="6">
        <v>44649</v>
      </c>
      <c r="Q115" s="2"/>
      <c r="R115" s="7">
        <f t="shared" si="88"/>
        <v>7.1358781753237477E-3</v>
      </c>
      <c r="S115" s="2"/>
      <c r="T115" s="6">
        <v>30962.620000000003</v>
      </c>
      <c r="U115" s="2"/>
      <c r="V115" s="7">
        <f t="shared" si="89"/>
        <v>4.8850049906295516E-3</v>
      </c>
      <c r="W115" s="2"/>
      <c r="X115" s="6">
        <f t="shared" si="90"/>
        <v>13686.379999999997</v>
      </c>
      <c r="Y115" s="2"/>
      <c r="Z115" s="7">
        <f t="shared" si="91"/>
        <v>0.44202913060974802</v>
      </c>
    </row>
    <row r="116" spans="1:26" s="55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9" t="s">
        <v>0</v>
      </c>
      <c r="C117" s="10"/>
      <c r="D117" s="4">
        <f>SUM(OSRRefD25x_0)</f>
        <v>123863.64</v>
      </c>
      <c r="E117" s="4"/>
      <c r="F117" s="12">
        <f t="shared" ref="F117:F120" si="92">IF(D$12=0,0,D117/D$12)</f>
        <v>4.8731095843112603E-2</v>
      </c>
      <c r="G117" s="4"/>
      <c r="H117" s="4">
        <f>SUM(OSRRefH25x_0)</f>
        <v>63929.899999999994</v>
      </c>
      <c r="I117" s="4"/>
      <c r="J117" s="12">
        <f t="shared" ref="J117:J120" si="93">IF(H$12=0,0,H117/H$12)</f>
        <v>2.498292762221177E-2</v>
      </c>
      <c r="K117" s="4"/>
      <c r="L117" s="4">
        <f t="shared" ref="L117:L120" si="94">+D117-H117</f>
        <v>59933.740000000005</v>
      </c>
      <c r="M117" s="4"/>
      <c r="N117" s="12">
        <f t="shared" ref="N117:N120" si="95">IF(H117=0,0,L117/H117)</f>
        <v>0.93749153369550098</v>
      </c>
      <c r="O117" s="10"/>
      <c r="P117" s="4">
        <f>SUM(OSRRefP25x_0)</f>
        <v>426524.63</v>
      </c>
      <c r="Q117" s="4"/>
      <c r="R117" s="12">
        <f t="shared" ref="R117:R120" si="96">IF(P$12=0,0,P117/P$12)</f>
        <v>6.8167882784721634E-2</v>
      </c>
      <c r="S117" s="4"/>
      <c r="T117" s="4">
        <f>SUM(OSRRefT25x_0)</f>
        <v>332923.26</v>
      </c>
      <c r="U117" s="4"/>
      <c r="V117" s="12">
        <f t="shared" ref="V117:V120" si="97">IF(T$12=0,0,T117/T$12)</f>
        <v>5.2525651466079404E-2</v>
      </c>
      <c r="W117" s="4"/>
      <c r="X117" s="4">
        <f t="shared" ref="X117:X120" si="98">+P117-T117</f>
        <v>93601.37</v>
      </c>
      <c r="Y117" s="4"/>
      <c r="Z117" s="12">
        <f t="shared" ref="Z117:Z120" si="99">IF(T117=0,0,X117/T117)</f>
        <v>0.28114998633619048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>--50769.74</f>
        <v>50769.74</v>
      </c>
      <c r="E118" s="2"/>
      <c r="F118" s="19">
        <f t="shared" si="92"/>
        <v>1.9974102697691652E-2</v>
      </c>
      <c r="G118" s="2"/>
      <c r="H118" s="2">
        <f>--46010.97</f>
        <v>46010.97</v>
      </c>
      <c r="I118" s="2"/>
      <c r="J118" s="19">
        <f t="shared" si="93"/>
        <v>1.798045567626036E-2</v>
      </c>
      <c r="K118" s="2"/>
      <c r="L118" s="2">
        <f t="shared" si="94"/>
        <v>4758.7699999999968</v>
      </c>
      <c r="M118" s="2"/>
      <c r="N118" s="19">
        <f t="shared" si="95"/>
        <v>0.10342685668222158</v>
      </c>
      <c r="O118" s="11"/>
      <c r="P118" s="2">
        <f>--117296.68</f>
        <v>117296.68</v>
      </c>
      <c r="Q118" s="2"/>
      <c r="R118" s="19">
        <f t="shared" si="96"/>
        <v>1.874655241662598E-2</v>
      </c>
      <c r="S118" s="2"/>
      <c r="T118" s="2">
        <f>--76307.48</f>
        <v>76307.48</v>
      </c>
      <c r="U118" s="2"/>
      <c r="V118" s="19">
        <f t="shared" si="97"/>
        <v>1.2039111051402129E-2</v>
      </c>
      <c r="W118" s="2"/>
      <c r="X118" s="2">
        <f t="shared" si="98"/>
        <v>40989.199999999997</v>
      </c>
      <c r="Y118" s="2"/>
      <c r="Z118" s="19">
        <f t="shared" si="99"/>
        <v>0.53715834935185902</v>
      </c>
    </row>
    <row r="119" spans="1:26" s="24" customFormat="1" hidden="1" outlineLevel="1" x14ac:dyDescent="0.25">
      <c r="A119" s="44"/>
      <c r="B119" s="11" t="str">
        <f>CONCATENATE("          ", "9160", " - ", "MISC. INCOME")</f>
        <v xml:space="preserve">          9160 - MISC. INCOME</v>
      </c>
      <c r="C119" s="11"/>
      <c r="D119" s="2">
        <f>--65384.61</f>
        <v>65384.61</v>
      </c>
      <c r="E119" s="2"/>
      <c r="F119" s="19">
        <f t="shared" si="92"/>
        <v>2.5723963033659748E-2</v>
      </c>
      <c r="G119" s="2"/>
      <c r="H119" s="2">
        <f>--9962.34</f>
        <v>9962.34</v>
      </c>
      <c r="I119" s="2"/>
      <c r="J119" s="19">
        <f t="shared" si="93"/>
        <v>3.8931457607139261E-3</v>
      </c>
      <c r="K119" s="2"/>
      <c r="L119" s="2">
        <f t="shared" si="94"/>
        <v>55422.270000000004</v>
      </c>
      <c r="M119" s="2"/>
      <c r="N119" s="19">
        <f t="shared" si="95"/>
        <v>5.5631779280771392</v>
      </c>
      <c r="O119" s="11"/>
      <c r="P119" s="2">
        <f>--96357.88</f>
        <v>96357.88</v>
      </c>
      <c r="Q119" s="2"/>
      <c r="R119" s="19">
        <f t="shared" si="96"/>
        <v>1.5400078230474694E-2</v>
      </c>
      <c r="S119" s="2"/>
      <c r="T119" s="2">
        <f>--45404.5</f>
        <v>45404.5</v>
      </c>
      <c r="U119" s="2"/>
      <c r="V119" s="19">
        <f t="shared" si="97"/>
        <v>7.1635155260452582E-3</v>
      </c>
      <c r="W119" s="2"/>
      <c r="X119" s="2">
        <f t="shared" si="98"/>
        <v>50953.380000000005</v>
      </c>
      <c r="Y119" s="2"/>
      <c r="Z119" s="19">
        <f t="shared" si="99"/>
        <v>1.122209913114339</v>
      </c>
    </row>
    <row r="120" spans="1:26" s="24" customFormat="1" hidden="1" outlineLevel="1" x14ac:dyDescent="0.25">
      <c r="A120" s="44"/>
      <c r="B120" s="11" t="str">
        <f>CONCATENATE("          ", "9165", " - ", "OTHER INCOME")</f>
        <v xml:space="preserve">          9165 - OTHER INCOME</v>
      </c>
      <c r="C120" s="11"/>
      <c r="D120" s="2">
        <f>--7709.29</f>
        <v>7709.29</v>
      </c>
      <c r="E120" s="2"/>
      <c r="F120" s="19">
        <f t="shared" si="92"/>
        <v>3.0330301117612044E-3</v>
      </c>
      <c r="G120" s="2"/>
      <c r="H120" s="2">
        <f>--7956.59</f>
        <v>7956.59</v>
      </c>
      <c r="I120" s="2"/>
      <c r="J120" s="19">
        <f t="shared" si="93"/>
        <v>3.1093261852374863E-3</v>
      </c>
      <c r="K120" s="2"/>
      <c r="L120" s="2">
        <f t="shared" si="94"/>
        <v>-247.30000000000018</v>
      </c>
      <c r="M120" s="2"/>
      <c r="N120" s="19">
        <f t="shared" si="95"/>
        <v>-3.1081154112502993E-2</v>
      </c>
      <c r="O120" s="11"/>
      <c r="P120" s="2">
        <f>--212870.07</f>
        <v>212870.07</v>
      </c>
      <c r="Q120" s="2"/>
      <c r="R120" s="19">
        <f t="shared" si="96"/>
        <v>3.4021252137620965E-2</v>
      </c>
      <c r="S120" s="2"/>
      <c r="T120" s="2">
        <f>--211211.28</f>
        <v>211211.28</v>
      </c>
      <c r="U120" s="2"/>
      <c r="V120" s="19">
        <f t="shared" si="97"/>
        <v>3.3323024888632015E-2</v>
      </c>
      <c r="W120" s="2"/>
      <c r="X120" s="2">
        <f t="shared" si="98"/>
        <v>1658.7900000000081</v>
      </c>
      <c r="Y120" s="2"/>
      <c r="Z120" s="19">
        <f t="shared" si="99"/>
        <v>7.853699859212103E-3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8" t="s">
        <v>3</v>
      </c>
      <c r="C122" s="28"/>
      <c r="D122" s="21">
        <f>+D30-D32+D117</f>
        <v>746796.26000000013</v>
      </c>
      <c r="E122" s="14"/>
      <c r="F122" s="22">
        <f>IF(D$12=0,0,D122/D$12)</f>
        <v>0.29380857951000022</v>
      </c>
      <c r="G122" s="14"/>
      <c r="H122" s="21">
        <f>+H30-H32+H117</f>
        <v>724970.05000000016</v>
      </c>
      <c r="I122" s="14"/>
      <c r="J122" s="22">
        <f>IF(H$12=0,0,H122/H$12)</f>
        <v>0.28330834691468709</v>
      </c>
      <c r="K122" s="16"/>
      <c r="L122" s="21">
        <f>+D122-H122</f>
        <v>21826.209999999963</v>
      </c>
      <c r="M122" s="16"/>
      <c r="N122" s="22">
        <f>IF(H122=0,0,L122/H122)</f>
        <v>3.0106360945531416E-2</v>
      </c>
      <c r="O122" s="29"/>
      <c r="P122" s="21">
        <f>+P30-P32+P117</f>
        <v>1042800.2199999994</v>
      </c>
      <c r="Q122" s="14"/>
      <c r="R122" s="22">
        <f>IF(P$12=0,0,P122/P$12)</f>
        <v>0.16666208271452435</v>
      </c>
      <c r="S122" s="14"/>
      <c r="T122" s="21">
        <f>+T30-T32+T117</f>
        <v>1335393.6100000006</v>
      </c>
      <c r="U122" s="14"/>
      <c r="V122" s="22">
        <f>IF(T$12=0,0,T122/T$12)</f>
        <v>0.21068644866955105</v>
      </c>
      <c r="W122" s="16"/>
      <c r="X122" s="21">
        <f>+P122-T122</f>
        <v>-292593.39000000118</v>
      </c>
      <c r="Y122" s="16"/>
      <c r="Z122" s="22">
        <f>IF(T122=0,0,X122/T122)</f>
        <v>-0.21910647752762652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1"/>
      <c r="B124" s="10" t="s">
        <v>13</v>
      </c>
      <c r="C124" s="10"/>
      <c r="D124" s="4">
        <v>230781.74</v>
      </c>
      <c r="E124" s="4"/>
      <c r="F124" s="12">
        <f>IF(D$12=0,0,D124/D$12)</f>
        <v>9.0795386691205696E-2</v>
      </c>
      <c r="G124" s="4"/>
      <c r="H124" s="4">
        <v>246323.20000000001</v>
      </c>
      <c r="I124" s="4"/>
      <c r="J124" s="12">
        <f>IF(H$12=0,0,H124/H$12)</f>
        <v>9.6259726313846813E-2</v>
      </c>
      <c r="K124" s="4"/>
      <c r="L124" s="4">
        <f>+D124-H124</f>
        <v>-15541.460000000021</v>
      </c>
      <c r="M124" s="4"/>
      <c r="N124" s="12">
        <f>IF(H124=0,0,L124/H124)</f>
        <v>-6.3093772734358844E-2</v>
      </c>
      <c r="O124" s="10"/>
      <c r="P124" s="4">
        <v>629842.92000000004</v>
      </c>
      <c r="Q124" s="4"/>
      <c r="R124" s="12">
        <f>IF(P$12=0,0,P124/P$12)</f>
        <v>0.10066255339896037</v>
      </c>
      <c r="S124" s="4"/>
      <c r="T124" s="4">
        <v>582107.97</v>
      </c>
      <c r="U124" s="4"/>
      <c r="V124" s="12">
        <f>IF(T$12=0,0,T124/T$12)</f>
        <v>9.1839784182838419E-2</v>
      </c>
      <c r="W124" s="4"/>
      <c r="X124" s="4">
        <f>+P124-T124</f>
        <v>47734.95000000007</v>
      </c>
      <c r="Y124" s="4"/>
      <c r="Z124" s="12">
        <f>IF(T124=0,0,X124/T124)</f>
        <v>8.2003601496815223E-2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4</v>
      </c>
      <c r="C126" s="28"/>
      <c r="D126" s="31">
        <f>+D122-D124</f>
        <v>516014.52000000014</v>
      </c>
      <c r="E126" s="14"/>
      <c r="F126" s="34">
        <f>IF(D$12=0,0,D126/D$12)</f>
        <v>0.20301319281879454</v>
      </c>
      <c r="G126" s="14"/>
      <c r="H126" s="31">
        <f>+H122-H124</f>
        <v>478646.85000000015</v>
      </c>
      <c r="I126" s="14"/>
      <c r="J126" s="34">
        <f>IF(H$12=0,0,H126/H$12)</f>
        <v>0.18704862060084027</v>
      </c>
      <c r="K126" s="16"/>
      <c r="L126" s="31">
        <f>D126-H126</f>
        <v>37367.669999999984</v>
      </c>
      <c r="M126" s="16"/>
      <c r="N126" s="34">
        <f>IF(H126=0,0,L126/H126)</f>
        <v>7.8069395003852987E-2</v>
      </c>
      <c r="O126" s="29"/>
      <c r="P126" s="31">
        <f>+P122-P124</f>
        <v>412957.29999999935</v>
      </c>
      <c r="Q126" s="14"/>
      <c r="R126" s="34">
        <f>IF(P$12=0,0,P126/P$12)</f>
        <v>6.5999529315563993E-2</v>
      </c>
      <c r="S126" s="14"/>
      <c r="T126" s="31">
        <f>+T122-T124</f>
        <v>753285.6400000006</v>
      </c>
      <c r="U126" s="14"/>
      <c r="V126" s="34">
        <f>IF(T$12=0,0,T126/T$12)</f>
        <v>0.11884666448671262</v>
      </c>
      <c r="W126" s="16"/>
      <c r="X126" s="31">
        <f>P126-T126</f>
        <v>-340328.34000000125</v>
      </c>
      <c r="Y126" s="16"/>
      <c r="Z126" s="34">
        <f>IF(T126=0,0,X126/T126)</f>
        <v>-0.45179188601020054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8" t="s">
        <v>5</v>
      </c>
      <c r="C129" s="28"/>
      <c r="D129" s="36">
        <f>SUM(D126:D128)</f>
        <v>516014.52000000014</v>
      </c>
      <c r="E129" s="14"/>
      <c r="F129" s="33">
        <f>IF(D$12=0,0,D129/D$12)</f>
        <v>0.20301319281879454</v>
      </c>
      <c r="G129" s="14"/>
      <c r="H129" s="36">
        <f>SUM(H126:H128)</f>
        <v>478646.85000000015</v>
      </c>
      <c r="I129" s="14"/>
      <c r="J129" s="33">
        <f>IF(H$12=0,0,H129/H$12)</f>
        <v>0.18704862060084027</v>
      </c>
      <c r="K129" s="16"/>
      <c r="L129" s="36">
        <f>+D129-H129</f>
        <v>37367.669999999984</v>
      </c>
      <c r="M129" s="16"/>
      <c r="N129" s="33">
        <f>IF(H129=0,0,L129/H129)</f>
        <v>7.8069395003852987E-2</v>
      </c>
      <c r="O129" s="29"/>
      <c r="P129" s="36">
        <f>SUM(P126:P128)</f>
        <v>412957.29999999935</v>
      </c>
      <c r="Q129" s="14"/>
      <c r="R129" s="33">
        <f>IF(P$12=0,0,P129/P$12)</f>
        <v>6.5999529315563993E-2</v>
      </c>
      <c r="S129" s="14"/>
      <c r="T129" s="36">
        <f>SUM(T126:T128)</f>
        <v>753285.6400000006</v>
      </c>
      <c r="U129" s="14"/>
      <c r="V129" s="33">
        <f>IF(T$12=0,0,T129/T$12)</f>
        <v>0.11884666448671262</v>
      </c>
      <c r="W129" s="16"/>
      <c r="X129" s="36">
        <f>+P129-T129</f>
        <v>-340328.34000000125</v>
      </c>
      <c r="Y129" s="16"/>
      <c r="Z129" s="33">
        <f>IF(T129=0,0,X129/T129)</f>
        <v>-0.45179188601020054</v>
      </c>
    </row>
    <row r="130" spans="1:26" ht="15.75" thickTop="1" x14ac:dyDescent="0.25">
      <c r="A130" s="9"/>
      <c r="C130" s="9"/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6" x14ac:dyDescent="0.25">
      <c r="A131" s="9"/>
      <c r="B131" s="61">
        <v>43791.354884490742</v>
      </c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6" x14ac:dyDescent="0.25">
      <c r="A132" s="9"/>
      <c r="B132" s="56" t="s">
        <v>313</v>
      </c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6" x14ac:dyDescent="0.25">
      <c r="A133" s="9"/>
      <c r="B133" s="57"/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1400717.89</v>
      </c>
      <c r="E12" s="4"/>
      <c r="F12" s="12"/>
      <c r="G12" s="4"/>
      <c r="H12" s="4">
        <f>SUM(OSRRefH13x_0)</f>
        <v>1399245.41</v>
      </c>
      <c r="I12" s="4"/>
      <c r="J12" s="12"/>
      <c r="K12" s="4"/>
      <c r="L12" s="4">
        <f t="shared" ref="L12:L30" si="0">+D12-H12</f>
        <v>1472.4799999999814</v>
      </c>
      <c r="M12" s="4"/>
      <c r="N12" s="12">
        <f t="shared" ref="N12:N30" si="1">IF(H12=0,0,L12/H12)</f>
        <v>1.052338631577131E-3</v>
      </c>
      <c r="O12" s="10"/>
      <c r="P12" s="4">
        <f>SUM(OSRRefP13x_0)</f>
        <v>3229080.82</v>
      </c>
      <c r="Q12" s="4"/>
      <c r="R12" s="12"/>
      <c r="S12" s="4"/>
      <c r="T12" s="4">
        <f>SUM(OSRRefT13x_0)</f>
        <v>3290402.8199999994</v>
      </c>
      <c r="U12" s="4"/>
      <c r="V12" s="12"/>
      <c r="W12" s="4"/>
      <c r="X12" s="4">
        <f t="shared" ref="X12:X30" si="2">+P12-T12</f>
        <v>-61321.999999999534</v>
      </c>
      <c r="Y12" s="4"/>
      <c r="Z12" s="12">
        <f t="shared" ref="Z12:Z30" si="3">IF(T12=0,0,X12/T12)</f>
        <v>-1.8636623949890595E-2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--59158.53</f>
        <v>59158.53</v>
      </c>
      <c r="E13" s="2"/>
      <c r="F13" s="19"/>
      <c r="G13" s="2"/>
      <c r="H13" s="2">
        <f>--59730.3</f>
        <v>59730.3</v>
      </c>
      <c r="I13" s="2"/>
      <c r="J13" s="19"/>
      <c r="K13" s="2"/>
      <c r="L13" s="2">
        <f t="shared" si="0"/>
        <v>-571.77000000000407</v>
      </c>
      <c r="M13" s="2"/>
      <c r="N13" s="19">
        <f t="shared" si="1"/>
        <v>-9.5725285156780405E-3</v>
      </c>
      <c r="O13" s="11"/>
      <c r="P13" s="2">
        <f>--131814.87</f>
        <v>131814.87</v>
      </c>
      <c r="Q13" s="2"/>
      <c r="R13" s="19"/>
      <c r="S13" s="2"/>
      <c r="T13" s="2">
        <f>--136271.42</f>
        <v>136271.42000000001</v>
      </c>
      <c r="U13" s="2"/>
      <c r="V13" s="19"/>
      <c r="W13" s="2"/>
      <c r="X13" s="2">
        <f t="shared" si="2"/>
        <v>-4456.5500000000175</v>
      </c>
      <c r="Y13" s="2"/>
      <c r="Z13" s="19">
        <f t="shared" si="3"/>
        <v>-3.2703482505722893E-2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--19.99</f>
        <v>19.989999999999998</v>
      </c>
      <c r="I14" s="2"/>
      <c r="J14" s="19"/>
      <c r="K14" s="2"/>
      <c r="L14" s="2">
        <f t="shared" si="0"/>
        <v>-19.989999999999998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--531.75</f>
        <v>531.75</v>
      </c>
      <c r="E15" s="2"/>
      <c r="F15" s="19"/>
      <c r="G15" s="2"/>
      <c r="H15" s="2">
        <f>--251.94</f>
        <v>251.94</v>
      </c>
      <c r="I15" s="2"/>
      <c r="J15" s="19"/>
      <c r="K15" s="2"/>
      <c r="L15" s="2">
        <f t="shared" si="0"/>
        <v>279.81</v>
      </c>
      <c r="M15" s="2"/>
      <c r="N15" s="19">
        <f t="shared" si="1"/>
        <v>1.1106215765658489</v>
      </c>
      <c r="O15" s="11"/>
      <c r="P15" s="2">
        <f>--1682.08</f>
        <v>1682.08</v>
      </c>
      <c r="Q15" s="2"/>
      <c r="R15" s="19"/>
      <c r="S15" s="2"/>
      <c r="T15" s="2">
        <f>--1001.31</f>
        <v>1001.31</v>
      </c>
      <c r="U15" s="2"/>
      <c r="V15" s="19"/>
      <c r="W15" s="2"/>
      <c r="X15" s="2">
        <f t="shared" si="2"/>
        <v>680.77</v>
      </c>
      <c r="Y15" s="2"/>
      <c r="Z15" s="19">
        <f t="shared" si="3"/>
        <v>0.67987935804096633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--125346.31</f>
        <v>125346.31</v>
      </c>
      <c r="E16" s="2"/>
      <c r="F16" s="19"/>
      <c r="G16" s="2"/>
      <c r="H16" s="2">
        <f>--140193.45</f>
        <v>140193.45000000001</v>
      </c>
      <c r="I16" s="2"/>
      <c r="J16" s="19"/>
      <c r="K16" s="2"/>
      <c r="L16" s="2">
        <f t="shared" si="0"/>
        <v>-14847.140000000014</v>
      </c>
      <c r="M16" s="2"/>
      <c r="N16" s="19">
        <f t="shared" si="1"/>
        <v>-0.10590466245034995</v>
      </c>
      <c r="O16" s="11"/>
      <c r="P16" s="2">
        <f>--300035.94</f>
        <v>300035.94</v>
      </c>
      <c r="Q16" s="2"/>
      <c r="R16" s="19"/>
      <c r="S16" s="2"/>
      <c r="T16" s="2">
        <f>--321577.74</f>
        <v>321577.74</v>
      </c>
      <c r="U16" s="2"/>
      <c r="V16" s="19"/>
      <c r="W16" s="2"/>
      <c r="X16" s="2">
        <f t="shared" si="2"/>
        <v>-21541.799999999988</v>
      </c>
      <c r="Y16" s="2"/>
      <c r="Z16" s="19">
        <f t="shared" si="3"/>
        <v>-6.6987845613940777E-2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--115316.39</f>
        <v>115316.39</v>
      </c>
      <c r="E17" s="2"/>
      <c r="F17" s="19"/>
      <c r="G17" s="2"/>
      <c r="H17" s="2">
        <f>--140444.11</f>
        <v>140444.10999999999</v>
      </c>
      <c r="I17" s="2"/>
      <c r="J17" s="19"/>
      <c r="K17" s="2"/>
      <c r="L17" s="2">
        <f t="shared" si="0"/>
        <v>-25127.719999999987</v>
      </c>
      <c r="M17" s="2"/>
      <c r="N17" s="19">
        <f t="shared" si="1"/>
        <v>-0.17891615390634744</v>
      </c>
      <c r="O17" s="11"/>
      <c r="P17" s="2">
        <f>--368822.4</f>
        <v>368822.4</v>
      </c>
      <c r="Q17" s="2"/>
      <c r="R17" s="19"/>
      <c r="S17" s="2"/>
      <c r="T17" s="2">
        <f>--458548.28</f>
        <v>458548.28</v>
      </c>
      <c r="U17" s="2"/>
      <c r="V17" s="19"/>
      <c r="W17" s="2"/>
      <c r="X17" s="2">
        <f t="shared" si="2"/>
        <v>-89725.88</v>
      </c>
      <c r="Y17" s="2"/>
      <c r="Z17" s="19">
        <f t="shared" si="3"/>
        <v>-0.1956737903367558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--13668.19</f>
        <v>13668.19</v>
      </c>
      <c r="E18" s="2"/>
      <c r="F18" s="19"/>
      <c r="G18" s="2"/>
      <c r="H18" s="2">
        <f>--12803.77</f>
        <v>12803.77</v>
      </c>
      <c r="I18" s="2"/>
      <c r="J18" s="19"/>
      <c r="K18" s="2"/>
      <c r="L18" s="2">
        <f t="shared" si="0"/>
        <v>864.42000000000007</v>
      </c>
      <c r="M18" s="2"/>
      <c r="N18" s="19">
        <f t="shared" si="1"/>
        <v>6.7512927832974204E-2</v>
      </c>
      <c r="O18" s="11"/>
      <c r="P18" s="2">
        <f>--60500.61</f>
        <v>60500.61</v>
      </c>
      <c r="Q18" s="2"/>
      <c r="R18" s="19"/>
      <c r="S18" s="2"/>
      <c r="T18" s="2">
        <f>--49021.43</f>
        <v>49021.43</v>
      </c>
      <c r="U18" s="2"/>
      <c r="V18" s="19"/>
      <c r="W18" s="2"/>
      <c r="X18" s="2">
        <f t="shared" si="2"/>
        <v>11479.18</v>
      </c>
      <c r="Y18" s="2"/>
      <c r="Z18" s="19">
        <f t="shared" si="3"/>
        <v>0.23416656756035065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--75155.92</f>
        <v>75155.92</v>
      </c>
      <c r="E19" s="2"/>
      <c r="F19" s="19"/>
      <c r="G19" s="2"/>
      <c r="H19" s="2">
        <f>--91365.46</f>
        <v>91365.46</v>
      </c>
      <c r="I19" s="2"/>
      <c r="J19" s="19"/>
      <c r="K19" s="2"/>
      <c r="L19" s="2">
        <f t="shared" si="0"/>
        <v>-16209.540000000008</v>
      </c>
      <c r="M19" s="2"/>
      <c r="N19" s="19">
        <f t="shared" si="1"/>
        <v>-0.17741430952134435</v>
      </c>
      <c r="O19" s="11"/>
      <c r="P19" s="2">
        <f>--185991.6</f>
        <v>185991.6</v>
      </c>
      <c r="Q19" s="2"/>
      <c r="R19" s="19"/>
      <c r="S19" s="2"/>
      <c r="T19" s="2">
        <f>--217677.18</f>
        <v>217677.18</v>
      </c>
      <c r="U19" s="2"/>
      <c r="V19" s="19"/>
      <c r="W19" s="2"/>
      <c r="X19" s="2">
        <f t="shared" si="2"/>
        <v>-31685.579999999987</v>
      </c>
      <c r="Y19" s="2"/>
      <c r="Z19" s="19">
        <f t="shared" si="3"/>
        <v>-0.14556224956607758</v>
      </c>
    </row>
    <row r="20" spans="1:26" s="24" customFormat="1" hidden="1" outlineLevel="1" x14ac:dyDescent="0.25">
      <c r="A20" s="44"/>
      <c r="B20" s="11" t="str">
        <f>CONCATENATE("          ", "4057", " - ", "TAXABLE SALES-FOOD")</f>
        <v xml:space="preserve">          4057 - TAXABLE SALES-FOOD</v>
      </c>
      <c r="C20" s="11"/>
      <c r="D20" s="2">
        <f>0</f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--11506.08</f>
        <v>11506.08</v>
      </c>
      <c r="U20" s="2"/>
      <c r="V20" s="19"/>
      <c r="W20" s="2"/>
      <c r="X20" s="2">
        <f t="shared" si="2"/>
        <v>-11506.08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"4058", " - ", "TAXABLE SALES-FOOD")</f>
        <v xml:space="preserve">          4058 - TAXABLE SALES-FOOD</v>
      </c>
      <c r="C21" s="11"/>
      <c r="D21" s="2">
        <f>--21855.03</f>
        <v>21855.03</v>
      </c>
      <c r="E21" s="2"/>
      <c r="F21" s="19"/>
      <c r="G21" s="2"/>
      <c r="H21" s="2">
        <f>--27897.29</f>
        <v>27897.29</v>
      </c>
      <c r="I21" s="2"/>
      <c r="J21" s="19"/>
      <c r="K21" s="2"/>
      <c r="L21" s="2">
        <f t="shared" si="0"/>
        <v>-6042.260000000002</v>
      </c>
      <c r="M21" s="2"/>
      <c r="N21" s="19">
        <f t="shared" si="1"/>
        <v>-0.21658949668587887</v>
      </c>
      <c r="O21" s="11"/>
      <c r="P21" s="2">
        <f>--64145.93</f>
        <v>64145.93</v>
      </c>
      <c r="Q21" s="2"/>
      <c r="R21" s="19"/>
      <c r="S21" s="2"/>
      <c r="T21" s="2">
        <f>--93588.92</f>
        <v>93588.92</v>
      </c>
      <c r="U21" s="2"/>
      <c r="V21" s="19"/>
      <c r="W21" s="2"/>
      <c r="X21" s="2">
        <f t="shared" si="2"/>
        <v>-29442.989999999998</v>
      </c>
      <c r="Y21" s="2"/>
      <c r="Z21" s="19">
        <f t="shared" si="3"/>
        <v>-0.3145990999789291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--239161.66</f>
        <v>239161.66</v>
      </c>
      <c r="E22" s="2"/>
      <c r="F22" s="19"/>
      <c r="G22" s="2"/>
      <c r="H22" s="2">
        <f>--213837.94</f>
        <v>213837.94</v>
      </c>
      <c r="I22" s="2"/>
      <c r="J22" s="19"/>
      <c r="K22" s="2"/>
      <c r="L22" s="2">
        <f t="shared" si="0"/>
        <v>25323.72</v>
      </c>
      <c r="M22" s="2"/>
      <c r="N22" s="19">
        <f t="shared" si="1"/>
        <v>0.11842482208723111</v>
      </c>
      <c r="O22" s="11"/>
      <c r="P22" s="2">
        <f>--515103.65</f>
        <v>515103.65</v>
      </c>
      <c r="Q22" s="2"/>
      <c r="R22" s="19"/>
      <c r="S22" s="2"/>
      <c r="T22" s="2">
        <f>--479092.24</f>
        <v>479092.24</v>
      </c>
      <c r="U22" s="2"/>
      <c r="V22" s="19"/>
      <c r="W22" s="2"/>
      <c r="X22" s="2">
        <f t="shared" si="2"/>
        <v>36011.410000000033</v>
      </c>
      <c r="Y22" s="2"/>
      <c r="Z22" s="19">
        <f t="shared" si="3"/>
        <v>7.516592211971547E-2</v>
      </c>
    </row>
    <row r="23" spans="1:26" s="24" customFormat="1" hidden="1" outlineLevel="1" x14ac:dyDescent="0.25">
      <c r="A23" s="44"/>
      <c r="B23" s="11" t="str">
        <f>CONCATENATE("          ", "4134", " - ", "NON-TAXABLE SALES-SODA")</f>
        <v xml:space="preserve">          4134 - NON-TAXABLE SALES-SODA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--0.39</f>
        <v>0.39</v>
      </c>
      <c r="Q23" s="2"/>
      <c r="R23" s="19"/>
      <c r="S23" s="2"/>
      <c r="T23" s="2">
        <f>--53.94</f>
        <v>53.94</v>
      </c>
      <c r="U23" s="2"/>
      <c r="V23" s="19"/>
      <c r="W23" s="2"/>
      <c r="X23" s="2">
        <f t="shared" si="2"/>
        <v>-53.55</v>
      </c>
      <c r="Y23" s="2"/>
      <c r="Z23" s="19">
        <f t="shared" si="3"/>
        <v>-0.99276974416017794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--227.76</f>
        <v>227.76</v>
      </c>
      <c r="E24" s="2"/>
      <c r="F24" s="19"/>
      <c r="G24" s="2"/>
      <c r="H24" s="2">
        <f>--329.56</f>
        <v>329.56</v>
      </c>
      <c r="I24" s="2"/>
      <c r="J24" s="19"/>
      <c r="K24" s="2"/>
      <c r="L24" s="2">
        <f t="shared" si="0"/>
        <v>-101.80000000000001</v>
      </c>
      <c r="M24" s="2"/>
      <c r="N24" s="19">
        <f t="shared" si="1"/>
        <v>-0.30889671076586966</v>
      </c>
      <c r="O24" s="11"/>
      <c r="P24" s="2">
        <f>--848.85</f>
        <v>848.85</v>
      </c>
      <c r="Q24" s="2"/>
      <c r="R24" s="19"/>
      <c r="S24" s="2"/>
      <c r="T24" s="2">
        <f>--1107.27</f>
        <v>1107.27</v>
      </c>
      <c r="U24" s="2"/>
      <c r="V24" s="19"/>
      <c r="W24" s="2"/>
      <c r="X24" s="2">
        <f t="shared" si="2"/>
        <v>-258.41999999999996</v>
      </c>
      <c r="Y24" s="2"/>
      <c r="Z24" s="19">
        <f t="shared" si="3"/>
        <v>-0.23338481129263861</v>
      </c>
    </row>
    <row r="25" spans="1:26" s="24" customFormat="1" hidden="1" outlineLevel="1" x14ac:dyDescent="0.25">
      <c r="A25" s="44"/>
      <c r="B25" s="11" t="str">
        <f>CONCATENATE("          ", "4151", " - ", "NON-TAXABLE SALES-FOOD")</f>
        <v xml:space="preserve">          4151 - NON-TAXABLE SALES-FOOD</v>
      </c>
      <c r="C25" s="11"/>
      <c r="D25" s="2">
        <f>--493606.49</f>
        <v>493606.49</v>
      </c>
      <c r="E25" s="2"/>
      <c r="F25" s="19"/>
      <c r="G25" s="2"/>
      <c r="H25" s="2">
        <f>--473880.9</f>
        <v>473880.9</v>
      </c>
      <c r="I25" s="2"/>
      <c r="J25" s="19"/>
      <c r="K25" s="2"/>
      <c r="L25" s="2">
        <f t="shared" si="0"/>
        <v>19725.589999999967</v>
      </c>
      <c r="M25" s="2"/>
      <c r="N25" s="19">
        <f t="shared" si="1"/>
        <v>4.1625627874007934E-2</v>
      </c>
      <c r="O25" s="11"/>
      <c r="P25" s="2">
        <f>--1029947.91</f>
        <v>1029947.91</v>
      </c>
      <c r="Q25" s="2"/>
      <c r="R25" s="19"/>
      <c r="S25" s="2"/>
      <c r="T25" s="2">
        <f>--969294.04</f>
        <v>969294.04</v>
      </c>
      <c r="U25" s="2"/>
      <c r="V25" s="19"/>
      <c r="W25" s="2"/>
      <c r="X25" s="2">
        <f t="shared" si="2"/>
        <v>60653.869999999995</v>
      </c>
      <c r="Y25" s="2"/>
      <c r="Z25" s="19">
        <f t="shared" si="3"/>
        <v>6.2575304806372273E-2</v>
      </c>
    </row>
    <row r="26" spans="1:26" s="24" customFormat="1" hidden="1" outlineLevel="1" x14ac:dyDescent="0.25">
      <c r="A26" s="44"/>
      <c r="B26" s="11" t="str">
        <f>CONCATENATE("          ", "4152", " - ", "NON-TAXABLE SALES-FOOD")</f>
        <v xml:space="preserve">          4152 - NON-TAXABLE SALES-FOOD</v>
      </c>
      <c r="C26" s="11"/>
      <c r="D26" s="2">
        <f>--9149.73</f>
        <v>9149.73</v>
      </c>
      <c r="E26" s="2"/>
      <c r="F26" s="19"/>
      <c r="G26" s="2"/>
      <c r="H26" s="2">
        <f>--11678.23</f>
        <v>11678.23</v>
      </c>
      <c r="I26" s="2"/>
      <c r="J26" s="19"/>
      <c r="K26" s="2"/>
      <c r="L26" s="2">
        <f t="shared" si="0"/>
        <v>-2528.5</v>
      </c>
      <c r="M26" s="2"/>
      <c r="N26" s="19">
        <f t="shared" si="1"/>
        <v>-0.21651397514863127</v>
      </c>
      <c r="O26" s="11"/>
      <c r="P26" s="2">
        <f>--24938.79</f>
        <v>24938.79</v>
      </c>
      <c r="Q26" s="2"/>
      <c r="R26" s="19"/>
      <c r="S26" s="2"/>
      <c r="T26" s="2">
        <f>--26978.15</f>
        <v>26978.15</v>
      </c>
      <c r="U26" s="2"/>
      <c r="V26" s="19"/>
      <c r="W26" s="2"/>
      <c r="X26" s="2">
        <f t="shared" si="2"/>
        <v>-2039.3600000000006</v>
      </c>
      <c r="Y26" s="2"/>
      <c r="Z26" s="19">
        <f t="shared" si="3"/>
        <v>-7.5593026208246317E-2</v>
      </c>
    </row>
    <row r="27" spans="1:26" s="24" customFormat="1" hidden="1" outlineLevel="1" x14ac:dyDescent="0.25">
      <c r="A27" s="44"/>
      <c r="B27" s="11" t="str">
        <f>CONCATENATE("          ", "4153", " - ", "NON-TAXABLE SALES-FOOD")</f>
        <v xml:space="preserve">          4153 - NON-TAXABLE SALES-FOOD</v>
      </c>
      <c r="C27" s="11"/>
      <c r="D27" s="2">
        <f>--2874</f>
        <v>2874</v>
      </c>
      <c r="E27" s="2"/>
      <c r="F27" s="19"/>
      <c r="G27" s="2"/>
      <c r="H27" s="2">
        <f>--3026.38</f>
        <v>3026.38</v>
      </c>
      <c r="I27" s="2"/>
      <c r="J27" s="19"/>
      <c r="K27" s="2"/>
      <c r="L27" s="2">
        <f t="shared" si="0"/>
        <v>-152.38000000000011</v>
      </c>
      <c r="M27" s="2"/>
      <c r="N27" s="19">
        <f t="shared" si="1"/>
        <v>-5.0350583865872794E-2</v>
      </c>
      <c r="O27" s="11"/>
      <c r="P27" s="2">
        <f>--5280.5</f>
        <v>5280.5</v>
      </c>
      <c r="Q27" s="2"/>
      <c r="R27" s="19"/>
      <c r="S27" s="2"/>
      <c r="T27" s="2">
        <f>--5012.38</f>
        <v>5012.38</v>
      </c>
      <c r="U27" s="2"/>
      <c r="V27" s="19"/>
      <c r="W27" s="2"/>
      <c r="X27" s="2">
        <f t="shared" si="2"/>
        <v>268.11999999999989</v>
      </c>
      <c r="Y27" s="2"/>
      <c r="Z27" s="19">
        <f t="shared" si="3"/>
        <v>5.3491554910042712E-2</v>
      </c>
    </row>
    <row r="28" spans="1:26" s="24" customFormat="1" hidden="1" outlineLevel="1" x14ac:dyDescent="0.25">
      <c r="A28" s="44"/>
      <c r="B28" s="11" t="str">
        <f>CONCATENATE("          ", "4155", " - ", "NON-TAXABLE SALES-FOOD")</f>
        <v xml:space="preserve">          4155 - NON-TAXABLE SALES-FOOD</v>
      </c>
      <c r="C28" s="11"/>
      <c r="D28" s="2">
        <f>--149192.49</f>
        <v>149192.49</v>
      </c>
      <c r="E28" s="2"/>
      <c r="F28" s="19"/>
      <c r="G28" s="2"/>
      <c r="H28" s="2">
        <f>--133315.87</f>
        <v>133315.87</v>
      </c>
      <c r="I28" s="2"/>
      <c r="J28" s="19"/>
      <c r="K28" s="2"/>
      <c r="L28" s="2">
        <f t="shared" si="0"/>
        <v>15876.619999999995</v>
      </c>
      <c r="M28" s="2"/>
      <c r="N28" s="19">
        <f t="shared" si="1"/>
        <v>0.11909024784521149</v>
      </c>
      <c r="O28" s="11"/>
      <c r="P28" s="2">
        <f>--332247.03</f>
        <v>332247.03000000003</v>
      </c>
      <c r="Q28" s="2"/>
      <c r="R28" s="19"/>
      <c r="S28" s="2"/>
      <c r="T28" s="2">
        <f>--306159.57</f>
        <v>306159.57</v>
      </c>
      <c r="U28" s="2"/>
      <c r="V28" s="19"/>
      <c r="W28" s="2"/>
      <c r="X28" s="2">
        <f t="shared" si="2"/>
        <v>26087.460000000021</v>
      </c>
      <c r="Y28" s="2"/>
      <c r="Z28" s="19">
        <f t="shared" si="3"/>
        <v>8.5208703422205684E-2</v>
      </c>
    </row>
    <row r="29" spans="1:26" s="24" customFormat="1" hidden="1" outlineLevel="1" x14ac:dyDescent="0.25">
      <c r="A29" s="44"/>
      <c r="B29" s="11" t="str">
        <f>CONCATENATE("          ", "4158", " - ", "NON-TAXABLE SALES-FOOD")</f>
        <v xml:space="preserve">          4158 - NON-TAXABLE SALES-FOOD</v>
      </c>
      <c r="C29" s="11"/>
      <c r="D29" s="2">
        <f>--95473.64</f>
        <v>95473.64</v>
      </c>
      <c r="E29" s="2"/>
      <c r="F29" s="19"/>
      <c r="G29" s="2"/>
      <c r="H29" s="2">
        <f>--90470.22</f>
        <v>90470.22</v>
      </c>
      <c r="I29" s="2"/>
      <c r="J29" s="19"/>
      <c r="K29" s="2"/>
      <c r="L29" s="2">
        <f t="shared" si="0"/>
        <v>5003.4199999999983</v>
      </c>
      <c r="M29" s="2"/>
      <c r="N29" s="19">
        <f t="shared" si="1"/>
        <v>5.5304607416672563E-2</v>
      </c>
      <c r="O29" s="11"/>
      <c r="P29" s="2">
        <f>--207720.27</f>
        <v>207720.27</v>
      </c>
      <c r="Q29" s="2"/>
      <c r="R29" s="19"/>
      <c r="S29" s="2"/>
      <c r="T29" s="2">
        <f>--213494.57</f>
        <v>213494.57</v>
      </c>
      <c r="U29" s="2"/>
      <c r="V29" s="19"/>
      <c r="W29" s="2"/>
      <c r="X29" s="2">
        <f t="shared" si="2"/>
        <v>-5774.3000000000175</v>
      </c>
      <c r="Y29" s="2"/>
      <c r="Z29" s="19">
        <f t="shared" si="3"/>
        <v>-2.7046589522159825E-2</v>
      </c>
    </row>
    <row r="30" spans="1:26" s="24" customFormat="1" hidden="1" outlineLevel="1" x14ac:dyDescent="0.25">
      <c r="A30" s="44"/>
      <c r="B30" s="11" t="str">
        <f>CONCATENATE("          ", "4233", " - ", "SALES RETURN TAXABLE-CANDY")</f>
        <v xml:space="preserve">          4233 - SALES RETURN TAXABLE-CANDY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0</f>
        <v>0</v>
      </c>
      <c r="Q30" s="2"/>
      <c r="R30" s="19"/>
      <c r="S30" s="2"/>
      <c r="T30" s="2">
        <f>-1.69</f>
        <v>-1.69</v>
      </c>
      <c r="U30" s="2"/>
      <c r="V30" s="19"/>
      <c r="W30" s="2"/>
      <c r="X30" s="2">
        <f t="shared" si="2"/>
        <v>1.69</v>
      </c>
      <c r="Y30" s="2"/>
      <c r="Z30" s="19">
        <f t="shared" si="3"/>
        <v>-1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9" t="s">
        <v>8</v>
      </c>
      <c r="C32" s="10"/>
      <c r="D32" s="4">
        <f>SUM(OSRRefD16x_0)</f>
        <v>502994.97000000003</v>
      </c>
      <c r="E32" s="4"/>
      <c r="F32" s="12">
        <f t="shared" ref="F32:F34" si="4">IF(D$12=0,0,D32/D$12)</f>
        <v>0.35909798367749846</v>
      </c>
      <c r="G32" s="4"/>
      <c r="H32" s="4">
        <f>SUM(OSRRefH16x_0)</f>
        <v>516133.80999999994</v>
      </c>
      <c r="I32" s="4"/>
      <c r="J32" s="12">
        <f t="shared" ref="J32:J34" si="5">IF(H$12=0,0,H32/H$12)</f>
        <v>0.36886582318679895</v>
      </c>
      <c r="K32" s="4"/>
      <c r="L32" s="4">
        <f t="shared" ref="L32:L34" si="6">+D32-H32</f>
        <v>-13138.839999999909</v>
      </c>
      <c r="M32" s="4"/>
      <c r="N32" s="12">
        <f t="shared" ref="N32:N34" si="7">IF(H32=0,0,L32/H32)</f>
        <v>-2.5456266854519589E-2</v>
      </c>
      <c r="O32" s="10"/>
      <c r="P32" s="4">
        <f>SUM(OSRRefP16x_0)</f>
        <v>1218943.3900000001</v>
      </c>
      <c r="Q32" s="4"/>
      <c r="R32" s="12">
        <f t="shared" ref="R32:R34" si="8">IF(P$12=0,0,P32/P$12)</f>
        <v>0.37748927882207672</v>
      </c>
      <c r="S32" s="4"/>
      <c r="T32" s="4">
        <f>SUM(OSRRefT16x_0)</f>
        <v>1183866.6800000002</v>
      </c>
      <c r="U32" s="4"/>
      <c r="V32" s="12">
        <f t="shared" ref="V32:V34" si="9">IF(T$12=0,0,T32/T$12)</f>
        <v>0.35979384432937012</v>
      </c>
      <c r="W32" s="4"/>
      <c r="X32" s="4">
        <f t="shared" ref="X32:X34" si="10">+P32-T32</f>
        <v>35076.709999999963</v>
      </c>
      <c r="Y32" s="4"/>
      <c r="Z32" s="12">
        <f t="shared" ref="Z32:Z34" si="11">IF(T32=0,0,X32/T32)</f>
        <v>2.9628935920385863E-2</v>
      </c>
    </row>
    <row r="33" spans="1:26" s="24" customFormat="1" hidden="1" outlineLevel="1" x14ac:dyDescent="0.25">
      <c r="A33" s="44"/>
      <c r="B33" s="11" t="str">
        <f>CONCATENATE("          ", "5053", " - ", "PURCHASES @ COST-FOOD")</f>
        <v xml:space="preserve">          5053 - PURCHASES @ COST-FOOD</v>
      </c>
      <c r="C33" s="11"/>
      <c r="D33" s="2">
        <v>519685.60000000003</v>
      </c>
      <c r="E33" s="2"/>
      <c r="F33" s="19">
        <f t="shared" si="4"/>
        <v>0.3710137520982188</v>
      </c>
      <c r="G33" s="2"/>
      <c r="H33" s="2">
        <v>493858.18999999994</v>
      </c>
      <c r="I33" s="2"/>
      <c r="J33" s="19">
        <f t="shared" si="5"/>
        <v>0.35294608541899736</v>
      </c>
      <c r="K33" s="2"/>
      <c r="L33" s="2">
        <f t="shared" si="6"/>
        <v>25827.410000000091</v>
      </c>
      <c r="M33" s="2"/>
      <c r="N33" s="19">
        <f t="shared" si="7"/>
        <v>5.2297219167308118E-2</v>
      </c>
      <c r="O33" s="11"/>
      <c r="P33" s="2">
        <v>1302241.51</v>
      </c>
      <c r="Q33" s="2"/>
      <c r="R33" s="19">
        <f t="shared" si="8"/>
        <v>0.40328551144780578</v>
      </c>
      <c r="S33" s="2"/>
      <c r="T33" s="2">
        <v>1253610.2100000002</v>
      </c>
      <c r="U33" s="2"/>
      <c r="V33" s="19">
        <f t="shared" si="9"/>
        <v>0.38098989047182996</v>
      </c>
      <c r="W33" s="2"/>
      <c r="X33" s="2">
        <f t="shared" si="10"/>
        <v>48631.299999999814</v>
      </c>
      <c r="Y33" s="2"/>
      <c r="Z33" s="19">
        <f t="shared" si="11"/>
        <v>3.8792999300795265E-2</v>
      </c>
    </row>
    <row r="34" spans="1:26" s="24" customFormat="1" hidden="1" outlineLevel="1" x14ac:dyDescent="0.25">
      <c r="A34" s="44"/>
      <c r="B34" s="11" t="str">
        <f>CONCATENATE("          ", "5059", " - ", "PURCHASES @ COST-FOOD")</f>
        <v xml:space="preserve">          5059 - PURCHASES @ COST-FOOD</v>
      </c>
      <c r="C34" s="11"/>
      <c r="D34" s="2">
        <v>-16690.63</v>
      </c>
      <c r="E34" s="2"/>
      <c r="F34" s="19">
        <f t="shared" si="4"/>
        <v>-1.1915768420720322E-2</v>
      </c>
      <c r="G34" s="2"/>
      <c r="H34" s="2">
        <v>22275.62</v>
      </c>
      <c r="I34" s="2"/>
      <c r="J34" s="19">
        <f t="shared" si="5"/>
        <v>1.5919737767801576E-2</v>
      </c>
      <c r="K34" s="2"/>
      <c r="L34" s="2">
        <f t="shared" si="6"/>
        <v>-38966.25</v>
      </c>
      <c r="M34" s="2"/>
      <c r="N34" s="19">
        <f t="shared" si="7"/>
        <v>-1.7492779101097973</v>
      </c>
      <c r="O34" s="11"/>
      <c r="P34" s="2">
        <v>-83298.12</v>
      </c>
      <c r="Q34" s="2"/>
      <c r="R34" s="19">
        <f t="shared" si="8"/>
        <v>-2.5796232625729075E-2</v>
      </c>
      <c r="S34" s="2"/>
      <c r="T34" s="2">
        <v>-69743.53</v>
      </c>
      <c r="U34" s="2"/>
      <c r="V34" s="19">
        <f t="shared" si="9"/>
        <v>-2.1196046142459849E-2</v>
      </c>
      <c r="W34" s="2"/>
      <c r="X34" s="2">
        <f t="shared" si="10"/>
        <v>-13554.589999999997</v>
      </c>
      <c r="Y34" s="2"/>
      <c r="Z34" s="19">
        <f t="shared" si="11"/>
        <v>0.19434906721813475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8" t="s">
        <v>6</v>
      </c>
      <c r="C36" s="28"/>
      <c r="D36" s="21">
        <f>D12-D32</f>
        <v>897722.91999999993</v>
      </c>
      <c r="E36" s="14"/>
      <c r="F36" s="22">
        <f>IF(D$12=0,0,D36/D$12)</f>
        <v>0.64090201632250154</v>
      </c>
      <c r="G36" s="14"/>
      <c r="H36" s="21">
        <f>H12-H32</f>
        <v>883111.6</v>
      </c>
      <c r="I36" s="14"/>
      <c r="J36" s="22">
        <f>IF(H$12=0,0,H36/H$12)</f>
        <v>0.63113417681320105</v>
      </c>
      <c r="K36" s="16"/>
      <c r="L36" s="21">
        <f>+D36-H36</f>
        <v>14611.319999999949</v>
      </c>
      <c r="M36" s="16"/>
      <c r="N36" s="22">
        <f>IF(H36=0,0,L36/H36)</f>
        <v>1.654527015611611E-2</v>
      </c>
      <c r="O36" s="29"/>
      <c r="P36" s="21">
        <f>P12-P32</f>
        <v>2010137.4299999997</v>
      </c>
      <c r="Q36" s="14"/>
      <c r="R36" s="22">
        <f>IF(P$12=0,0,P36/P$12)</f>
        <v>0.62251072117792328</v>
      </c>
      <c r="S36" s="14"/>
      <c r="T36" s="21">
        <f>T12-T32</f>
        <v>2106536.1399999992</v>
      </c>
      <c r="U36" s="14"/>
      <c r="V36" s="22">
        <f>IF(T$12=0,0,T36/T$12)</f>
        <v>0.64020615567062988</v>
      </c>
      <c r="W36" s="16"/>
      <c r="X36" s="21">
        <f>+P36-T36</f>
        <v>-96398.709999999497</v>
      </c>
      <c r="Y36" s="16"/>
      <c r="Z36" s="22">
        <f>IF(T36=0,0,X36/T36)</f>
        <v>-4.5761716672945159E-2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7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9" t="s">
        <v>9</v>
      </c>
      <c r="C38" s="10"/>
      <c r="D38" s="20">
        <f>SUM(OSRRefD22x_0)</f>
        <v>743198.82999999984</v>
      </c>
      <c r="E38" s="20"/>
      <c r="F38" s="35">
        <f t="shared" ref="F38:F48" si="12">IF(D$12=0,0,D38/D$12)</f>
        <v>0.53058423491685391</v>
      </c>
      <c r="G38" s="20"/>
      <c r="H38" s="20">
        <f>SUM(OSRRefH22x_0)</f>
        <v>703804.33</v>
      </c>
      <c r="I38" s="20"/>
      <c r="J38" s="35">
        <f t="shared" ref="J38:J48" si="13">IF(H$12=0,0,H38/H$12)</f>
        <v>0.50298848577248501</v>
      </c>
      <c r="K38" s="4"/>
      <c r="L38" s="20">
        <f t="shared" ref="L38:L48" si="14">+D38-H38</f>
        <v>39394.499999999884</v>
      </c>
      <c r="M38" s="4"/>
      <c r="N38" s="35">
        <f t="shared" ref="N38:N48" si="15">IF(H38=0,0,L38/H38)</f>
        <v>5.5973653927363427E-2</v>
      </c>
      <c r="O38" s="10"/>
      <c r="P38" s="20">
        <f>SUM(OSRRefP22x_0)</f>
        <v>2367015.3500000006</v>
      </c>
      <c r="Q38" s="20"/>
      <c r="R38" s="35">
        <f t="shared" ref="R38:R48" si="16">IF(P$12=0,0,P38/P$12)</f>
        <v>0.73303069261673071</v>
      </c>
      <c r="S38" s="20"/>
      <c r="T38" s="20">
        <f>SUM(OSRRefT22x_0)</f>
        <v>2205150.2300000004</v>
      </c>
      <c r="U38" s="20"/>
      <c r="V38" s="35">
        <f t="shared" ref="V38:V48" si="17">IF(T$12=0,0,T38/T$12)</f>
        <v>0.67017637372435779</v>
      </c>
      <c r="W38" s="4"/>
      <c r="X38" s="20">
        <f t="shared" ref="X38:X48" si="18">+P38-T38</f>
        <v>161865.12000000011</v>
      </c>
      <c r="Y38" s="4"/>
      <c r="Z38" s="35">
        <f t="shared" ref="Z38:Z48" si="19">IF(T38=0,0,X38/T38)</f>
        <v>7.3403216614407296E-2</v>
      </c>
    </row>
    <row r="39" spans="1:26" s="27" customFormat="1" outlineLevel="1" collapsed="1" x14ac:dyDescent="0.25">
      <c r="A39" s="25"/>
      <c r="B39" s="13" t="str">
        <f>CONCATENATE("     ","*Benefits                                         ")</f>
        <v xml:space="preserve">     *Benefits                                         </v>
      </c>
      <c r="C39" s="13"/>
      <c r="D39" s="1">
        <f>SUM(OSRRefD22_0x_0)</f>
        <v>89754.91</v>
      </c>
      <c r="E39" s="1"/>
      <c r="F39" s="5">
        <f t="shared" si="12"/>
        <v>6.4077792281213755E-2</v>
      </c>
      <c r="G39" s="1"/>
      <c r="H39" s="1">
        <f>SUM(OSRRefH22_0x_0)</f>
        <v>99648.349999999991</v>
      </c>
      <c r="I39" s="1"/>
      <c r="J39" s="5">
        <f t="shared" si="13"/>
        <v>7.1215777652613485E-2</v>
      </c>
      <c r="K39" s="1"/>
      <c r="L39" s="1">
        <f t="shared" si="14"/>
        <v>-9893.4399999999878</v>
      </c>
      <c r="M39" s="1"/>
      <c r="N39" s="5">
        <f t="shared" si="15"/>
        <v>-9.928353053512666E-2</v>
      </c>
      <c r="O39" s="13"/>
      <c r="P39" s="1">
        <f>SUM(OSRRefP22_0x_0)</f>
        <v>334572.69</v>
      </c>
      <c r="Q39" s="1"/>
      <c r="R39" s="5">
        <f t="shared" si="16"/>
        <v>0.1036123617370469</v>
      </c>
      <c r="S39" s="1"/>
      <c r="T39" s="1">
        <f>SUM(OSRRefT22_0x_0)</f>
        <v>302319.66000000003</v>
      </c>
      <c r="U39" s="1"/>
      <c r="V39" s="5">
        <f t="shared" si="17"/>
        <v>9.1879224684107252E-2</v>
      </c>
      <c r="W39" s="1"/>
      <c r="X39" s="1">
        <f t="shared" si="18"/>
        <v>32253.02999999997</v>
      </c>
      <c r="Y39" s="1"/>
      <c r="Z39" s="5">
        <f t="shared" si="19"/>
        <v>0.10668518878328974</v>
      </c>
    </row>
    <row r="40" spans="1:26" s="24" customFormat="1" hidden="1" outlineLevel="2" x14ac:dyDescent="0.25">
      <c r="A40" s="26"/>
      <c r="B40" s="11" t="str">
        <f>CONCATENATE("          ", "6111", " - ", "F.I.C.A.")</f>
        <v xml:space="preserve">          6111 - F.I.C.A.</v>
      </c>
      <c r="C40" s="11"/>
      <c r="D40" s="6">
        <v>27684.510000000002</v>
      </c>
      <c r="E40" s="2"/>
      <c r="F40" s="7">
        <f t="shared" si="12"/>
        <v>1.9764515180140951E-2</v>
      </c>
      <c r="G40" s="2"/>
      <c r="H40" s="6">
        <v>24432.769999999997</v>
      </c>
      <c r="I40" s="2"/>
      <c r="J40" s="7">
        <f t="shared" si="13"/>
        <v>1.7461390135987652E-2</v>
      </c>
      <c r="K40" s="2"/>
      <c r="L40" s="6">
        <f t="shared" si="14"/>
        <v>3251.7400000000052</v>
      </c>
      <c r="M40" s="2"/>
      <c r="N40" s="7">
        <f t="shared" si="15"/>
        <v>0.13308928950749366</v>
      </c>
      <c r="O40" s="11"/>
      <c r="P40" s="6">
        <v>68843.78</v>
      </c>
      <c r="Q40" s="2"/>
      <c r="R40" s="7">
        <f t="shared" si="16"/>
        <v>2.1319930914581446E-2</v>
      </c>
      <c r="S40" s="2"/>
      <c r="T40" s="6">
        <v>61862.05</v>
      </c>
      <c r="U40" s="2"/>
      <c r="V40" s="7">
        <f t="shared" si="17"/>
        <v>1.8800752790504846E-2</v>
      </c>
      <c r="W40" s="2"/>
      <c r="X40" s="6">
        <f t="shared" si="18"/>
        <v>6981.7299999999959</v>
      </c>
      <c r="Y40" s="2"/>
      <c r="Z40" s="7">
        <f t="shared" si="19"/>
        <v>0.11285966113311789</v>
      </c>
    </row>
    <row r="41" spans="1:26" s="24" customFormat="1" hidden="1" outlineLevel="2" x14ac:dyDescent="0.25">
      <c r="A41" s="26"/>
      <c r="B41" s="11" t="str">
        <f>CONCATENATE("          ", "6112", " - ", "COMPENSATION INSURANCE")</f>
        <v xml:space="preserve">          6112 - COMPENSATION INSURANCE</v>
      </c>
      <c r="C41" s="11"/>
      <c r="D41" s="6">
        <v>-1647.55</v>
      </c>
      <c r="E41" s="2"/>
      <c r="F41" s="7">
        <f t="shared" si="12"/>
        <v>-1.1762182890374879E-3</v>
      </c>
      <c r="G41" s="2"/>
      <c r="H41" s="6">
        <v>19491.46</v>
      </c>
      <c r="I41" s="2"/>
      <c r="J41" s="7">
        <f t="shared" si="13"/>
        <v>1.3929979588069545E-2</v>
      </c>
      <c r="K41" s="2"/>
      <c r="L41" s="6">
        <f t="shared" si="14"/>
        <v>-21139.01</v>
      </c>
      <c r="M41" s="2"/>
      <c r="N41" s="7">
        <f t="shared" si="15"/>
        <v>-1.0845267619767835</v>
      </c>
      <c r="O41" s="11"/>
      <c r="P41" s="6">
        <v>20985.31</v>
      </c>
      <c r="Q41" s="2"/>
      <c r="R41" s="7">
        <f t="shared" si="16"/>
        <v>6.4988494156055232E-3</v>
      </c>
      <c r="S41" s="2"/>
      <c r="T41" s="6">
        <v>31910.68</v>
      </c>
      <c r="U41" s="2"/>
      <c r="V41" s="7">
        <f t="shared" si="17"/>
        <v>9.6981074189572952E-3</v>
      </c>
      <c r="W41" s="2"/>
      <c r="X41" s="6">
        <f t="shared" si="18"/>
        <v>-10925.369999999999</v>
      </c>
      <c r="Y41" s="2"/>
      <c r="Z41" s="7">
        <f t="shared" si="19"/>
        <v>-0.34237346242699934</v>
      </c>
    </row>
    <row r="42" spans="1:26" s="24" customFormat="1" hidden="1" outlineLevel="2" x14ac:dyDescent="0.25">
      <c r="A42" s="26"/>
      <c r="B42" s="11" t="str">
        <f>CONCATENATE("          ", "6113", " - ", "GROUP INSURANCE")</f>
        <v xml:space="preserve">          6113 - GROUP INSURANCE</v>
      </c>
      <c r="C42" s="11"/>
      <c r="D42" s="6">
        <v>27091.870000000003</v>
      </c>
      <c r="E42" s="2"/>
      <c r="F42" s="7">
        <f t="shared" si="12"/>
        <v>1.9341417849671361E-2</v>
      </c>
      <c r="G42" s="2"/>
      <c r="H42" s="6">
        <v>29490.6</v>
      </c>
      <c r="I42" s="2"/>
      <c r="J42" s="7">
        <f t="shared" si="13"/>
        <v>2.107607413913189E-2</v>
      </c>
      <c r="K42" s="2"/>
      <c r="L42" s="6">
        <f t="shared" si="14"/>
        <v>-2398.7299999999959</v>
      </c>
      <c r="M42" s="2"/>
      <c r="N42" s="7">
        <f t="shared" si="15"/>
        <v>-8.1338799481868659E-2</v>
      </c>
      <c r="O42" s="11"/>
      <c r="P42" s="6">
        <v>108541.43000000001</v>
      </c>
      <c r="Q42" s="2"/>
      <c r="R42" s="7">
        <f t="shared" si="16"/>
        <v>3.3613723548734223E-2</v>
      </c>
      <c r="S42" s="2"/>
      <c r="T42" s="6">
        <v>100595.79</v>
      </c>
      <c r="U42" s="2"/>
      <c r="V42" s="7">
        <f t="shared" si="17"/>
        <v>3.057248473911775E-2</v>
      </c>
      <c r="W42" s="2"/>
      <c r="X42" s="6">
        <f t="shared" si="18"/>
        <v>7945.640000000014</v>
      </c>
      <c r="Y42" s="2"/>
      <c r="Z42" s="7">
        <f t="shared" si="19"/>
        <v>7.8985810439979792E-2</v>
      </c>
    </row>
    <row r="43" spans="1:26" s="24" customFormat="1" hidden="1" outlineLevel="2" x14ac:dyDescent="0.25">
      <c r="A43" s="26"/>
      <c r="B43" s="11" t="str">
        <f>CONCATENATE("          ", "6114", " - ", "STATE UNEMPLOYMENT INSURANCE")</f>
        <v xml:space="preserve">          6114 - STATE UNEMPLOYMENT INSURANCE</v>
      </c>
      <c r="C43" s="11"/>
      <c r="D43" s="6">
        <v>1042.04</v>
      </c>
      <c r="E43" s="2"/>
      <c r="F43" s="7">
        <f t="shared" si="12"/>
        <v>7.4393281290924328E-4</v>
      </c>
      <c r="G43" s="2"/>
      <c r="H43" s="6">
        <v>959.81</v>
      </c>
      <c r="I43" s="2"/>
      <c r="J43" s="7">
        <f t="shared" si="13"/>
        <v>6.8594829265868377E-4</v>
      </c>
      <c r="K43" s="2"/>
      <c r="L43" s="6">
        <f t="shared" si="14"/>
        <v>82.230000000000018</v>
      </c>
      <c r="M43" s="2"/>
      <c r="N43" s="7">
        <f t="shared" si="15"/>
        <v>8.5673206155384943E-2</v>
      </c>
      <c r="O43" s="11"/>
      <c r="P43" s="6">
        <v>2782.31</v>
      </c>
      <c r="Q43" s="2"/>
      <c r="R43" s="7">
        <f t="shared" si="16"/>
        <v>8.6164148718953406E-4</v>
      </c>
      <c r="S43" s="2"/>
      <c r="T43" s="6">
        <v>2770.54</v>
      </c>
      <c r="U43" s="2"/>
      <c r="V43" s="7">
        <f t="shared" si="17"/>
        <v>8.4200632918251649E-4</v>
      </c>
      <c r="W43" s="2"/>
      <c r="X43" s="6">
        <f t="shared" si="18"/>
        <v>11.769999999999982</v>
      </c>
      <c r="Y43" s="2"/>
      <c r="Z43" s="7">
        <f t="shared" si="19"/>
        <v>4.2482692904632245E-3</v>
      </c>
    </row>
    <row r="44" spans="1:26" s="24" customFormat="1" hidden="1" outlineLevel="2" x14ac:dyDescent="0.25">
      <c r="A44" s="26"/>
      <c r="B44" s="11" t="str">
        <f>CONCATENATE("          ", "6115", " - ", "P.E.R.S.")</f>
        <v xml:space="preserve">          6115 - P.E.R.S.</v>
      </c>
      <c r="C44" s="11"/>
      <c r="D44" s="6">
        <v>13282.84</v>
      </c>
      <c r="E44" s="2"/>
      <c r="F44" s="7">
        <f t="shared" si="12"/>
        <v>9.4828802393606901E-3</v>
      </c>
      <c r="G44" s="2"/>
      <c r="H44" s="6">
        <v>11926.73</v>
      </c>
      <c r="I44" s="2"/>
      <c r="J44" s="7">
        <f t="shared" si="13"/>
        <v>8.5236870635866518E-3</v>
      </c>
      <c r="K44" s="2"/>
      <c r="L44" s="6">
        <f t="shared" si="14"/>
        <v>1356.1100000000006</v>
      </c>
      <c r="M44" s="2"/>
      <c r="N44" s="7">
        <f t="shared" si="15"/>
        <v>0.1137034208035229</v>
      </c>
      <c r="O44" s="11"/>
      <c r="P44" s="6">
        <v>35573.100000000006</v>
      </c>
      <c r="Q44" s="2"/>
      <c r="R44" s="7">
        <f t="shared" si="16"/>
        <v>1.1016478677049652E-2</v>
      </c>
      <c r="S44" s="2"/>
      <c r="T44" s="6">
        <v>36604.839999999997</v>
      </c>
      <c r="U44" s="2"/>
      <c r="V44" s="7">
        <f t="shared" si="17"/>
        <v>1.1124729099277883E-2</v>
      </c>
      <c r="W44" s="2"/>
      <c r="X44" s="6">
        <f t="shared" si="18"/>
        <v>-1031.7399999999907</v>
      </c>
      <c r="Y44" s="2"/>
      <c r="Z44" s="7">
        <f t="shared" si="19"/>
        <v>-2.8185890171900513E-2</v>
      </c>
    </row>
    <row r="45" spans="1:26" s="24" customFormat="1" hidden="1" outlineLevel="2" x14ac:dyDescent="0.25">
      <c r="A45" s="26"/>
      <c r="B45" s="11" t="str">
        <f>CONCATENATE("          ", "6117", " - ", "RETIREMENT STAFF HOURLY")</f>
        <v xml:space="preserve">          6117 - RETIREMENT STAFF HOURLY</v>
      </c>
      <c r="C45" s="11"/>
      <c r="D45" s="6">
        <v>56</v>
      </c>
      <c r="E45" s="2"/>
      <c r="F45" s="7">
        <f t="shared" si="12"/>
        <v>3.9979499369426918E-5</v>
      </c>
      <c r="G45" s="2"/>
      <c r="H45" s="6">
        <v>56</v>
      </c>
      <c r="I45" s="2"/>
      <c r="J45" s="7">
        <f t="shared" si="13"/>
        <v>4.0021571341084478E-5</v>
      </c>
      <c r="K45" s="2"/>
      <c r="L45" s="6">
        <f t="shared" si="14"/>
        <v>0</v>
      </c>
      <c r="M45" s="2"/>
      <c r="N45" s="7">
        <f t="shared" si="15"/>
        <v>0</v>
      </c>
      <c r="O45" s="11"/>
      <c r="P45" s="6">
        <v>252</v>
      </c>
      <c r="Q45" s="2"/>
      <c r="R45" s="7">
        <f t="shared" si="16"/>
        <v>7.8040784374049834E-5</v>
      </c>
      <c r="S45" s="2"/>
      <c r="T45" s="6">
        <v>252</v>
      </c>
      <c r="U45" s="2"/>
      <c r="V45" s="7">
        <f t="shared" si="17"/>
        <v>7.658636762291616E-5</v>
      </c>
      <c r="W45" s="2"/>
      <c r="X45" s="6">
        <f t="shared" si="18"/>
        <v>0</v>
      </c>
      <c r="Y45" s="2"/>
      <c r="Z45" s="7">
        <f t="shared" si="19"/>
        <v>0</v>
      </c>
    </row>
    <row r="46" spans="1:26" s="24" customFormat="1" hidden="1" outlineLevel="2" x14ac:dyDescent="0.25">
      <c r="A46" s="26"/>
      <c r="B46" s="11" t="str">
        <f>CONCATENATE("          ", "6118", " - ", "VACATION")</f>
        <v xml:space="preserve">          6118 - VACATION</v>
      </c>
      <c r="C46" s="11"/>
      <c r="D46" s="6">
        <v>10841.79</v>
      </c>
      <c r="E46" s="2"/>
      <c r="F46" s="7">
        <f t="shared" si="12"/>
        <v>7.7401667226510559E-3</v>
      </c>
      <c r="G46" s="2"/>
      <c r="H46" s="6">
        <v>8855.6299999999992</v>
      </c>
      <c r="I46" s="2"/>
      <c r="J46" s="7">
        <f t="shared" si="13"/>
        <v>6.3288612109865701E-3</v>
      </c>
      <c r="K46" s="2"/>
      <c r="L46" s="6">
        <f t="shared" si="14"/>
        <v>1986.1600000000017</v>
      </c>
      <c r="M46" s="2"/>
      <c r="N46" s="7">
        <f t="shared" si="15"/>
        <v>0.22428217981103568</v>
      </c>
      <c r="O46" s="11"/>
      <c r="P46" s="6">
        <v>37807.14</v>
      </c>
      <c r="Q46" s="2"/>
      <c r="R46" s="7">
        <f t="shared" si="16"/>
        <v>1.1708328811664739E-2</v>
      </c>
      <c r="S46" s="2"/>
      <c r="T46" s="6">
        <v>30759.699999999997</v>
      </c>
      <c r="U46" s="2"/>
      <c r="V46" s="7">
        <f t="shared" si="17"/>
        <v>9.3483083022643416E-3</v>
      </c>
      <c r="W46" s="2"/>
      <c r="X46" s="6">
        <f t="shared" si="18"/>
        <v>7047.4400000000023</v>
      </c>
      <c r="Y46" s="2"/>
      <c r="Z46" s="7">
        <f t="shared" si="19"/>
        <v>0.22911276767978891</v>
      </c>
    </row>
    <row r="47" spans="1:26" s="24" customFormat="1" hidden="1" outlineLevel="2" x14ac:dyDescent="0.25">
      <c r="A47" s="26"/>
      <c r="B47" s="11" t="str">
        <f>CONCATENATE("          ", "6119", " - ", "SICK LEAVE")</f>
        <v xml:space="preserve">          6119 - SICK LEAVE</v>
      </c>
      <c r="C47" s="11"/>
      <c r="D47" s="6">
        <v>8235.36</v>
      </c>
      <c r="E47" s="2"/>
      <c r="F47" s="7">
        <f t="shared" si="12"/>
        <v>5.8793851772679234E-3</v>
      </c>
      <c r="G47" s="2"/>
      <c r="H47" s="6">
        <v>1328.08</v>
      </c>
      <c r="I47" s="2"/>
      <c r="J47" s="7">
        <f t="shared" si="13"/>
        <v>9.4914015119049058E-4</v>
      </c>
      <c r="K47" s="2"/>
      <c r="L47" s="6">
        <f t="shared" si="14"/>
        <v>6907.2800000000007</v>
      </c>
      <c r="M47" s="2"/>
      <c r="N47" s="7">
        <f t="shared" si="15"/>
        <v>5.2009517498945854</v>
      </c>
      <c r="O47" s="11"/>
      <c r="P47" s="6">
        <v>47162.96</v>
      </c>
      <c r="Q47" s="2"/>
      <c r="R47" s="7">
        <f t="shared" si="16"/>
        <v>1.4605692030960068E-2</v>
      </c>
      <c r="S47" s="2"/>
      <c r="T47" s="6">
        <v>24296.16</v>
      </c>
      <c r="U47" s="2"/>
      <c r="V47" s="7">
        <f t="shared" si="17"/>
        <v>7.383946990417424E-3</v>
      </c>
      <c r="W47" s="2"/>
      <c r="X47" s="6">
        <f t="shared" si="18"/>
        <v>22866.799999999999</v>
      </c>
      <c r="Y47" s="2"/>
      <c r="Z47" s="7">
        <f t="shared" si="19"/>
        <v>0.94116930412048649</v>
      </c>
    </row>
    <row r="48" spans="1:26" s="24" customFormat="1" hidden="1" outlineLevel="2" x14ac:dyDescent="0.25">
      <c r="A48" s="26"/>
      <c r="B48" s="11" t="str">
        <f>CONCATENATE("          ", "6156", " - ", "EMPLOYEE MEALS")</f>
        <v xml:space="preserve">          6156 - EMPLOYEE MEALS</v>
      </c>
      <c r="C48" s="11"/>
      <c r="D48" s="6">
        <v>3168.05</v>
      </c>
      <c r="E48" s="2"/>
      <c r="F48" s="7">
        <f t="shared" si="12"/>
        <v>2.2617330888805884E-3</v>
      </c>
      <c r="G48" s="2"/>
      <c r="H48" s="6">
        <v>3107.27</v>
      </c>
      <c r="I48" s="2"/>
      <c r="J48" s="7">
        <f t="shared" si="13"/>
        <v>2.2206754996609208E-3</v>
      </c>
      <c r="K48" s="2"/>
      <c r="L48" s="6">
        <f t="shared" si="14"/>
        <v>60.7800000000002</v>
      </c>
      <c r="M48" s="2"/>
      <c r="N48" s="7">
        <f t="shared" si="15"/>
        <v>1.9560578900449654E-2</v>
      </c>
      <c r="O48" s="11"/>
      <c r="P48" s="6">
        <v>12624.66</v>
      </c>
      <c r="Q48" s="2"/>
      <c r="R48" s="7">
        <f t="shared" si="16"/>
        <v>3.9096760668876664E-3</v>
      </c>
      <c r="S48" s="2"/>
      <c r="T48" s="6">
        <v>13267.9</v>
      </c>
      <c r="U48" s="2"/>
      <c r="V48" s="7">
        <f t="shared" si="17"/>
        <v>4.0323026467622598E-3</v>
      </c>
      <c r="W48" s="2"/>
      <c r="X48" s="6">
        <f t="shared" si="18"/>
        <v>-643.23999999999978</v>
      </c>
      <c r="Y48" s="2"/>
      <c r="Z48" s="7">
        <f t="shared" si="19"/>
        <v>-4.848092011546664E-2</v>
      </c>
    </row>
    <row r="49" spans="1:26" s="27" customFormat="1" outlineLevel="1" collapsed="1" x14ac:dyDescent="0.25">
      <c r="A49" s="25"/>
      <c r="B49" s="13" t="str">
        <f>CONCATENATE("     ","*Payroll                                          ")</f>
        <v xml:space="preserve">     *Payroll                                          </v>
      </c>
      <c r="C49" s="13"/>
      <c r="D49" s="1">
        <f>SUM(OSRRefD22_1x_0)</f>
        <v>381241.74</v>
      </c>
      <c r="E49" s="1"/>
      <c r="F49" s="5">
        <f t="shared" ref="F49:F56" si="20">IF(D$12=0,0,D49/D$12)</f>
        <v>0.27217596257016469</v>
      </c>
      <c r="G49" s="1"/>
      <c r="H49" s="1">
        <f>SUM(OSRRefH22_1x_0)</f>
        <v>364267.27999999991</v>
      </c>
      <c r="I49" s="1"/>
      <c r="J49" s="5">
        <f t="shared" ref="J49:J56" si="21">IF(H$12=0,0,H49/H$12)</f>
        <v>0.26033123095969274</v>
      </c>
      <c r="K49" s="1"/>
      <c r="L49" s="1">
        <f t="shared" ref="L49:L56" si="22">+D49-H49</f>
        <v>16974.460000000079</v>
      </c>
      <c r="M49" s="1"/>
      <c r="N49" s="5">
        <f t="shared" ref="N49:N56" si="23">IF(H49=0,0,L49/H49)</f>
        <v>4.6598914950582666E-2</v>
      </c>
      <c r="O49" s="13"/>
      <c r="P49" s="1">
        <f>SUM(OSRRefP22_1x_0)</f>
        <v>1109017.31</v>
      </c>
      <c r="Q49" s="1"/>
      <c r="R49" s="5">
        <f t="shared" ref="R49:R56" si="24">IF(P$12=0,0,P49/P$12)</f>
        <v>0.34344674903491579</v>
      </c>
      <c r="S49" s="1"/>
      <c r="T49" s="1">
        <f>SUM(OSRRefT22_1x_0)</f>
        <v>1020156.37</v>
      </c>
      <c r="U49" s="1"/>
      <c r="V49" s="5">
        <f t="shared" ref="V49:V56" si="25">IF(T$12=0,0,T49/T$12)</f>
        <v>0.31003996343523682</v>
      </c>
      <c r="W49" s="1"/>
      <c r="X49" s="1">
        <f t="shared" ref="X49:X56" si="26">+P49-T49</f>
        <v>88860.940000000061</v>
      </c>
      <c r="Y49" s="1"/>
      <c r="Z49" s="5">
        <f t="shared" ref="Z49:Z56" si="27">IF(T49=0,0,X49/T49)</f>
        <v>8.710521505639382E-2</v>
      </c>
    </row>
    <row r="50" spans="1:26" s="24" customFormat="1" hidden="1" outlineLevel="2" x14ac:dyDescent="0.25">
      <c r="A50" s="26"/>
      <c r="B50" s="11" t="str">
        <f>CONCATENATE("          ", "6001", " - ", "ADMINISTRATIVE SALARIES")</f>
        <v xml:space="preserve">          6001 - ADMINISTRATIVE SALARIES</v>
      </c>
      <c r="C50" s="11"/>
      <c r="D50" s="6">
        <v>18561.289999999997</v>
      </c>
      <c r="E50" s="2"/>
      <c r="F50" s="7">
        <f t="shared" si="20"/>
        <v>1.3251269318763394E-2</v>
      </c>
      <c r="G50" s="2"/>
      <c r="H50" s="6">
        <v>16979.289999999997</v>
      </c>
      <c r="I50" s="2"/>
      <c r="J50" s="7">
        <f t="shared" si="21"/>
        <v>1.2134604750999325E-2</v>
      </c>
      <c r="K50" s="2"/>
      <c r="L50" s="6">
        <f t="shared" si="22"/>
        <v>1582</v>
      </c>
      <c r="M50" s="2"/>
      <c r="N50" s="7">
        <f t="shared" si="23"/>
        <v>9.3172329349460445E-2</v>
      </c>
      <c r="O50" s="11"/>
      <c r="P50" s="6">
        <v>70256.06</v>
      </c>
      <c r="Q50" s="2"/>
      <c r="R50" s="7">
        <f t="shared" si="24"/>
        <v>2.1757293767580583E-2</v>
      </c>
      <c r="S50" s="2"/>
      <c r="T50" s="6">
        <v>66219.06</v>
      </c>
      <c r="U50" s="2"/>
      <c r="V50" s="7">
        <f t="shared" si="25"/>
        <v>2.0124909812714059E-2</v>
      </c>
      <c r="W50" s="2"/>
      <c r="X50" s="6">
        <f t="shared" si="26"/>
        <v>4037</v>
      </c>
      <c r="Y50" s="2"/>
      <c r="Z50" s="7">
        <f t="shared" si="27"/>
        <v>6.0964320544568289E-2</v>
      </c>
    </row>
    <row r="51" spans="1:26" s="24" customFormat="1" hidden="1" outlineLevel="2" x14ac:dyDescent="0.25">
      <c r="A51" s="26"/>
      <c r="B51" s="11" t="str">
        <f>CONCATENATE("          ", "6002", " - ", "STAFF SALARIES")</f>
        <v xml:space="preserve">          6002 - STAFF SALARIES</v>
      </c>
      <c r="C51" s="11"/>
      <c r="D51" s="6">
        <v>96870.06</v>
      </c>
      <c r="E51" s="2"/>
      <c r="F51" s="7">
        <f t="shared" si="20"/>
        <v>6.9157437547970491E-2</v>
      </c>
      <c r="G51" s="2"/>
      <c r="H51" s="6">
        <v>88350.569999999992</v>
      </c>
      <c r="I51" s="2"/>
      <c r="J51" s="7">
        <f t="shared" si="21"/>
        <v>6.3141582862151394E-2</v>
      </c>
      <c r="K51" s="2"/>
      <c r="L51" s="6">
        <f t="shared" si="22"/>
        <v>8519.4900000000052</v>
      </c>
      <c r="M51" s="2"/>
      <c r="N51" s="7">
        <f t="shared" si="23"/>
        <v>9.6428240361097914E-2</v>
      </c>
      <c r="O51" s="11"/>
      <c r="P51" s="6">
        <v>311557.06</v>
      </c>
      <c r="Q51" s="2"/>
      <c r="R51" s="7">
        <f t="shared" si="24"/>
        <v>9.6484751347908349E-2</v>
      </c>
      <c r="S51" s="2"/>
      <c r="T51" s="6">
        <v>296141.26</v>
      </c>
      <c r="U51" s="2"/>
      <c r="V51" s="7">
        <f t="shared" si="25"/>
        <v>9.0001521455053968E-2</v>
      </c>
      <c r="W51" s="2"/>
      <c r="X51" s="6">
        <f t="shared" si="26"/>
        <v>15415.799999999988</v>
      </c>
      <c r="Y51" s="2"/>
      <c r="Z51" s="7">
        <f t="shared" si="27"/>
        <v>5.2055562943171069E-2</v>
      </c>
    </row>
    <row r="52" spans="1:26" s="24" customFormat="1" hidden="1" outlineLevel="2" x14ac:dyDescent="0.25">
      <c r="A52" s="26"/>
      <c r="B52" s="11" t="str">
        <f>CONCATENATE("          ", "6004", " - ", "STAFF HOURLY")</f>
        <v xml:space="preserve">          6004 - STAFF HOURLY</v>
      </c>
      <c r="C52" s="11"/>
      <c r="D52" s="6">
        <v>30306.700000000004</v>
      </c>
      <c r="E52" s="2"/>
      <c r="F52" s="7">
        <f t="shared" si="20"/>
        <v>2.1636548098918053E-2</v>
      </c>
      <c r="G52" s="2"/>
      <c r="H52" s="6">
        <v>22048.929999999997</v>
      </c>
      <c r="I52" s="2"/>
      <c r="J52" s="7">
        <f t="shared" si="21"/>
        <v>1.5757729017671029E-2</v>
      </c>
      <c r="K52" s="2"/>
      <c r="L52" s="6">
        <f t="shared" si="22"/>
        <v>8257.7700000000077</v>
      </c>
      <c r="M52" s="2"/>
      <c r="N52" s="7">
        <f t="shared" si="23"/>
        <v>0.37452021481314551</v>
      </c>
      <c r="O52" s="11"/>
      <c r="P52" s="6">
        <v>83089.91</v>
      </c>
      <c r="Q52" s="2"/>
      <c r="R52" s="7">
        <f t="shared" si="24"/>
        <v>2.5731752976068282E-2</v>
      </c>
      <c r="S52" s="2"/>
      <c r="T52" s="6">
        <v>56276.39</v>
      </c>
      <c r="U52" s="2"/>
      <c r="V52" s="7">
        <f t="shared" si="25"/>
        <v>1.7103191639010331E-2</v>
      </c>
      <c r="W52" s="2"/>
      <c r="X52" s="6">
        <f t="shared" si="26"/>
        <v>26813.520000000004</v>
      </c>
      <c r="Y52" s="2"/>
      <c r="Z52" s="7">
        <f t="shared" si="27"/>
        <v>0.47646126555026014</v>
      </c>
    </row>
    <row r="53" spans="1:26" s="24" customFormat="1" hidden="1" outlineLevel="2" x14ac:dyDescent="0.25">
      <c r="A53" s="26"/>
      <c r="B53" s="11" t="str">
        <f>CONCATENATE("          ", "6005", " - ", "TEMPORARY WAGES-HOURLY")</f>
        <v xml:space="preserve">          6005 - TEMPORARY WAGES-HOURLY</v>
      </c>
      <c r="C53" s="11"/>
      <c r="D53" s="6">
        <v>87358.33</v>
      </c>
      <c r="E53" s="2"/>
      <c r="F53" s="7">
        <f t="shared" si="20"/>
        <v>6.236682677052123E-2</v>
      </c>
      <c r="G53" s="2"/>
      <c r="H53" s="6">
        <v>71375.209999999992</v>
      </c>
      <c r="I53" s="2"/>
      <c r="J53" s="7">
        <f t="shared" si="21"/>
        <v>5.1009786767855107E-2</v>
      </c>
      <c r="K53" s="2"/>
      <c r="L53" s="6">
        <f t="shared" si="22"/>
        <v>15983.12000000001</v>
      </c>
      <c r="M53" s="2"/>
      <c r="N53" s="7">
        <f t="shared" si="23"/>
        <v>0.22393096987035152</v>
      </c>
      <c r="O53" s="11"/>
      <c r="P53" s="6">
        <v>217647.87</v>
      </c>
      <c r="Q53" s="2"/>
      <c r="R53" s="7">
        <f t="shared" si="24"/>
        <v>6.7402422587862013E-2</v>
      </c>
      <c r="S53" s="2"/>
      <c r="T53" s="6">
        <v>180985.63</v>
      </c>
      <c r="U53" s="2"/>
      <c r="V53" s="7">
        <f t="shared" si="25"/>
        <v>5.5004095212877323E-2</v>
      </c>
      <c r="W53" s="2"/>
      <c r="X53" s="6">
        <f t="shared" si="26"/>
        <v>36662.239999999991</v>
      </c>
      <c r="Y53" s="2"/>
      <c r="Z53" s="7">
        <f t="shared" si="27"/>
        <v>0.20256989463749134</v>
      </c>
    </row>
    <row r="54" spans="1:26" s="24" customFormat="1" hidden="1" outlineLevel="2" x14ac:dyDescent="0.25">
      <c r="A54" s="26"/>
      <c r="B54" s="11" t="str">
        <f>CONCATENATE("          ", "6006", " - ", "TEMPORARY PART TIME")</f>
        <v xml:space="preserve">          6006 - TEMPORARY PART TIME</v>
      </c>
      <c r="C54" s="11"/>
      <c r="D54" s="6">
        <v>5917.85</v>
      </c>
      <c r="E54" s="2"/>
      <c r="F54" s="7">
        <f t="shared" si="20"/>
        <v>4.2248692918457698E-3</v>
      </c>
      <c r="G54" s="2"/>
      <c r="H54" s="6">
        <v>7421.48</v>
      </c>
      <c r="I54" s="2"/>
      <c r="J54" s="7">
        <f t="shared" si="21"/>
        <v>5.3039159156505651E-3</v>
      </c>
      <c r="K54" s="2"/>
      <c r="L54" s="6">
        <f t="shared" si="22"/>
        <v>-1503.6299999999992</v>
      </c>
      <c r="M54" s="2"/>
      <c r="N54" s="7">
        <f t="shared" si="23"/>
        <v>-0.20260514075359623</v>
      </c>
      <c r="O54" s="11"/>
      <c r="P54" s="6">
        <v>16151.969999999998</v>
      </c>
      <c r="Q54" s="2"/>
      <c r="R54" s="7">
        <f t="shared" si="24"/>
        <v>5.0020333650242915E-3</v>
      </c>
      <c r="S54" s="2"/>
      <c r="T54" s="6">
        <v>17676.190000000002</v>
      </c>
      <c r="U54" s="2"/>
      <c r="V54" s="7">
        <f t="shared" si="25"/>
        <v>5.3720443869544237E-3</v>
      </c>
      <c r="W54" s="2"/>
      <c r="X54" s="6">
        <f t="shared" si="26"/>
        <v>-1524.2200000000048</v>
      </c>
      <c r="Y54" s="2"/>
      <c r="Z54" s="7">
        <f t="shared" si="27"/>
        <v>-8.6230120857492737E-2</v>
      </c>
    </row>
    <row r="55" spans="1:26" s="24" customFormat="1" hidden="1" outlineLevel="2" x14ac:dyDescent="0.25">
      <c r="A55" s="26"/>
      <c r="B55" s="11" t="str">
        <f>CONCATENATE("          ", "6007", " - ", "STUDENT HOURLY")</f>
        <v xml:space="preserve">          6007 - STUDENT HOURLY</v>
      </c>
      <c r="C55" s="11"/>
      <c r="D55" s="6">
        <v>133738.01</v>
      </c>
      <c r="E55" s="2"/>
      <c r="F55" s="7">
        <f t="shared" si="20"/>
        <v>9.5478190829703768E-2</v>
      </c>
      <c r="G55" s="2"/>
      <c r="H55" s="6">
        <v>142292.19999999998</v>
      </c>
      <c r="I55" s="2"/>
      <c r="J55" s="7">
        <f t="shared" si="21"/>
        <v>0.10169209702821179</v>
      </c>
      <c r="K55" s="2"/>
      <c r="L55" s="6">
        <f t="shared" si="22"/>
        <v>-8554.1899999999732</v>
      </c>
      <c r="M55" s="2"/>
      <c r="N55" s="7">
        <f t="shared" si="23"/>
        <v>-6.0117068960912644E-2</v>
      </c>
      <c r="O55" s="11"/>
      <c r="P55" s="6">
        <v>389119.68</v>
      </c>
      <c r="Q55" s="2"/>
      <c r="R55" s="7">
        <f t="shared" si="24"/>
        <v>0.1205047819149971</v>
      </c>
      <c r="S55" s="2"/>
      <c r="T55" s="6">
        <v>367730.95999999996</v>
      </c>
      <c r="U55" s="2"/>
      <c r="V55" s="7">
        <f t="shared" si="25"/>
        <v>0.11175864479717411</v>
      </c>
      <c r="W55" s="2"/>
      <c r="X55" s="6">
        <f t="shared" si="26"/>
        <v>21388.72000000003</v>
      </c>
      <c r="Y55" s="2"/>
      <c r="Z55" s="7">
        <f t="shared" si="27"/>
        <v>5.8164044713559154E-2</v>
      </c>
    </row>
    <row r="56" spans="1:26" s="24" customFormat="1" hidden="1" outlineLevel="2" x14ac:dyDescent="0.25">
      <c r="A56" s="26"/>
      <c r="B56" s="11" t="str">
        <f>CONCATENATE("          ", "6008", " - ", "STUDENT HOURLY-FICA EXEMPT")</f>
        <v xml:space="preserve">          6008 - STUDENT HOURLY-FICA EXEMPT</v>
      </c>
      <c r="C56" s="11"/>
      <c r="D56" s="6">
        <v>8489.5</v>
      </c>
      <c r="E56" s="2"/>
      <c r="F56" s="7">
        <f t="shared" si="20"/>
        <v>6.0608207124419611E-3</v>
      </c>
      <c r="G56" s="2"/>
      <c r="H56" s="6">
        <v>15799.6</v>
      </c>
      <c r="I56" s="2"/>
      <c r="J56" s="7">
        <f t="shared" si="21"/>
        <v>1.1291514617153543E-2</v>
      </c>
      <c r="K56" s="2"/>
      <c r="L56" s="6">
        <f t="shared" si="22"/>
        <v>-7310.1</v>
      </c>
      <c r="M56" s="2"/>
      <c r="N56" s="7">
        <f t="shared" si="23"/>
        <v>-0.46267627028532371</v>
      </c>
      <c r="O56" s="11"/>
      <c r="P56" s="6">
        <v>21194.76</v>
      </c>
      <c r="Q56" s="2"/>
      <c r="R56" s="7">
        <f t="shared" si="24"/>
        <v>6.563713075475144E-3</v>
      </c>
      <c r="S56" s="2"/>
      <c r="T56" s="6">
        <v>35126.879999999997</v>
      </c>
      <c r="U56" s="2"/>
      <c r="V56" s="7">
        <f t="shared" si="25"/>
        <v>1.0675556131452624E-2</v>
      </c>
      <c r="W56" s="2"/>
      <c r="X56" s="6">
        <f t="shared" si="26"/>
        <v>-13932.119999999999</v>
      </c>
      <c r="Y56" s="2"/>
      <c r="Z56" s="7">
        <f t="shared" si="27"/>
        <v>-0.39662275727306268</v>
      </c>
    </row>
    <row r="57" spans="1:26" s="27" customFormat="1" outlineLevel="1" collapsed="1" x14ac:dyDescent="0.25">
      <c r="A57" s="25"/>
      <c r="B57" s="13" t="str">
        <f>CONCATENATE("     ","Advertising/Promo                                 ")</f>
        <v xml:space="preserve">     Advertising/Promo                                 </v>
      </c>
      <c r="C57" s="13"/>
      <c r="D57" s="1">
        <f>SUM(OSRRefD22_2x_0)</f>
        <v>6466.41</v>
      </c>
      <c r="E57" s="1"/>
      <c r="F57" s="5">
        <f t="shared" ref="F57:F66" si="28">IF(D$12=0,0,D57/D$12)</f>
        <v>4.6164970449545702E-3</v>
      </c>
      <c r="G57" s="1"/>
      <c r="H57" s="1">
        <f>SUM(OSRRefH22_2x_0)</f>
        <v>4524.78</v>
      </c>
      <c r="I57" s="1"/>
      <c r="J57" s="5">
        <f t="shared" ref="J57:J66" si="29">IF(H$12=0,0,H57/H$12)</f>
        <v>3.2337286709412899E-3</v>
      </c>
      <c r="K57" s="1"/>
      <c r="L57" s="1">
        <f t="shared" ref="L57:L66" si="30">+D57-H57</f>
        <v>1941.63</v>
      </c>
      <c r="M57" s="1"/>
      <c r="N57" s="5">
        <f t="shared" ref="N57:N66" si="31">IF(H57=0,0,L57/H57)</f>
        <v>0.42911036558683519</v>
      </c>
      <c r="O57" s="13"/>
      <c r="P57" s="1">
        <f>SUM(OSRRefP22_2x_0)</f>
        <v>13722.05</v>
      </c>
      <c r="Q57" s="1"/>
      <c r="R57" s="5">
        <f t="shared" ref="R57:R66" si="32">IF(P$12=0,0,P57/P$12)</f>
        <v>4.2495220048409934E-3</v>
      </c>
      <c r="S57" s="1"/>
      <c r="T57" s="1">
        <f>SUM(OSRRefT22_2x_0)</f>
        <v>11471.67</v>
      </c>
      <c r="U57" s="1"/>
      <c r="V57" s="5">
        <f t="shared" ref="V57:V66" si="33">IF(T$12=0,0,T57/T$12)</f>
        <v>3.486402920114201E-3</v>
      </c>
      <c r="W57" s="1"/>
      <c r="X57" s="1">
        <f t="shared" ref="X57:X66" si="34">+P57-T57</f>
        <v>2250.3799999999992</v>
      </c>
      <c r="Y57" s="1"/>
      <c r="Z57" s="5">
        <f t="shared" ref="Z57:Z66" si="35">IF(T57=0,0,X57/T57)</f>
        <v>0.19616847416287247</v>
      </c>
    </row>
    <row r="58" spans="1:26" s="24" customFormat="1" hidden="1" outlineLevel="2" x14ac:dyDescent="0.25">
      <c r="A58" s="26"/>
      <c r="B58" s="11" t="str">
        <f>CONCATENATE("          ", "6362", " - ", "ADVERTISING EXPENSE")</f>
        <v xml:space="preserve">          6362 - ADVERTISING EXPENSE</v>
      </c>
      <c r="C58" s="11"/>
      <c r="D58" s="6">
        <v>6466.41</v>
      </c>
      <c r="E58" s="2"/>
      <c r="F58" s="7">
        <f t="shared" si="28"/>
        <v>4.6164970449545702E-3</v>
      </c>
      <c r="G58" s="2"/>
      <c r="H58" s="6">
        <v>4524.78</v>
      </c>
      <c r="I58" s="2"/>
      <c r="J58" s="7">
        <f t="shared" si="29"/>
        <v>3.2337286709412899E-3</v>
      </c>
      <c r="K58" s="2"/>
      <c r="L58" s="6">
        <f t="shared" si="30"/>
        <v>1941.63</v>
      </c>
      <c r="M58" s="2"/>
      <c r="N58" s="7">
        <f t="shared" si="31"/>
        <v>0.42911036558683519</v>
      </c>
      <c r="O58" s="11"/>
      <c r="P58" s="6">
        <v>13722.05</v>
      </c>
      <c r="Q58" s="2"/>
      <c r="R58" s="7">
        <f t="shared" si="32"/>
        <v>4.2495220048409934E-3</v>
      </c>
      <c r="S58" s="2"/>
      <c r="T58" s="6">
        <v>11471.67</v>
      </c>
      <c r="U58" s="2"/>
      <c r="V58" s="7">
        <f t="shared" si="33"/>
        <v>3.486402920114201E-3</v>
      </c>
      <c r="W58" s="2"/>
      <c r="X58" s="6">
        <f t="shared" si="34"/>
        <v>2250.3799999999992</v>
      </c>
      <c r="Y58" s="2"/>
      <c r="Z58" s="7">
        <f t="shared" si="35"/>
        <v>0.19616847416287247</v>
      </c>
    </row>
    <row r="59" spans="1:26" s="27" customFormat="1" outlineLevel="1" collapsed="1" x14ac:dyDescent="0.25">
      <c r="A59" s="25"/>
      <c r="B59" s="13" t="str">
        <f>CONCATENATE("     ","Bad Debts/Over/Short                              ")</f>
        <v xml:space="preserve">     Bad Debts/Over/Short                              </v>
      </c>
      <c r="C59" s="13"/>
      <c r="D59" s="1">
        <f>SUM(OSRRefD22_3x_0)</f>
        <v>-32.799999999999997</v>
      </c>
      <c r="E59" s="1"/>
      <c r="F59" s="5">
        <f t="shared" si="28"/>
        <v>-2.3416563916378621E-5</v>
      </c>
      <c r="G59" s="1"/>
      <c r="H59" s="1">
        <f>SUM(OSRRefH22_3x_0)</f>
        <v>-1016.04</v>
      </c>
      <c r="I59" s="1"/>
      <c r="J59" s="5">
        <f t="shared" si="29"/>
        <v>-7.2613423831063351E-4</v>
      </c>
      <c r="K59" s="1"/>
      <c r="L59" s="1">
        <f t="shared" si="30"/>
        <v>983.24</v>
      </c>
      <c r="M59" s="1"/>
      <c r="N59" s="5">
        <f t="shared" si="31"/>
        <v>-0.96771780638557536</v>
      </c>
      <c r="O59" s="13"/>
      <c r="P59" s="1">
        <f>SUM(OSRRefP22_3x_0)</f>
        <v>-220.9</v>
      </c>
      <c r="Q59" s="1"/>
      <c r="R59" s="5">
        <f t="shared" si="32"/>
        <v>-6.8409560588204792E-5</v>
      </c>
      <c r="S59" s="1"/>
      <c r="T59" s="1">
        <f>SUM(OSRRefT22_3x_0)</f>
        <v>-854.28</v>
      </c>
      <c r="U59" s="1"/>
      <c r="V59" s="5">
        <f t="shared" si="33"/>
        <v>-2.5962778624168581E-4</v>
      </c>
      <c r="W59" s="1"/>
      <c r="X59" s="1">
        <f t="shared" si="34"/>
        <v>633.38</v>
      </c>
      <c r="Y59" s="1"/>
      <c r="Z59" s="5">
        <f t="shared" si="35"/>
        <v>-0.74141967504799366</v>
      </c>
    </row>
    <row r="60" spans="1:26" s="24" customFormat="1" hidden="1" outlineLevel="2" x14ac:dyDescent="0.25">
      <c r="A60" s="26"/>
      <c r="B60" s="11" t="str">
        <f>CONCATENATE("          ", "6272", " - ", "CASH (OVER/SHORT)")</f>
        <v xml:space="preserve">          6272 - CASH (OVER/SHORT)</v>
      </c>
      <c r="C60" s="11"/>
      <c r="D60" s="6">
        <v>-32.799999999999997</v>
      </c>
      <c r="E60" s="2"/>
      <c r="F60" s="7">
        <f t="shared" si="28"/>
        <v>-2.3416563916378621E-5</v>
      </c>
      <c r="G60" s="2"/>
      <c r="H60" s="6">
        <v>-1016.04</v>
      </c>
      <c r="I60" s="2"/>
      <c r="J60" s="7">
        <f t="shared" si="29"/>
        <v>-7.2613423831063351E-4</v>
      </c>
      <c r="K60" s="2"/>
      <c r="L60" s="6">
        <f t="shared" si="30"/>
        <v>983.24</v>
      </c>
      <c r="M60" s="2"/>
      <c r="N60" s="7">
        <f t="shared" si="31"/>
        <v>-0.96771780638557536</v>
      </c>
      <c r="O60" s="11"/>
      <c r="P60" s="6">
        <v>-220.9</v>
      </c>
      <c r="Q60" s="2"/>
      <c r="R60" s="7">
        <f t="shared" si="32"/>
        <v>-6.8409560588204792E-5</v>
      </c>
      <c r="S60" s="2"/>
      <c r="T60" s="6">
        <v>-854.28</v>
      </c>
      <c r="U60" s="2"/>
      <c r="V60" s="7">
        <f t="shared" si="33"/>
        <v>-2.5962778624168581E-4</v>
      </c>
      <c r="W60" s="2"/>
      <c r="X60" s="6">
        <f t="shared" si="34"/>
        <v>633.38</v>
      </c>
      <c r="Y60" s="2"/>
      <c r="Z60" s="7">
        <f t="shared" si="35"/>
        <v>-0.74141967504799366</v>
      </c>
    </row>
    <row r="61" spans="1:26" s="27" customFormat="1" outlineLevel="1" collapsed="1" x14ac:dyDescent="0.25">
      <c r="A61" s="25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46660.6</v>
      </c>
      <c r="E61" s="1"/>
      <c r="F61" s="5">
        <f t="shared" si="28"/>
        <v>3.3311918362090742E-2</v>
      </c>
      <c r="G61" s="1"/>
      <c r="H61" s="1">
        <f>SUM(OSRRefH22_4x_0)</f>
        <v>44019.29</v>
      </c>
      <c r="I61" s="1"/>
      <c r="J61" s="5">
        <f t="shared" si="29"/>
        <v>3.1459306341408692E-2</v>
      </c>
      <c r="K61" s="1"/>
      <c r="L61" s="1">
        <f t="shared" si="30"/>
        <v>2641.3099999999977</v>
      </c>
      <c r="M61" s="1"/>
      <c r="N61" s="5">
        <f t="shared" si="31"/>
        <v>6.0003466662001993E-2</v>
      </c>
      <c r="O61" s="13"/>
      <c r="P61" s="1">
        <f>SUM(OSRRefP22_4x_0)</f>
        <v>100665.82</v>
      </c>
      <c r="Q61" s="1"/>
      <c r="R61" s="5">
        <f t="shared" si="32"/>
        <v>3.1174760128797274E-2</v>
      </c>
      <c r="S61" s="1"/>
      <c r="T61" s="1">
        <f>SUM(OSRRefT22_4x_0)</f>
        <v>95564.12000000001</v>
      </c>
      <c r="U61" s="1"/>
      <c r="V61" s="5">
        <f t="shared" si="33"/>
        <v>2.904328899158919E-2</v>
      </c>
      <c r="W61" s="1"/>
      <c r="X61" s="1">
        <f t="shared" si="34"/>
        <v>5101.6999999999971</v>
      </c>
      <c r="Y61" s="1"/>
      <c r="Z61" s="5">
        <f t="shared" si="35"/>
        <v>5.3385098926249687E-2</v>
      </c>
    </row>
    <row r="62" spans="1:26" s="24" customFormat="1" hidden="1" outlineLevel="2" x14ac:dyDescent="0.25">
      <c r="A62" s="26"/>
      <c r="B62" s="11" t="str">
        <f>CONCATENATE("          ", "6381", " - ", "BANK/CREDIT CARD FEES")</f>
        <v xml:space="preserve">          6381 - BANK/CREDIT CARD FEES</v>
      </c>
      <c r="C62" s="11"/>
      <c r="D62" s="6">
        <v>46660.6</v>
      </c>
      <c r="E62" s="2"/>
      <c r="F62" s="7">
        <f t="shared" si="28"/>
        <v>3.3311918362090742E-2</v>
      </c>
      <c r="G62" s="2"/>
      <c r="H62" s="6">
        <v>44019.29</v>
      </c>
      <c r="I62" s="2"/>
      <c r="J62" s="7">
        <f t="shared" si="29"/>
        <v>3.1459306341408692E-2</v>
      </c>
      <c r="K62" s="2"/>
      <c r="L62" s="6">
        <f t="shared" si="30"/>
        <v>2641.3099999999977</v>
      </c>
      <c r="M62" s="2"/>
      <c r="N62" s="7">
        <f t="shared" si="31"/>
        <v>6.0003466662001993E-2</v>
      </c>
      <c r="O62" s="11"/>
      <c r="P62" s="6">
        <v>100665.82</v>
      </c>
      <c r="Q62" s="2"/>
      <c r="R62" s="7">
        <f t="shared" si="32"/>
        <v>3.1174760128797274E-2</v>
      </c>
      <c r="S62" s="2"/>
      <c r="T62" s="6">
        <v>95564.12000000001</v>
      </c>
      <c r="U62" s="2"/>
      <c r="V62" s="7">
        <f t="shared" si="33"/>
        <v>2.904328899158919E-2</v>
      </c>
      <c r="W62" s="2"/>
      <c r="X62" s="6">
        <f t="shared" si="34"/>
        <v>5101.6999999999971</v>
      </c>
      <c r="Y62" s="2"/>
      <c r="Z62" s="7">
        <f t="shared" si="35"/>
        <v>5.3385098926249687E-2</v>
      </c>
    </row>
    <row r="63" spans="1:26" s="27" customFormat="1" outlineLevel="1" collapsed="1" x14ac:dyDescent="0.25">
      <c r="A63" s="25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47974.53</v>
      </c>
      <c r="E63" s="1"/>
      <c r="F63" s="5">
        <f t="shared" si="28"/>
        <v>3.4249958783634869E-2</v>
      </c>
      <c r="G63" s="1"/>
      <c r="H63" s="1">
        <f>SUM(OSRRefH22_5x_0)</f>
        <v>43808.67</v>
      </c>
      <c r="I63" s="1"/>
      <c r="J63" s="5">
        <f t="shared" si="29"/>
        <v>3.1308782352911201E-2</v>
      </c>
      <c r="K63" s="1"/>
      <c r="L63" s="1">
        <f t="shared" si="30"/>
        <v>4165.8600000000006</v>
      </c>
      <c r="M63" s="1"/>
      <c r="N63" s="5">
        <f t="shared" si="31"/>
        <v>9.5092135871734998E-2</v>
      </c>
      <c r="O63" s="13"/>
      <c r="P63" s="1">
        <f>SUM(OSRRefP22_5x_0)</f>
        <v>191898.12</v>
      </c>
      <c r="Q63" s="1"/>
      <c r="R63" s="5">
        <f t="shared" si="32"/>
        <v>5.9428094463117219E-2</v>
      </c>
      <c r="S63" s="1"/>
      <c r="T63" s="1">
        <f>SUM(OSRRefT22_5x_0)</f>
        <v>194208.54</v>
      </c>
      <c r="U63" s="1"/>
      <c r="V63" s="5">
        <f t="shared" si="33"/>
        <v>5.9022724761705635E-2</v>
      </c>
      <c r="W63" s="1"/>
      <c r="X63" s="1">
        <f t="shared" si="34"/>
        <v>-2310.4200000000128</v>
      </c>
      <c r="Y63" s="1"/>
      <c r="Z63" s="5">
        <f t="shared" si="35"/>
        <v>-1.1896593218815263E-2</v>
      </c>
    </row>
    <row r="64" spans="1:26" s="24" customFormat="1" hidden="1" outlineLevel="2" x14ac:dyDescent="0.25">
      <c r="A64" s="26"/>
      <c r="B64" s="11" t="str">
        <f>CONCATENATE("          ", "6321", " - ", "BUILDING DEPRECIATION")</f>
        <v xml:space="preserve">          6321 - BUILDING DEPRECIATION</v>
      </c>
      <c r="C64" s="11"/>
      <c r="D64" s="6">
        <v>29123.47</v>
      </c>
      <c r="E64" s="2"/>
      <c r="F64" s="7">
        <f t="shared" si="28"/>
        <v>2.0791816973223638E-2</v>
      </c>
      <c r="G64" s="2"/>
      <c r="H64" s="6">
        <v>26597.02</v>
      </c>
      <c r="I64" s="2"/>
      <c r="J64" s="7">
        <f t="shared" si="29"/>
        <v>1.900811666768305E-2</v>
      </c>
      <c r="K64" s="2"/>
      <c r="L64" s="6">
        <f t="shared" si="30"/>
        <v>2526.4500000000007</v>
      </c>
      <c r="M64" s="2"/>
      <c r="N64" s="7">
        <f t="shared" si="31"/>
        <v>9.4989965041196375E-2</v>
      </c>
      <c r="O64" s="11"/>
      <c r="P64" s="6">
        <v>116493.88</v>
      </c>
      <c r="Q64" s="2"/>
      <c r="R64" s="7">
        <f t="shared" si="32"/>
        <v>3.6076483214192205E-2</v>
      </c>
      <c r="S64" s="2"/>
      <c r="T64" s="6">
        <v>125361.94</v>
      </c>
      <c r="U64" s="2"/>
      <c r="V64" s="7">
        <f t="shared" si="33"/>
        <v>3.8099268344293488E-2</v>
      </c>
      <c r="W64" s="2"/>
      <c r="X64" s="6">
        <f t="shared" si="34"/>
        <v>-8868.0599999999977</v>
      </c>
      <c r="Y64" s="2"/>
      <c r="Z64" s="7">
        <f t="shared" si="35"/>
        <v>-7.0739651923063709E-2</v>
      </c>
    </row>
    <row r="65" spans="1:26" s="24" customFormat="1" hidden="1" outlineLevel="2" x14ac:dyDescent="0.25">
      <c r="A65" s="26"/>
      <c r="B65" s="11" t="str">
        <f>CONCATENATE("          ", "6322", " - ", "EQUIPMENT DEPRECIATION EXPENSE")</f>
        <v xml:space="preserve">          6322 - EQUIPMENT DEPRECIATION EXPENSE</v>
      </c>
      <c r="C65" s="11"/>
      <c r="D65" s="6">
        <v>18426.809999999998</v>
      </c>
      <c r="E65" s="2"/>
      <c r="F65" s="7">
        <f t="shared" si="28"/>
        <v>1.3155261406706241E-2</v>
      </c>
      <c r="G65" s="2"/>
      <c r="H65" s="6">
        <v>16787.400000000001</v>
      </c>
      <c r="I65" s="2"/>
      <c r="J65" s="7">
        <f t="shared" si="29"/>
        <v>1.1997466548773601E-2</v>
      </c>
      <c r="K65" s="2"/>
      <c r="L65" s="6">
        <f t="shared" si="30"/>
        <v>1639.4099999999962</v>
      </c>
      <c r="M65" s="2"/>
      <c r="N65" s="7">
        <f t="shared" si="31"/>
        <v>9.7657171450015845E-2</v>
      </c>
      <c r="O65" s="11"/>
      <c r="P65" s="6">
        <v>73707.239999999991</v>
      </c>
      <c r="Q65" s="2"/>
      <c r="R65" s="7">
        <f t="shared" si="32"/>
        <v>2.2826074697009285E-2</v>
      </c>
      <c r="S65" s="2"/>
      <c r="T65" s="6">
        <v>67149.600000000006</v>
      </c>
      <c r="U65" s="2"/>
      <c r="V65" s="7">
        <f t="shared" si="33"/>
        <v>2.0407714092586397E-2</v>
      </c>
      <c r="W65" s="2"/>
      <c r="X65" s="6">
        <f t="shared" si="34"/>
        <v>6557.6399999999849</v>
      </c>
      <c r="Y65" s="2"/>
      <c r="Z65" s="7">
        <f t="shared" si="35"/>
        <v>9.7657171450015845E-2</v>
      </c>
    </row>
    <row r="66" spans="1:26" s="24" customFormat="1" hidden="1" outlineLevel="2" x14ac:dyDescent="0.25">
      <c r="A66" s="26"/>
      <c r="B66" s="11" t="str">
        <f>CONCATENATE("          ", "6326", " - ", "VEHICLES DEPRECIATION EXPENSE")</f>
        <v xml:space="preserve">          6326 - VEHICLES DEPRECIATION EXPENSE</v>
      </c>
      <c r="C66" s="11"/>
      <c r="D66" s="6">
        <v>424.25</v>
      </c>
      <c r="E66" s="2"/>
      <c r="F66" s="7">
        <f t="shared" si="28"/>
        <v>3.0288040370498876E-4</v>
      </c>
      <c r="G66" s="2"/>
      <c r="H66" s="6">
        <v>424.25</v>
      </c>
      <c r="I66" s="2"/>
      <c r="J66" s="7">
        <f t="shared" si="29"/>
        <v>3.0319913645455521E-4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1697</v>
      </c>
      <c r="Q66" s="2"/>
      <c r="R66" s="7">
        <f t="shared" si="32"/>
        <v>5.2553655191572444E-4</v>
      </c>
      <c r="S66" s="2"/>
      <c r="T66" s="6">
        <v>1697</v>
      </c>
      <c r="U66" s="2"/>
      <c r="V66" s="7">
        <f t="shared" si="33"/>
        <v>5.157423248257489E-4</v>
      </c>
      <c r="W66" s="2"/>
      <c r="X66" s="6">
        <f t="shared" si="34"/>
        <v>0</v>
      </c>
      <c r="Y66" s="2"/>
      <c r="Z66" s="7">
        <f t="shared" si="35"/>
        <v>0</v>
      </c>
    </row>
    <row r="67" spans="1:26" s="27" customFormat="1" outlineLevel="1" collapsed="1" x14ac:dyDescent="0.25">
      <c r="A67" s="25"/>
      <c r="B67" s="13" t="str">
        <f>CONCATENATE("     ","Discounts and Markdowns                           ")</f>
        <v xml:space="preserve">     Discounts and Markdowns                           </v>
      </c>
      <c r="C67" s="13"/>
      <c r="D67" s="1">
        <f>SUM(OSRRefD22_6x_0)</f>
        <v>17.260000000000002</v>
      </c>
      <c r="E67" s="1"/>
      <c r="F67" s="5">
        <f t="shared" ref="F67:F79" si="36">IF(D$12=0,0,D67/D$12)</f>
        <v>1.2322252841362656E-5</v>
      </c>
      <c r="G67" s="1"/>
      <c r="H67" s="1">
        <f>SUM(OSRRefH22_6x_0)</f>
        <v>23.76</v>
      </c>
      <c r="I67" s="1"/>
      <c r="J67" s="5">
        <f t="shared" ref="J67:J79" si="37">IF(H$12=0,0,H67/H$12)</f>
        <v>1.6980580983288703E-5</v>
      </c>
      <c r="K67" s="1"/>
      <c r="L67" s="1">
        <f t="shared" ref="L67:L79" si="38">+D67-H67</f>
        <v>-6.5</v>
      </c>
      <c r="M67" s="1"/>
      <c r="N67" s="5">
        <f t="shared" ref="N67:N79" si="39">IF(H67=0,0,L67/H67)</f>
        <v>-0.27356902356902357</v>
      </c>
      <c r="O67" s="13"/>
      <c r="P67" s="1">
        <f>SUM(OSRRefP22_6x_0)</f>
        <v>49.16</v>
      </c>
      <c r="Q67" s="1"/>
      <c r="R67" s="5">
        <f t="shared" ref="R67:R79" si="40">IF(P$12=0,0,P67/P$12)</f>
        <v>1.5224146665985275E-5</v>
      </c>
      <c r="S67" s="1"/>
      <c r="T67" s="1">
        <f>SUM(OSRRefT22_6x_0)</f>
        <v>54.57</v>
      </c>
      <c r="U67" s="1"/>
      <c r="V67" s="5">
        <f t="shared" ref="V67:V79" si="41">IF(T$12=0,0,T67/T$12)</f>
        <v>1.6584595560248154E-5</v>
      </c>
      <c r="W67" s="1"/>
      <c r="X67" s="1">
        <f t="shared" ref="X67:X79" si="42">+P67-T67</f>
        <v>-5.4100000000000037</v>
      </c>
      <c r="Y67" s="1"/>
      <c r="Z67" s="5">
        <f t="shared" ref="Z67:Z79" si="43">IF(T67=0,0,X67/T67)</f>
        <v>-9.913872090892438E-2</v>
      </c>
    </row>
    <row r="68" spans="1:26" s="24" customFormat="1" hidden="1" outlineLevel="2" x14ac:dyDescent="0.25">
      <c r="A68" s="26"/>
      <c r="B68" s="11" t="str">
        <f>CONCATENATE("          ", "6382", " - ", "DISCOUNTS/MARK DOWNS")</f>
        <v xml:space="preserve">          6382 - DISCOUNTS/MARK DOWNS</v>
      </c>
      <c r="C68" s="11"/>
      <c r="D68" s="6">
        <v>17.260000000000002</v>
      </c>
      <c r="E68" s="2"/>
      <c r="F68" s="7">
        <f t="shared" si="36"/>
        <v>1.2322252841362656E-5</v>
      </c>
      <c r="G68" s="2"/>
      <c r="H68" s="6">
        <v>23.76</v>
      </c>
      <c r="I68" s="2"/>
      <c r="J68" s="7">
        <f t="shared" si="37"/>
        <v>1.6980580983288703E-5</v>
      </c>
      <c r="K68" s="2"/>
      <c r="L68" s="6">
        <f t="shared" si="38"/>
        <v>-6.5</v>
      </c>
      <c r="M68" s="2"/>
      <c r="N68" s="7">
        <f t="shared" si="39"/>
        <v>-0.27356902356902357</v>
      </c>
      <c r="O68" s="11"/>
      <c r="P68" s="6">
        <v>49.16</v>
      </c>
      <c r="Q68" s="2"/>
      <c r="R68" s="7">
        <f t="shared" si="40"/>
        <v>1.5224146665985275E-5</v>
      </c>
      <c r="S68" s="2"/>
      <c r="T68" s="6">
        <v>54.57</v>
      </c>
      <c r="U68" s="2"/>
      <c r="V68" s="7">
        <f t="shared" si="41"/>
        <v>1.6584595560248154E-5</v>
      </c>
      <c r="W68" s="2"/>
      <c r="X68" s="6">
        <f t="shared" si="42"/>
        <v>-5.4100000000000037</v>
      </c>
      <c r="Y68" s="2"/>
      <c r="Z68" s="7">
        <f t="shared" si="43"/>
        <v>-9.913872090892438E-2</v>
      </c>
    </row>
    <row r="69" spans="1:26" s="27" customFormat="1" outlineLevel="1" collapsed="1" x14ac:dyDescent="0.25">
      <c r="A69" s="25"/>
      <c r="B69" s="13" t="str">
        <f>CONCATENATE("     ","Donations                                         ")</f>
        <v xml:space="preserve">     Donations                                         </v>
      </c>
      <c r="C69" s="13"/>
      <c r="D69" s="1">
        <f>SUM(OSRRefD22_7x_0)</f>
        <v>163.68</v>
      </c>
      <c r="E69" s="1"/>
      <c r="F69" s="5">
        <f t="shared" si="36"/>
        <v>1.1685436529978211E-4</v>
      </c>
      <c r="G69" s="1"/>
      <c r="H69" s="1">
        <f>SUM(OSRRefH22_7x_0)</f>
        <v>188.24</v>
      </c>
      <c r="I69" s="1"/>
      <c r="J69" s="5">
        <f t="shared" si="37"/>
        <v>1.3452965337938826E-4</v>
      </c>
      <c r="K69" s="1"/>
      <c r="L69" s="1">
        <f t="shared" si="38"/>
        <v>-24.560000000000002</v>
      </c>
      <c r="M69" s="1"/>
      <c r="N69" s="5">
        <f t="shared" si="39"/>
        <v>-0.13047173820654484</v>
      </c>
      <c r="O69" s="13"/>
      <c r="P69" s="1">
        <f>SUM(OSRRefP22_7x_0)</f>
        <v>163.68</v>
      </c>
      <c r="Q69" s="1"/>
      <c r="R69" s="5">
        <f t="shared" si="40"/>
        <v>5.0689347564859037E-5</v>
      </c>
      <c r="S69" s="1"/>
      <c r="T69" s="1">
        <f>SUM(OSRRefT22_7x_0)</f>
        <v>688.24</v>
      </c>
      <c r="U69" s="1"/>
      <c r="V69" s="5">
        <f t="shared" si="41"/>
        <v>2.0916587957458659E-4</v>
      </c>
      <c r="W69" s="1"/>
      <c r="X69" s="1">
        <f t="shared" si="42"/>
        <v>-524.55999999999995</v>
      </c>
      <c r="Y69" s="1"/>
      <c r="Z69" s="5">
        <f t="shared" si="43"/>
        <v>-0.76217598512146911</v>
      </c>
    </row>
    <row r="70" spans="1:26" s="24" customFormat="1" hidden="1" outlineLevel="2" x14ac:dyDescent="0.25">
      <c r="A70" s="26"/>
      <c r="B70" s="11" t="str">
        <f>CONCATENATE("          ", "6399", " - ", "DONATION-ON CAMPUS")</f>
        <v xml:space="preserve">          6399 - DONATION-ON CAMPUS</v>
      </c>
      <c r="C70" s="11"/>
      <c r="D70" s="6">
        <v>163.68</v>
      </c>
      <c r="E70" s="2"/>
      <c r="F70" s="7">
        <f t="shared" si="36"/>
        <v>1.1685436529978211E-4</v>
      </c>
      <c r="G70" s="2"/>
      <c r="H70" s="6">
        <v>188.24</v>
      </c>
      <c r="I70" s="2"/>
      <c r="J70" s="7">
        <f t="shared" si="37"/>
        <v>1.3452965337938826E-4</v>
      </c>
      <c r="K70" s="2"/>
      <c r="L70" s="6">
        <f t="shared" si="38"/>
        <v>-24.560000000000002</v>
      </c>
      <c r="M70" s="2"/>
      <c r="N70" s="7">
        <f t="shared" si="39"/>
        <v>-0.13047173820654484</v>
      </c>
      <c r="O70" s="11"/>
      <c r="P70" s="6">
        <v>163.68</v>
      </c>
      <c r="Q70" s="2"/>
      <c r="R70" s="7">
        <f t="shared" si="40"/>
        <v>5.0689347564859037E-5</v>
      </c>
      <c r="S70" s="2"/>
      <c r="T70" s="6">
        <v>688.24</v>
      </c>
      <c r="U70" s="2"/>
      <c r="V70" s="7">
        <f t="shared" si="41"/>
        <v>2.0916587957458659E-4</v>
      </c>
      <c r="W70" s="2"/>
      <c r="X70" s="6">
        <f t="shared" si="42"/>
        <v>-524.55999999999995</v>
      </c>
      <c r="Y70" s="2"/>
      <c r="Z70" s="7">
        <f t="shared" si="43"/>
        <v>-0.76217598512146911</v>
      </c>
    </row>
    <row r="71" spans="1:26" s="27" customFormat="1" outlineLevel="1" collapsed="1" x14ac:dyDescent="0.25">
      <c r="A71" s="25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SUM(OSRRefD22_8x_0)</f>
        <v>66.56</v>
      </c>
      <c r="E71" s="1"/>
      <c r="F71" s="5">
        <f t="shared" si="36"/>
        <v>4.7518490679090283E-5</v>
      </c>
      <c r="G71" s="1"/>
      <c r="H71" s="1">
        <f>SUM(OSRRefH22_8x_0)</f>
        <v>188.61</v>
      </c>
      <c r="I71" s="1"/>
      <c r="J71" s="5">
        <f t="shared" si="37"/>
        <v>1.3479408161860614E-4</v>
      </c>
      <c r="K71" s="1"/>
      <c r="L71" s="1">
        <f t="shared" si="38"/>
        <v>-122.05000000000001</v>
      </c>
      <c r="M71" s="1"/>
      <c r="N71" s="5">
        <f t="shared" si="39"/>
        <v>-0.64710248661258685</v>
      </c>
      <c r="O71" s="13"/>
      <c r="P71" s="1">
        <f>SUM(OSRRefP22_8x_0)</f>
        <v>486.12</v>
      </c>
      <c r="Q71" s="1"/>
      <c r="R71" s="5">
        <f t="shared" si="40"/>
        <v>1.5054438928536947E-4</v>
      </c>
      <c r="S71" s="1"/>
      <c r="T71" s="1">
        <f>SUM(OSRRefT22_8x_0)</f>
        <v>957</v>
      </c>
      <c r="U71" s="1"/>
      <c r="V71" s="5">
        <f t="shared" si="41"/>
        <v>2.9084584847274115E-4</v>
      </c>
      <c r="W71" s="1"/>
      <c r="X71" s="1">
        <f t="shared" si="42"/>
        <v>-470.88</v>
      </c>
      <c r="Y71" s="1"/>
      <c r="Z71" s="5">
        <f t="shared" si="43"/>
        <v>-0.49203761755485892</v>
      </c>
    </row>
    <row r="72" spans="1:26" s="24" customFormat="1" hidden="1" outlineLevel="2" x14ac:dyDescent="0.25">
      <c r="A72" s="26"/>
      <c r="B72" s="11" t="str">
        <f>CONCATENATE("          ", "6277", " - ", "EMPLOYEE APPRECIATION")</f>
        <v xml:space="preserve">          6277 - EMPLOYEE APPRECIATION</v>
      </c>
      <c r="C72" s="11"/>
      <c r="D72" s="6">
        <v>66.56</v>
      </c>
      <c r="E72" s="2"/>
      <c r="F72" s="7">
        <f t="shared" si="36"/>
        <v>4.7518490679090283E-5</v>
      </c>
      <c r="G72" s="2"/>
      <c r="H72" s="6">
        <v>188.61</v>
      </c>
      <c r="I72" s="2"/>
      <c r="J72" s="7">
        <f t="shared" si="37"/>
        <v>1.3479408161860614E-4</v>
      </c>
      <c r="K72" s="2"/>
      <c r="L72" s="6">
        <f t="shared" si="38"/>
        <v>-122.05000000000001</v>
      </c>
      <c r="M72" s="2"/>
      <c r="N72" s="7">
        <f t="shared" si="39"/>
        <v>-0.64710248661258685</v>
      </c>
      <c r="O72" s="11"/>
      <c r="P72" s="6">
        <v>486.12</v>
      </c>
      <c r="Q72" s="2"/>
      <c r="R72" s="7">
        <f t="shared" si="40"/>
        <v>1.5054438928536947E-4</v>
      </c>
      <c r="S72" s="2"/>
      <c r="T72" s="6">
        <v>957</v>
      </c>
      <c r="U72" s="2"/>
      <c r="V72" s="7">
        <f t="shared" si="41"/>
        <v>2.9084584847274115E-4</v>
      </c>
      <c r="W72" s="2"/>
      <c r="X72" s="6">
        <f t="shared" si="42"/>
        <v>-470.88</v>
      </c>
      <c r="Y72" s="2"/>
      <c r="Z72" s="7">
        <f t="shared" si="43"/>
        <v>-0.49203761755485892</v>
      </c>
    </row>
    <row r="73" spans="1:26" s="27" customFormat="1" outlineLevel="1" collapsed="1" x14ac:dyDescent="0.25">
      <c r="A73" s="25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SUM(OSRRefD22_9x_0)</f>
        <v>3969.08</v>
      </c>
      <c r="E73" s="1"/>
      <c r="F73" s="5">
        <f t="shared" si="36"/>
        <v>2.8336041313786605E-3</v>
      </c>
      <c r="G73" s="1"/>
      <c r="H73" s="1">
        <f>SUM(OSRRefH22_9x_0)</f>
        <v>1548.28</v>
      </c>
      <c r="I73" s="1"/>
      <c r="J73" s="5">
        <f t="shared" si="37"/>
        <v>1.1065106870709693E-3</v>
      </c>
      <c r="K73" s="1"/>
      <c r="L73" s="1">
        <f t="shared" si="38"/>
        <v>2420.8000000000002</v>
      </c>
      <c r="M73" s="1"/>
      <c r="N73" s="5">
        <f t="shared" si="39"/>
        <v>1.5635414782855817</v>
      </c>
      <c r="O73" s="13"/>
      <c r="P73" s="1">
        <f>SUM(OSRRefP22_9x_0)</f>
        <v>10687.1</v>
      </c>
      <c r="Q73" s="1"/>
      <c r="R73" s="5">
        <f t="shared" si="40"/>
        <v>3.3096415344599523E-3</v>
      </c>
      <c r="S73" s="1"/>
      <c r="T73" s="1">
        <f>SUM(OSRRefT22_9x_0)</f>
        <v>6277.75</v>
      </c>
      <c r="U73" s="1"/>
      <c r="V73" s="5">
        <f t="shared" si="41"/>
        <v>1.9078971005744522E-3</v>
      </c>
      <c r="W73" s="1"/>
      <c r="X73" s="1">
        <f t="shared" si="42"/>
        <v>4409.3500000000004</v>
      </c>
      <c r="Y73" s="1"/>
      <c r="Z73" s="5">
        <f t="shared" si="43"/>
        <v>0.70237744414798298</v>
      </c>
    </row>
    <row r="74" spans="1:26" s="24" customFormat="1" hidden="1" outlineLevel="2" x14ac:dyDescent="0.25">
      <c r="A74" s="26"/>
      <c r="B74" s="11" t="str">
        <f>CONCATENATE("          ", "6351", " - ", "EQUIPMENT RENTAL")</f>
        <v xml:space="preserve">          6351 - EQUIPMENT RENTAL</v>
      </c>
      <c r="C74" s="11"/>
      <c r="D74" s="6">
        <v>3969.08</v>
      </c>
      <c r="E74" s="2"/>
      <c r="F74" s="7">
        <f t="shared" si="36"/>
        <v>2.8336041313786605E-3</v>
      </c>
      <c r="G74" s="2"/>
      <c r="H74" s="6">
        <v>1548.28</v>
      </c>
      <c r="I74" s="2"/>
      <c r="J74" s="7">
        <f t="shared" si="37"/>
        <v>1.1065106870709693E-3</v>
      </c>
      <c r="K74" s="2"/>
      <c r="L74" s="6">
        <f t="shared" si="38"/>
        <v>2420.8000000000002</v>
      </c>
      <c r="M74" s="2"/>
      <c r="N74" s="7">
        <f t="shared" si="39"/>
        <v>1.5635414782855817</v>
      </c>
      <c r="O74" s="11"/>
      <c r="P74" s="6">
        <v>10687.1</v>
      </c>
      <c r="Q74" s="2"/>
      <c r="R74" s="7">
        <f t="shared" si="40"/>
        <v>3.3096415344599523E-3</v>
      </c>
      <c r="S74" s="2"/>
      <c r="T74" s="6">
        <v>6277.75</v>
      </c>
      <c r="U74" s="2"/>
      <c r="V74" s="7">
        <f t="shared" si="41"/>
        <v>1.9078971005744522E-3</v>
      </c>
      <c r="W74" s="2"/>
      <c r="X74" s="6">
        <f t="shared" si="42"/>
        <v>4409.3500000000004</v>
      </c>
      <c r="Y74" s="2"/>
      <c r="Z74" s="7">
        <f t="shared" si="43"/>
        <v>0.70237744414798298</v>
      </c>
    </row>
    <row r="75" spans="1:26" s="27" customFormat="1" outlineLevel="1" collapsed="1" x14ac:dyDescent="0.25">
      <c r="A75" s="25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SUM(OSRRefD22_10x_0)</f>
        <v>25.76</v>
      </c>
      <c r="E75" s="1"/>
      <c r="F75" s="5">
        <f t="shared" si="36"/>
        <v>1.8390569709936384E-5</v>
      </c>
      <c r="G75" s="1"/>
      <c r="H75" s="1">
        <f>SUM(OSRRefH22_10x_0)</f>
        <v>54.23</v>
      </c>
      <c r="I75" s="1"/>
      <c r="J75" s="5">
        <f t="shared" si="37"/>
        <v>3.8756603818339485E-5</v>
      </c>
      <c r="K75" s="1"/>
      <c r="L75" s="1">
        <f t="shared" si="38"/>
        <v>-28.469999999999995</v>
      </c>
      <c r="M75" s="1"/>
      <c r="N75" s="5">
        <f t="shared" si="39"/>
        <v>-0.52498617001659598</v>
      </c>
      <c r="O75" s="13"/>
      <c r="P75" s="1">
        <f>SUM(OSRRefP22_10x_0)</f>
        <v>171.28</v>
      </c>
      <c r="Q75" s="1"/>
      <c r="R75" s="5">
        <f t="shared" si="40"/>
        <v>5.3042958522171646E-5</v>
      </c>
      <c r="S75" s="1"/>
      <c r="T75" s="1">
        <f>SUM(OSRRefT22_10x_0)</f>
        <v>149.37</v>
      </c>
      <c r="U75" s="1"/>
      <c r="V75" s="5">
        <f t="shared" si="41"/>
        <v>4.5395657666011854E-5</v>
      </c>
      <c r="W75" s="1"/>
      <c r="X75" s="1">
        <f t="shared" si="42"/>
        <v>21.909999999999997</v>
      </c>
      <c r="Y75" s="1"/>
      <c r="Z75" s="5">
        <f t="shared" si="43"/>
        <v>0.14668273415009705</v>
      </c>
    </row>
    <row r="76" spans="1:26" s="24" customFormat="1" hidden="1" outlineLevel="2" x14ac:dyDescent="0.25">
      <c r="A76" s="26"/>
      <c r="B76" s="11" t="str">
        <f>CONCATENATE("          ", "6305", " - ", "FREIGHT OUT")</f>
        <v xml:space="preserve">          6305 - FREIGHT OUT</v>
      </c>
      <c r="C76" s="11"/>
      <c r="D76" s="6">
        <v>25.76</v>
      </c>
      <c r="E76" s="2"/>
      <c r="F76" s="7">
        <f t="shared" si="36"/>
        <v>1.8390569709936384E-5</v>
      </c>
      <c r="G76" s="2"/>
      <c r="H76" s="6">
        <v>54.23</v>
      </c>
      <c r="I76" s="2"/>
      <c r="J76" s="7">
        <f t="shared" si="37"/>
        <v>3.8756603818339485E-5</v>
      </c>
      <c r="K76" s="2"/>
      <c r="L76" s="6">
        <f t="shared" si="38"/>
        <v>-28.469999999999995</v>
      </c>
      <c r="M76" s="2"/>
      <c r="N76" s="7">
        <f t="shared" si="39"/>
        <v>-0.52498617001659598</v>
      </c>
      <c r="O76" s="11"/>
      <c r="P76" s="6">
        <v>171.28</v>
      </c>
      <c r="Q76" s="2"/>
      <c r="R76" s="7">
        <f t="shared" si="40"/>
        <v>5.3042958522171646E-5</v>
      </c>
      <c r="S76" s="2"/>
      <c r="T76" s="6">
        <v>149.37</v>
      </c>
      <c r="U76" s="2"/>
      <c r="V76" s="7">
        <f t="shared" si="41"/>
        <v>4.5395657666011854E-5</v>
      </c>
      <c r="W76" s="2"/>
      <c r="X76" s="6">
        <f t="shared" si="42"/>
        <v>21.909999999999997</v>
      </c>
      <c r="Y76" s="2"/>
      <c r="Z76" s="7">
        <f t="shared" si="43"/>
        <v>0.14668273415009705</v>
      </c>
    </row>
    <row r="77" spans="1:26" s="27" customFormat="1" outlineLevel="1" collapsed="1" x14ac:dyDescent="0.25">
      <c r="A77" s="25"/>
      <c r="B77" s="13" t="str">
        <f>CONCATENATE("     ","General                                           ")</f>
        <v xml:space="preserve">     General                                           </v>
      </c>
      <c r="C77" s="13"/>
      <c r="D77" s="1">
        <f>SUM(OSRRefD22_11x_0)</f>
        <v>10249.700000000001</v>
      </c>
      <c r="E77" s="1"/>
      <c r="F77" s="5">
        <f t="shared" si="36"/>
        <v>7.3174620479788417E-3</v>
      </c>
      <c r="G77" s="1"/>
      <c r="H77" s="1">
        <f>SUM(OSRRefH22_11x_0)</f>
        <v>4612.7199999999993</v>
      </c>
      <c r="I77" s="1"/>
      <c r="J77" s="5">
        <f t="shared" si="37"/>
        <v>3.2965768313651281E-3</v>
      </c>
      <c r="K77" s="1"/>
      <c r="L77" s="1">
        <f t="shared" si="38"/>
        <v>5636.9800000000014</v>
      </c>
      <c r="M77" s="1"/>
      <c r="N77" s="5">
        <f t="shared" si="39"/>
        <v>1.2220511975580572</v>
      </c>
      <c r="O77" s="13"/>
      <c r="P77" s="1">
        <f>SUM(OSRRefP22_11x_0)</f>
        <v>44532.35</v>
      </c>
      <c r="Q77" s="1"/>
      <c r="R77" s="5">
        <f t="shared" si="40"/>
        <v>1.3791029857221103E-2</v>
      </c>
      <c r="S77" s="1"/>
      <c r="T77" s="1">
        <f>SUM(OSRRefT22_11x_0)</f>
        <v>31399.86</v>
      </c>
      <c r="U77" s="1"/>
      <c r="V77" s="5">
        <f t="shared" si="41"/>
        <v>9.5428619891591293E-3</v>
      </c>
      <c r="W77" s="1"/>
      <c r="X77" s="1">
        <f t="shared" si="42"/>
        <v>13132.489999999998</v>
      </c>
      <c r="Y77" s="1"/>
      <c r="Z77" s="5">
        <f t="shared" si="43"/>
        <v>0.41823403034281037</v>
      </c>
    </row>
    <row r="78" spans="1:26" s="24" customFormat="1" hidden="1" outlineLevel="2" x14ac:dyDescent="0.25">
      <c r="A78" s="26"/>
      <c r="B78" s="11" t="str">
        <f>CONCATENATE("          ", "6269", " - ", "ENTERTAINMENT")</f>
        <v xml:space="preserve">          6269 - ENTERTAINMENT</v>
      </c>
      <c r="C78" s="11"/>
      <c r="D78" s="6">
        <v>1850</v>
      </c>
      <c r="E78" s="2"/>
      <c r="F78" s="7">
        <f t="shared" si="36"/>
        <v>1.320751318454282E-3</v>
      </c>
      <c r="G78" s="2"/>
      <c r="H78" s="6">
        <v>960</v>
      </c>
      <c r="I78" s="2"/>
      <c r="J78" s="7">
        <f t="shared" si="37"/>
        <v>6.8608408013287679E-4</v>
      </c>
      <c r="K78" s="2"/>
      <c r="L78" s="6">
        <f t="shared" si="38"/>
        <v>890</v>
      </c>
      <c r="M78" s="2"/>
      <c r="N78" s="7">
        <f t="shared" si="39"/>
        <v>0.92708333333333337</v>
      </c>
      <c r="O78" s="11"/>
      <c r="P78" s="6">
        <v>5500</v>
      </c>
      <c r="Q78" s="2"/>
      <c r="R78" s="7">
        <f t="shared" si="40"/>
        <v>1.7032710875288654E-3</v>
      </c>
      <c r="S78" s="2"/>
      <c r="T78" s="6">
        <v>4060</v>
      </c>
      <c r="U78" s="2"/>
      <c r="V78" s="7">
        <f t="shared" si="41"/>
        <v>1.2338914783692049E-3</v>
      </c>
      <c r="W78" s="2"/>
      <c r="X78" s="6">
        <f t="shared" si="42"/>
        <v>1440</v>
      </c>
      <c r="Y78" s="2"/>
      <c r="Z78" s="7">
        <f t="shared" si="43"/>
        <v>0.35467980295566504</v>
      </c>
    </row>
    <row r="79" spans="1:26" s="24" customFormat="1" hidden="1" outlineLevel="2" x14ac:dyDescent="0.25">
      <c r="A79" s="26"/>
      <c r="B79" s="11" t="str">
        <f>CONCATENATE("          ", "6279", " - ", "GENERAL EXPENSE")</f>
        <v xml:space="preserve">          6279 - GENERAL EXPENSE</v>
      </c>
      <c r="C79" s="11"/>
      <c r="D79" s="6">
        <v>8399.7000000000007</v>
      </c>
      <c r="E79" s="2"/>
      <c r="F79" s="7">
        <f t="shared" si="36"/>
        <v>5.9967107295245594E-3</v>
      </c>
      <c r="G79" s="2"/>
      <c r="H79" s="6">
        <v>3652.72</v>
      </c>
      <c r="I79" s="2"/>
      <c r="J79" s="7">
        <f t="shared" si="37"/>
        <v>2.6104927512322516E-3</v>
      </c>
      <c r="K79" s="2"/>
      <c r="L79" s="6">
        <f t="shared" si="38"/>
        <v>4746.9800000000014</v>
      </c>
      <c r="M79" s="2"/>
      <c r="N79" s="7">
        <f t="shared" si="39"/>
        <v>1.2995740160756919</v>
      </c>
      <c r="O79" s="11"/>
      <c r="P79" s="6">
        <v>39032.35</v>
      </c>
      <c r="Q79" s="2"/>
      <c r="R79" s="7">
        <f t="shared" si="40"/>
        <v>1.2087758769692238E-2</v>
      </c>
      <c r="S79" s="2"/>
      <c r="T79" s="6">
        <v>27339.86</v>
      </c>
      <c r="U79" s="2"/>
      <c r="V79" s="7">
        <f t="shared" si="41"/>
        <v>8.3089705107899231E-3</v>
      </c>
      <c r="W79" s="2"/>
      <c r="X79" s="6">
        <f t="shared" si="42"/>
        <v>11692.489999999998</v>
      </c>
      <c r="Y79" s="2"/>
      <c r="Z79" s="7">
        <f t="shared" si="43"/>
        <v>0.42767190468422289</v>
      </c>
    </row>
    <row r="80" spans="1:26" s="27" customFormat="1" outlineLevel="1" collapsed="1" x14ac:dyDescent="0.25">
      <c r="A80" s="25"/>
      <c r="B80" s="13" t="str">
        <f>CONCATENATE("     ","Insurance                                         ")</f>
        <v xml:space="preserve">     Insurance                                         </v>
      </c>
      <c r="C80" s="13"/>
      <c r="D80" s="1">
        <f>SUM(OSRRefD22_12x_0)</f>
        <v>4483.67</v>
      </c>
      <c r="E80" s="1"/>
      <c r="F80" s="5">
        <f t="shared" ref="F80:F91" si="44">IF(D$12=0,0,D80/D$12)</f>
        <v>3.2009800346021141E-3</v>
      </c>
      <c r="G80" s="1"/>
      <c r="H80" s="1">
        <f>SUM(OSRRefH22_12x_0)</f>
        <v>4222.62</v>
      </c>
      <c r="I80" s="1"/>
      <c r="J80" s="5">
        <f t="shared" ref="J80:J91" si="45">IF(H$12=0,0,H80/H$12)</f>
        <v>3.0177837067194668E-3</v>
      </c>
      <c r="K80" s="1"/>
      <c r="L80" s="1">
        <f t="shared" ref="L80:L91" si="46">+D80-H80</f>
        <v>261.05000000000018</v>
      </c>
      <c r="M80" s="1"/>
      <c r="N80" s="5">
        <f t="shared" ref="N80:N91" si="47">IF(H80=0,0,L80/H80)</f>
        <v>6.1821807313942573E-2</v>
      </c>
      <c r="O80" s="13"/>
      <c r="P80" s="1">
        <f>SUM(OSRRefP22_12x_0)</f>
        <v>17934.68</v>
      </c>
      <c r="Q80" s="1"/>
      <c r="R80" s="5">
        <f t="shared" ref="R80:R91" si="48">IF(P$12=0,0,P80/P$12)</f>
        <v>5.5541130741967619E-3</v>
      </c>
      <c r="S80" s="1"/>
      <c r="T80" s="1">
        <f>SUM(OSRRefT22_12x_0)</f>
        <v>21478.48</v>
      </c>
      <c r="U80" s="1"/>
      <c r="V80" s="5">
        <f t="shared" ref="V80:V91" si="49">IF(T$12=0,0,T80/T$12)</f>
        <v>6.5276141478629061E-3</v>
      </c>
      <c r="W80" s="1"/>
      <c r="X80" s="1">
        <f t="shared" ref="X80:X91" si="50">+P80-T80</f>
        <v>-3543.7999999999993</v>
      </c>
      <c r="Y80" s="1"/>
      <c r="Z80" s="5">
        <f t="shared" ref="Z80:Z91" si="51">IF(T80=0,0,X80/T80)</f>
        <v>-0.16499305351216656</v>
      </c>
    </row>
    <row r="81" spans="1:26" s="24" customFormat="1" hidden="1" outlineLevel="2" x14ac:dyDescent="0.25">
      <c r="A81" s="26"/>
      <c r="B81" s="11" t="str">
        <f>CONCATENATE("          ", "6314", " - ", "LIABILITY INSURANCE")</f>
        <v xml:space="preserve">          6314 - LIABILITY INSURANCE</v>
      </c>
      <c r="C81" s="11"/>
      <c r="D81" s="6">
        <v>4483.67</v>
      </c>
      <c r="E81" s="2"/>
      <c r="F81" s="7">
        <f t="shared" si="44"/>
        <v>3.2009800346021141E-3</v>
      </c>
      <c r="G81" s="2"/>
      <c r="H81" s="6">
        <v>4222.62</v>
      </c>
      <c r="I81" s="2"/>
      <c r="J81" s="7">
        <f t="shared" si="45"/>
        <v>3.0177837067194668E-3</v>
      </c>
      <c r="K81" s="2"/>
      <c r="L81" s="6">
        <f t="shared" si="46"/>
        <v>261.05000000000018</v>
      </c>
      <c r="M81" s="2"/>
      <c r="N81" s="7">
        <f t="shared" si="47"/>
        <v>6.1821807313942573E-2</v>
      </c>
      <c r="O81" s="11"/>
      <c r="P81" s="6">
        <v>17934.68</v>
      </c>
      <c r="Q81" s="2"/>
      <c r="R81" s="7">
        <f t="shared" si="48"/>
        <v>5.5541130741967619E-3</v>
      </c>
      <c r="S81" s="2"/>
      <c r="T81" s="6">
        <v>21478.48</v>
      </c>
      <c r="U81" s="2"/>
      <c r="V81" s="7">
        <f t="shared" si="49"/>
        <v>6.5276141478629061E-3</v>
      </c>
      <c r="W81" s="2"/>
      <c r="X81" s="6">
        <f t="shared" si="50"/>
        <v>-3543.7999999999993</v>
      </c>
      <c r="Y81" s="2"/>
      <c r="Z81" s="7">
        <f t="shared" si="51"/>
        <v>-0.16499305351216656</v>
      </c>
    </row>
    <row r="82" spans="1:26" s="27" customFormat="1" outlineLevel="1" collapsed="1" x14ac:dyDescent="0.25">
      <c r="A82" s="25"/>
      <c r="B82" s="13" t="str">
        <f>CONCATENATE("     ","Interest                                          ")</f>
        <v xml:space="preserve">     Interest                                          </v>
      </c>
      <c r="C82" s="13"/>
      <c r="D82" s="1">
        <f>SUM(OSRRefD22_13x_0)</f>
        <v>11897</v>
      </c>
      <c r="E82" s="1"/>
      <c r="F82" s="5">
        <f t="shared" si="44"/>
        <v>8.4935018571084299E-3</v>
      </c>
      <c r="G82" s="1"/>
      <c r="H82" s="1">
        <f>SUM(OSRRefH22_13x_0)</f>
        <v>11614</v>
      </c>
      <c r="I82" s="1"/>
      <c r="J82" s="5">
        <f t="shared" si="45"/>
        <v>8.3001880277741996E-3</v>
      </c>
      <c r="K82" s="1"/>
      <c r="L82" s="1">
        <f t="shared" si="46"/>
        <v>283</v>
      </c>
      <c r="M82" s="1"/>
      <c r="N82" s="5">
        <f t="shared" si="47"/>
        <v>2.436714310315137E-2</v>
      </c>
      <c r="O82" s="13"/>
      <c r="P82" s="1">
        <f>SUM(OSRRefP22_13x_0)</f>
        <v>47117</v>
      </c>
      <c r="Q82" s="1"/>
      <c r="R82" s="5">
        <f t="shared" si="48"/>
        <v>1.4591458878381373E-2</v>
      </c>
      <c r="S82" s="1"/>
      <c r="T82" s="1">
        <f>SUM(OSRRefT22_13x_0)</f>
        <v>48301</v>
      </c>
      <c r="U82" s="1"/>
      <c r="V82" s="5">
        <f t="shared" si="49"/>
        <v>1.4679357708549499E-2</v>
      </c>
      <c r="W82" s="1"/>
      <c r="X82" s="1">
        <f t="shared" si="50"/>
        <v>-1184</v>
      </c>
      <c r="Y82" s="1"/>
      <c r="Z82" s="5">
        <f t="shared" si="51"/>
        <v>-2.4512950042442184E-2</v>
      </c>
    </row>
    <row r="83" spans="1:26" s="24" customFormat="1" hidden="1" outlineLevel="2" x14ac:dyDescent="0.25">
      <c r="A83" s="26"/>
      <c r="B83" s="11" t="str">
        <f>CONCATENATE("          ", "6401", " - ", "INTEREST EXPENSE")</f>
        <v xml:space="preserve">          6401 - INTEREST EXPENSE</v>
      </c>
      <c r="C83" s="11"/>
      <c r="D83" s="6">
        <v>11897</v>
      </c>
      <c r="E83" s="2"/>
      <c r="F83" s="7">
        <f t="shared" si="44"/>
        <v>8.4935018571084299E-3</v>
      </c>
      <c r="G83" s="2"/>
      <c r="H83" s="6">
        <v>11614</v>
      </c>
      <c r="I83" s="2"/>
      <c r="J83" s="7">
        <f t="shared" si="45"/>
        <v>8.3001880277741996E-3</v>
      </c>
      <c r="K83" s="2"/>
      <c r="L83" s="6">
        <f t="shared" si="46"/>
        <v>283</v>
      </c>
      <c r="M83" s="2"/>
      <c r="N83" s="7">
        <f t="shared" si="47"/>
        <v>2.436714310315137E-2</v>
      </c>
      <c r="O83" s="11"/>
      <c r="P83" s="6">
        <v>47117</v>
      </c>
      <c r="Q83" s="2"/>
      <c r="R83" s="7">
        <f t="shared" si="48"/>
        <v>1.4591458878381373E-2</v>
      </c>
      <c r="S83" s="2"/>
      <c r="T83" s="6">
        <v>48301</v>
      </c>
      <c r="U83" s="2"/>
      <c r="V83" s="7">
        <f t="shared" si="49"/>
        <v>1.4679357708549499E-2</v>
      </c>
      <c r="W83" s="2"/>
      <c r="X83" s="6">
        <f t="shared" si="50"/>
        <v>-1184</v>
      </c>
      <c r="Y83" s="2"/>
      <c r="Z83" s="7">
        <f t="shared" si="51"/>
        <v>-2.4512950042442184E-2</v>
      </c>
    </row>
    <row r="84" spans="1:26" s="27" customFormat="1" outlineLevel="1" collapsed="1" x14ac:dyDescent="0.25">
      <c r="A84" s="25"/>
      <c r="B84" s="13" t="str">
        <f>CONCATENATE("     ","Professional Services                             ")</f>
        <v xml:space="preserve">     Professional Services                             </v>
      </c>
      <c r="C84" s="13"/>
      <c r="D84" s="1">
        <f>SUM(OSRRefD22_14x_0)</f>
        <v>0</v>
      </c>
      <c r="E84" s="1"/>
      <c r="F84" s="5">
        <f t="shared" si="44"/>
        <v>0</v>
      </c>
      <c r="G84" s="1"/>
      <c r="H84" s="1">
        <f>SUM(OSRRefH22_14x_0)</f>
        <v>0</v>
      </c>
      <c r="I84" s="1"/>
      <c r="J84" s="5">
        <f t="shared" si="45"/>
        <v>0</v>
      </c>
      <c r="K84" s="1"/>
      <c r="L84" s="1">
        <f t="shared" si="46"/>
        <v>0</v>
      </c>
      <c r="M84" s="1"/>
      <c r="N84" s="5">
        <f t="shared" si="47"/>
        <v>0</v>
      </c>
      <c r="O84" s="13"/>
      <c r="P84" s="1">
        <f>SUM(OSRRefP22_14x_0)</f>
        <v>125</v>
      </c>
      <c r="Q84" s="1"/>
      <c r="R84" s="5">
        <f t="shared" si="48"/>
        <v>3.8710706534746941E-5</v>
      </c>
      <c r="S84" s="1"/>
      <c r="T84" s="1">
        <f>SUM(OSRRefT22_14x_0)</f>
        <v>0</v>
      </c>
      <c r="U84" s="1"/>
      <c r="V84" s="5">
        <f t="shared" si="49"/>
        <v>0</v>
      </c>
      <c r="W84" s="1"/>
      <c r="X84" s="1">
        <f t="shared" si="50"/>
        <v>125</v>
      </c>
      <c r="Y84" s="1"/>
      <c r="Z84" s="5">
        <f t="shared" si="51"/>
        <v>0</v>
      </c>
    </row>
    <row r="85" spans="1:26" s="24" customFormat="1" hidden="1" outlineLevel="2" x14ac:dyDescent="0.25">
      <c r="A85" s="26"/>
      <c r="B85" s="11" t="str">
        <f>CONCATENATE("          ", "6336", " - ", "PROFESSIONAL SERVICES")</f>
        <v xml:space="preserve">          6336 - PROFESSIONAL SERVICES</v>
      </c>
      <c r="C85" s="11"/>
      <c r="D85" s="6"/>
      <c r="E85" s="2"/>
      <c r="F85" s="7">
        <f t="shared" si="44"/>
        <v>0</v>
      </c>
      <c r="G85" s="2"/>
      <c r="H85" s="6"/>
      <c r="I85" s="2"/>
      <c r="J85" s="7">
        <f t="shared" si="45"/>
        <v>0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>
        <v>125</v>
      </c>
      <c r="Q85" s="2"/>
      <c r="R85" s="7">
        <f t="shared" si="48"/>
        <v>3.8710706534746941E-5</v>
      </c>
      <c r="S85" s="2"/>
      <c r="T85" s="6"/>
      <c r="U85" s="2"/>
      <c r="V85" s="7">
        <f t="shared" si="49"/>
        <v>0</v>
      </c>
      <c r="W85" s="2"/>
      <c r="X85" s="6">
        <f t="shared" si="50"/>
        <v>125</v>
      </c>
      <c r="Y85" s="2"/>
      <c r="Z85" s="7">
        <f t="shared" si="51"/>
        <v>0</v>
      </c>
    </row>
    <row r="86" spans="1:26" s="27" customFormat="1" outlineLevel="1" collapsed="1" x14ac:dyDescent="0.25">
      <c r="A86" s="25"/>
      <c r="B86" s="13" t="str">
        <f>CONCATENATE("     ","Rent                                              ")</f>
        <v xml:space="preserve">     Rent                                              </v>
      </c>
      <c r="C86" s="13"/>
      <c r="D86" s="1">
        <f>SUM(OSRRefD22_15x_0)</f>
        <v>3000</v>
      </c>
      <c r="E86" s="1"/>
      <c r="F86" s="5">
        <f t="shared" si="44"/>
        <v>2.1417588947907277E-3</v>
      </c>
      <c r="G86" s="1"/>
      <c r="H86" s="1">
        <f>SUM(OSRRefH22_15x_0)</f>
        <v>3000</v>
      </c>
      <c r="I86" s="1"/>
      <c r="J86" s="5">
        <f t="shared" si="45"/>
        <v>2.1440127504152402E-3</v>
      </c>
      <c r="K86" s="1"/>
      <c r="L86" s="1">
        <f t="shared" si="46"/>
        <v>0</v>
      </c>
      <c r="M86" s="1"/>
      <c r="N86" s="5">
        <f t="shared" si="47"/>
        <v>0</v>
      </c>
      <c r="O86" s="13"/>
      <c r="P86" s="1">
        <f>SUM(OSRRefP22_15x_0)</f>
        <v>12000</v>
      </c>
      <c r="Q86" s="1"/>
      <c r="R86" s="5">
        <f t="shared" si="48"/>
        <v>3.7162278273357064E-3</v>
      </c>
      <c r="S86" s="1"/>
      <c r="T86" s="1">
        <f>SUM(OSRRefT22_15x_0)</f>
        <v>12000</v>
      </c>
      <c r="U86" s="1"/>
      <c r="V86" s="5">
        <f t="shared" si="49"/>
        <v>3.6469698868055317E-3</v>
      </c>
      <c r="W86" s="1"/>
      <c r="X86" s="1">
        <f t="shared" si="50"/>
        <v>0</v>
      </c>
      <c r="Y86" s="1"/>
      <c r="Z86" s="5">
        <f t="shared" si="51"/>
        <v>0</v>
      </c>
    </row>
    <row r="87" spans="1:26" s="24" customFormat="1" hidden="1" outlineLevel="2" x14ac:dyDescent="0.25">
      <c r="A87" s="26"/>
      <c r="B87" s="11" t="str">
        <f>CONCATENATE("          ", "6273", " - ", "RENT")</f>
        <v xml:space="preserve">          6273 - RENT</v>
      </c>
      <c r="C87" s="11"/>
      <c r="D87" s="6">
        <v>3000</v>
      </c>
      <c r="E87" s="2"/>
      <c r="F87" s="7">
        <f t="shared" si="44"/>
        <v>2.1417588947907277E-3</v>
      </c>
      <c r="G87" s="2"/>
      <c r="H87" s="6">
        <v>3000</v>
      </c>
      <c r="I87" s="2"/>
      <c r="J87" s="7">
        <f t="shared" si="45"/>
        <v>2.1440127504152402E-3</v>
      </c>
      <c r="K87" s="2"/>
      <c r="L87" s="6">
        <f t="shared" si="46"/>
        <v>0</v>
      </c>
      <c r="M87" s="2"/>
      <c r="N87" s="7">
        <f t="shared" si="47"/>
        <v>0</v>
      </c>
      <c r="O87" s="11"/>
      <c r="P87" s="6">
        <v>12000</v>
      </c>
      <c r="Q87" s="2"/>
      <c r="R87" s="7">
        <f t="shared" si="48"/>
        <v>3.7162278273357064E-3</v>
      </c>
      <c r="S87" s="2"/>
      <c r="T87" s="6">
        <v>12000</v>
      </c>
      <c r="U87" s="2"/>
      <c r="V87" s="7">
        <f t="shared" si="49"/>
        <v>3.6469698868055317E-3</v>
      </c>
      <c r="W87" s="2"/>
      <c r="X87" s="6">
        <f t="shared" si="50"/>
        <v>0</v>
      </c>
      <c r="Y87" s="2"/>
      <c r="Z87" s="7">
        <f t="shared" si="51"/>
        <v>0</v>
      </c>
    </row>
    <row r="88" spans="1:26" s="27" customFormat="1" outlineLevel="1" collapsed="1" x14ac:dyDescent="0.25">
      <c r="A88" s="25"/>
      <c r="B88" s="13" t="str">
        <f>CONCATENATE("     ","Repair and Maintenance                            ")</f>
        <v xml:space="preserve">     Repair and Maintenance                            </v>
      </c>
      <c r="C88" s="13"/>
      <c r="D88" s="1">
        <f>SUM(OSRRefD22_16x_0)</f>
        <v>27342.55</v>
      </c>
      <c r="E88" s="1"/>
      <c r="F88" s="5">
        <f t="shared" si="44"/>
        <v>1.952038322292007E-2</v>
      </c>
      <c r="G88" s="1"/>
      <c r="H88" s="1">
        <f>SUM(OSRRefH22_16x_0)</f>
        <v>35397.880000000005</v>
      </c>
      <c r="I88" s="1"/>
      <c r="J88" s="5">
        <f t="shared" si="45"/>
        <v>2.5297835352556208E-2</v>
      </c>
      <c r="K88" s="1"/>
      <c r="L88" s="1">
        <f t="shared" si="46"/>
        <v>-8055.3300000000054</v>
      </c>
      <c r="M88" s="1"/>
      <c r="N88" s="5">
        <f t="shared" si="47"/>
        <v>-0.2275653231210458</v>
      </c>
      <c r="O88" s="13"/>
      <c r="P88" s="1">
        <f>SUM(OSRRefP22_16x_0)</f>
        <v>115905.96</v>
      </c>
      <c r="Q88" s="1"/>
      <c r="R88" s="5">
        <f t="shared" si="48"/>
        <v>3.5894412825504943E-2</v>
      </c>
      <c r="S88" s="1"/>
      <c r="T88" s="1">
        <f>SUM(OSRRefT22_16x_0)</f>
        <v>103775.64</v>
      </c>
      <c r="U88" s="1"/>
      <c r="V88" s="5">
        <f t="shared" si="49"/>
        <v>3.1538886171997634E-2</v>
      </c>
      <c r="W88" s="1"/>
      <c r="X88" s="1">
        <f t="shared" si="50"/>
        <v>12130.320000000007</v>
      </c>
      <c r="Y88" s="1"/>
      <c r="Z88" s="5">
        <f t="shared" si="51"/>
        <v>0.11688985970117849</v>
      </c>
    </row>
    <row r="89" spans="1:26" s="24" customFormat="1" hidden="1" outlineLevel="2" x14ac:dyDescent="0.25">
      <c r="A89" s="26"/>
      <c r="B89" s="11" t="str">
        <f>CONCATENATE("          ", "6371", " - ", "COMPUTER SOFTWARE MAINTENANCE")</f>
        <v xml:space="preserve">          6371 - COMPUTER SOFTWARE MAINTENANCE</v>
      </c>
      <c r="C89" s="11"/>
      <c r="D89" s="6"/>
      <c r="E89" s="2"/>
      <c r="F89" s="7">
        <f t="shared" si="44"/>
        <v>0</v>
      </c>
      <c r="G89" s="2"/>
      <c r="H89" s="6">
        <v>12516.31</v>
      </c>
      <c r="I89" s="2"/>
      <c r="J89" s="7">
        <f t="shared" si="45"/>
        <v>8.9450427427165899E-3</v>
      </c>
      <c r="K89" s="2"/>
      <c r="L89" s="6">
        <f t="shared" si="46"/>
        <v>-12516.31</v>
      </c>
      <c r="M89" s="2"/>
      <c r="N89" s="7">
        <f t="shared" si="47"/>
        <v>-1</v>
      </c>
      <c r="O89" s="11"/>
      <c r="P89" s="6">
        <v>12244.62</v>
      </c>
      <c r="Q89" s="2"/>
      <c r="R89" s="7">
        <f t="shared" si="48"/>
        <v>3.7919831315959447E-3</v>
      </c>
      <c r="S89" s="2"/>
      <c r="T89" s="6">
        <v>12765.31</v>
      </c>
      <c r="U89" s="2"/>
      <c r="V89" s="7">
        <f t="shared" si="49"/>
        <v>3.8795584304781266E-3</v>
      </c>
      <c r="W89" s="2"/>
      <c r="X89" s="6">
        <f t="shared" si="50"/>
        <v>-520.68999999999869</v>
      </c>
      <c r="Y89" s="2"/>
      <c r="Z89" s="7">
        <f t="shared" si="51"/>
        <v>-4.0789452038375779E-2</v>
      </c>
    </row>
    <row r="90" spans="1:26" s="24" customFormat="1" hidden="1" outlineLevel="2" x14ac:dyDescent="0.25">
      <c r="A90" s="26"/>
      <c r="B90" s="11" t="str">
        <f>CONCATENATE("          ", "6373", " - ", "MAINTENANCE CONTRACTS")</f>
        <v xml:space="preserve">          6373 - MAINTENANCE CONTRACTS</v>
      </c>
      <c r="C90" s="11"/>
      <c r="D90" s="6">
        <v>7922.19</v>
      </c>
      <c r="E90" s="2"/>
      <c r="F90" s="7">
        <f t="shared" si="44"/>
        <v>5.6558069662407187E-3</v>
      </c>
      <c r="G90" s="2"/>
      <c r="H90" s="6">
        <v>6974.54</v>
      </c>
      <c r="I90" s="2"/>
      <c r="J90" s="7">
        <f t="shared" si="45"/>
        <v>4.9845008960937029E-3</v>
      </c>
      <c r="K90" s="2"/>
      <c r="L90" s="6">
        <f t="shared" si="46"/>
        <v>947.64999999999964</v>
      </c>
      <c r="M90" s="2"/>
      <c r="N90" s="7">
        <f t="shared" si="47"/>
        <v>0.13587276006733057</v>
      </c>
      <c r="O90" s="11"/>
      <c r="P90" s="6">
        <v>32730.700000000004</v>
      </c>
      <c r="Q90" s="2"/>
      <c r="R90" s="7">
        <f t="shared" si="48"/>
        <v>1.0136228179014734E-2</v>
      </c>
      <c r="S90" s="2"/>
      <c r="T90" s="6">
        <v>37328.67</v>
      </c>
      <c r="U90" s="2"/>
      <c r="V90" s="7">
        <f t="shared" si="49"/>
        <v>1.134471128370842E-2</v>
      </c>
      <c r="W90" s="2"/>
      <c r="X90" s="6">
        <f t="shared" si="50"/>
        <v>-4597.9699999999939</v>
      </c>
      <c r="Y90" s="2"/>
      <c r="Z90" s="7">
        <f t="shared" si="51"/>
        <v>-0.12317529662856978</v>
      </c>
    </row>
    <row r="91" spans="1:26" s="24" customFormat="1" hidden="1" outlineLevel="2" x14ac:dyDescent="0.25">
      <c r="A91" s="26"/>
      <c r="B91" s="11" t="str">
        <f>CONCATENATE("          ", "6375", " - ", "OUTSIDE REPAIRS &amp; MAINTENANCE")</f>
        <v xml:space="preserve">          6375 - OUTSIDE REPAIRS &amp; MAINTENANCE</v>
      </c>
      <c r="C91" s="11"/>
      <c r="D91" s="6">
        <v>19420.36</v>
      </c>
      <c r="E91" s="2"/>
      <c r="F91" s="7">
        <f t="shared" si="44"/>
        <v>1.3864576256679353E-2</v>
      </c>
      <c r="G91" s="2"/>
      <c r="H91" s="6">
        <v>15907.030000000002</v>
      </c>
      <c r="I91" s="2"/>
      <c r="J91" s="7">
        <f t="shared" si="45"/>
        <v>1.1368291713745914E-2</v>
      </c>
      <c r="K91" s="2"/>
      <c r="L91" s="6">
        <f t="shared" si="46"/>
        <v>3513.3299999999981</v>
      </c>
      <c r="M91" s="2"/>
      <c r="N91" s="7">
        <f t="shared" si="47"/>
        <v>0.22086649739140479</v>
      </c>
      <c r="O91" s="11"/>
      <c r="P91" s="6">
        <v>70930.64</v>
      </c>
      <c r="Q91" s="2"/>
      <c r="R91" s="7">
        <f t="shared" si="48"/>
        <v>2.196620151489426E-2</v>
      </c>
      <c r="S91" s="2"/>
      <c r="T91" s="6">
        <v>53681.66</v>
      </c>
      <c r="U91" s="2"/>
      <c r="V91" s="7">
        <f t="shared" si="49"/>
        <v>1.6314616457811088E-2</v>
      </c>
      <c r="W91" s="2"/>
      <c r="X91" s="6">
        <f t="shared" si="50"/>
        <v>17248.979999999996</v>
      </c>
      <c r="Y91" s="2"/>
      <c r="Z91" s="7">
        <f t="shared" si="51"/>
        <v>0.32131979525223314</v>
      </c>
    </row>
    <row r="92" spans="1:26" s="27" customFormat="1" outlineLevel="1" collapsed="1" x14ac:dyDescent="0.25">
      <c r="A92" s="25"/>
      <c r="B92" s="13" t="str">
        <f>CONCATENATE("     ","Royalty &amp; Commissions                             ")</f>
        <v xml:space="preserve">     Royalty &amp; Commissions                             </v>
      </c>
      <c r="C92" s="13"/>
      <c r="D92" s="1">
        <f>SUM(OSRRefD22_17x_0)</f>
        <v>32085.1</v>
      </c>
      <c r="E92" s="1"/>
      <c r="F92" s="5">
        <f t="shared" ref="F92:F94" si="52">IF(D$12=0,0,D92/D$12)</f>
        <v>2.2906182771749991E-2</v>
      </c>
      <c r="G92" s="1"/>
      <c r="H92" s="1">
        <f>SUM(OSRRefH22_17x_0)</f>
        <v>30731.690000000002</v>
      </c>
      <c r="I92" s="1"/>
      <c r="J92" s="5">
        <f t="shared" ref="J92:J94" si="53">IF(H$12=0,0,H92/H$12)</f>
        <v>2.196304506726951E-2</v>
      </c>
      <c r="K92" s="1"/>
      <c r="L92" s="1">
        <f t="shared" ref="L92:L94" si="54">+D92-H92</f>
        <v>1353.4099999999962</v>
      </c>
      <c r="M92" s="1"/>
      <c r="N92" s="5">
        <f t="shared" ref="N92:N94" si="55">IF(H92=0,0,L92/H92)</f>
        <v>4.4039556561972219E-2</v>
      </c>
      <c r="O92" s="13"/>
      <c r="P92" s="1">
        <f>SUM(OSRRefP22_17x_0)</f>
        <v>98022.32</v>
      </c>
      <c r="Q92" s="1"/>
      <c r="R92" s="5">
        <f t="shared" ref="R92:R94" si="56">IF(P$12=0,0,P92/P$12)</f>
        <v>3.0356106107000447E-2</v>
      </c>
      <c r="S92" s="1"/>
      <c r="T92" s="1">
        <f>SUM(OSRRefT22_17x_0)</f>
        <v>102050.26</v>
      </c>
      <c r="U92" s="1"/>
      <c r="V92" s="5">
        <f t="shared" ref="V92:V94" si="57">IF(T$12=0,0,T92/T$12)</f>
        <v>3.1014518763389589E-2</v>
      </c>
      <c r="W92" s="1"/>
      <c r="X92" s="1">
        <f t="shared" ref="X92:X94" si="58">+P92-T92</f>
        <v>-4027.9399999999878</v>
      </c>
      <c r="Y92" s="1"/>
      <c r="Z92" s="5">
        <f t="shared" ref="Z92:Z94" si="59">IF(T92=0,0,X92/T92)</f>
        <v>-3.947015911571404E-2</v>
      </c>
    </row>
    <row r="93" spans="1:26" s="24" customFormat="1" hidden="1" outlineLevel="2" x14ac:dyDescent="0.25">
      <c r="A93" s="26"/>
      <c r="B93" s="11" t="str">
        <f>CONCATENATE("          ", "6254", " - ", "ROYALTY &amp; COMMISSIONS")</f>
        <v xml:space="preserve">          6254 - ROYALTY &amp; COMMISSIONS</v>
      </c>
      <c r="C93" s="11"/>
      <c r="D93" s="6">
        <v>10321.9</v>
      </c>
      <c r="E93" s="2"/>
      <c r="F93" s="7">
        <f t="shared" si="52"/>
        <v>7.3690070453801375E-3</v>
      </c>
      <c r="G93" s="2"/>
      <c r="H93" s="6">
        <v>8935.3700000000008</v>
      </c>
      <c r="I93" s="2"/>
      <c r="J93" s="7">
        <f t="shared" si="53"/>
        <v>6.3858490698926081E-3</v>
      </c>
      <c r="K93" s="2"/>
      <c r="L93" s="6">
        <f t="shared" si="54"/>
        <v>1386.5299999999988</v>
      </c>
      <c r="M93" s="2"/>
      <c r="N93" s="7">
        <f t="shared" si="55"/>
        <v>0.15517320491484948</v>
      </c>
      <c r="O93" s="11"/>
      <c r="P93" s="6">
        <v>50652.959999999999</v>
      </c>
      <c r="Q93" s="2"/>
      <c r="R93" s="7">
        <f t="shared" si="56"/>
        <v>1.5686494957410202E-2</v>
      </c>
      <c r="S93" s="2"/>
      <c r="T93" s="6">
        <v>54431.619999999995</v>
      </c>
      <c r="U93" s="2"/>
      <c r="V93" s="7">
        <f t="shared" si="57"/>
        <v>1.6542539919170141E-2</v>
      </c>
      <c r="W93" s="2"/>
      <c r="X93" s="6">
        <f t="shared" si="58"/>
        <v>-3778.6599999999962</v>
      </c>
      <c r="Y93" s="2"/>
      <c r="Z93" s="7">
        <f t="shared" si="59"/>
        <v>-6.9420311208815699E-2</v>
      </c>
    </row>
    <row r="94" spans="1:26" s="24" customFormat="1" hidden="1" outlineLevel="2" x14ac:dyDescent="0.25">
      <c r="A94" s="26"/>
      <c r="B94" s="11" t="str">
        <f>CONCATENATE("          ", "6259", " - ", "ROYALTY &amp; COMMISSIONS")</f>
        <v xml:space="preserve">          6259 - ROYALTY &amp; COMMISSIONS</v>
      </c>
      <c r="C94" s="11"/>
      <c r="D94" s="6">
        <v>21763.200000000001</v>
      </c>
      <c r="E94" s="2"/>
      <c r="F94" s="7">
        <f t="shared" si="52"/>
        <v>1.5537175726369857E-2</v>
      </c>
      <c r="G94" s="2"/>
      <c r="H94" s="6">
        <v>21796.32</v>
      </c>
      <c r="I94" s="2"/>
      <c r="J94" s="7">
        <f t="shared" si="53"/>
        <v>1.5577195997376902E-2</v>
      </c>
      <c r="K94" s="2"/>
      <c r="L94" s="6">
        <f t="shared" si="54"/>
        <v>-33.119999999998981</v>
      </c>
      <c r="M94" s="2"/>
      <c r="N94" s="7">
        <f t="shared" si="55"/>
        <v>-1.5195225616066832E-3</v>
      </c>
      <c r="O94" s="11"/>
      <c r="P94" s="6">
        <v>47369.36</v>
      </c>
      <c r="Q94" s="2"/>
      <c r="R94" s="7">
        <f t="shared" si="56"/>
        <v>1.4669611149590242E-2</v>
      </c>
      <c r="S94" s="2"/>
      <c r="T94" s="6">
        <v>47618.64</v>
      </c>
      <c r="U94" s="2"/>
      <c r="V94" s="7">
        <f t="shared" si="57"/>
        <v>1.4471978844219446E-2</v>
      </c>
      <c r="W94" s="2"/>
      <c r="X94" s="6">
        <f t="shared" si="58"/>
        <v>-249.27999999999884</v>
      </c>
      <c r="Y94" s="2"/>
      <c r="Z94" s="7">
        <f t="shared" si="59"/>
        <v>-5.2349248109563578E-3</v>
      </c>
    </row>
    <row r="95" spans="1:26" s="27" customFormat="1" outlineLevel="1" collapsed="1" x14ac:dyDescent="0.25">
      <c r="A95" s="25"/>
      <c r="B95" s="13" t="str">
        <f>CONCATENATE("     ","Services                                          ")</f>
        <v xml:space="preserve">     Services                                          </v>
      </c>
      <c r="C95" s="13"/>
      <c r="D95" s="1">
        <f>SUM(OSRRefD22_18x_0)</f>
        <v>25126.11</v>
      </c>
      <c r="E95" s="1"/>
      <c r="F95" s="5">
        <f t="shared" ref="F95:F100" si="60">IF(D$12=0,0,D95/D$12)</f>
        <v>1.7938023194663418E-2</v>
      </c>
      <c r="G95" s="1"/>
      <c r="H95" s="1">
        <f>SUM(OSRRefH22_18x_0)</f>
        <v>38380.57</v>
      </c>
      <c r="I95" s="1"/>
      <c r="J95" s="5">
        <f t="shared" ref="J95:J100" si="61">IF(H$12=0,0,H95/H$12)</f>
        <v>2.7429477149401551E-2</v>
      </c>
      <c r="K95" s="1"/>
      <c r="L95" s="1">
        <f t="shared" ref="L95:L100" si="62">+D95-H95</f>
        <v>-13254.46</v>
      </c>
      <c r="M95" s="1"/>
      <c r="N95" s="5">
        <f t="shared" ref="N95:N100" si="63">IF(H95=0,0,L95/H95)</f>
        <v>-0.34534296911171458</v>
      </c>
      <c r="O95" s="13"/>
      <c r="P95" s="1">
        <f>SUM(OSRRefP22_18x_0)</f>
        <v>88615.42</v>
      </c>
      <c r="Q95" s="1"/>
      <c r="R95" s="5">
        <f t="shared" ref="R95:R100" si="64">IF(P$12=0,0,P95/P$12)</f>
        <v>2.7442924144586756E-2</v>
      </c>
      <c r="S95" s="1"/>
      <c r="T95" s="1">
        <f>SUM(OSRRefT22_18x_0)</f>
        <v>106633.01000000001</v>
      </c>
      <c r="U95" s="1"/>
      <c r="V95" s="5">
        <f t="shared" ref="V95:V100" si="65">IF(T$12=0,0,T95/T$12)</f>
        <v>3.2407281367452766E-2</v>
      </c>
      <c r="W95" s="1"/>
      <c r="X95" s="1">
        <f t="shared" ref="X95:X100" si="66">+P95-T95</f>
        <v>-18017.590000000011</v>
      </c>
      <c r="Y95" s="1"/>
      <c r="Z95" s="5">
        <f t="shared" ref="Z95:Z100" si="67">IF(T95=0,0,X95/T95)</f>
        <v>-0.16896822100398376</v>
      </c>
    </row>
    <row r="96" spans="1:26" s="24" customFormat="1" hidden="1" outlineLevel="2" x14ac:dyDescent="0.25">
      <c r="A96" s="26"/>
      <c r="B96" s="11" t="str">
        <f>CONCATENATE("          ", "6282", " - ", "JANITORIAL/EXTERMINATOR EXPENS")</f>
        <v xml:space="preserve">          6282 - JANITORIAL/EXTERMINATOR EXPENS</v>
      </c>
      <c r="C96" s="11"/>
      <c r="D96" s="6">
        <v>1722.31</v>
      </c>
      <c r="E96" s="2"/>
      <c r="F96" s="7">
        <f t="shared" si="60"/>
        <v>1.2295909206956727E-3</v>
      </c>
      <c r="G96" s="2"/>
      <c r="H96" s="6">
        <v>1918.16</v>
      </c>
      <c r="I96" s="2"/>
      <c r="J96" s="7">
        <f t="shared" si="61"/>
        <v>1.3708531657788323E-3</v>
      </c>
      <c r="K96" s="2"/>
      <c r="L96" s="6">
        <f t="shared" si="62"/>
        <v>-195.85000000000014</v>
      </c>
      <c r="M96" s="2"/>
      <c r="N96" s="7">
        <f t="shared" si="63"/>
        <v>-0.10210305709638411</v>
      </c>
      <c r="O96" s="11"/>
      <c r="P96" s="6">
        <v>7689.68</v>
      </c>
      <c r="Q96" s="2"/>
      <c r="R96" s="7">
        <f t="shared" si="64"/>
        <v>2.381383566608903E-3</v>
      </c>
      <c r="S96" s="2"/>
      <c r="T96" s="6">
        <v>7401.72</v>
      </c>
      <c r="U96" s="2"/>
      <c r="V96" s="7">
        <f t="shared" si="65"/>
        <v>2.2494874958805199E-3</v>
      </c>
      <c r="W96" s="2"/>
      <c r="X96" s="6">
        <f t="shared" si="66"/>
        <v>287.96000000000004</v>
      </c>
      <c r="Y96" s="2"/>
      <c r="Z96" s="7">
        <f t="shared" si="67"/>
        <v>3.8904470852720724E-2</v>
      </c>
    </row>
    <row r="97" spans="1:26" s="24" customFormat="1" hidden="1" outlineLevel="2" x14ac:dyDescent="0.25">
      <c r="A97" s="26"/>
      <c r="B97" s="11" t="str">
        <f>CONCATENATE("          ", "6283", " - ", "PLANT SERVICE")</f>
        <v xml:space="preserve">          6283 - PLANT SERVICE</v>
      </c>
      <c r="C97" s="11"/>
      <c r="D97" s="6"/>
      <c r="E97" s="2"/>
      <c r="F97" s="7">
        <f t="shared" si="60"/>
        <v>0</v>
      </c>
      <c r="G97" s="2"/>
      <c r="H97" s="6">
        <v>176</v>
      </c>
      <c r="I97" s="2"/>
      <c r="J97" s="7">
        <f t="shared" si="61"/>
        <v>1.2578208135769408E-4</v>
      </c>
      <c r="K97" s="2"/>
      <c r="L97" s="6">
        <f t="shared" si="62"/>
        <v>-176</v>
      </c>
      <c r="M97" s="2"/>
      <c r="N97" s="7">
        <f t="shared" si="63"/>
        <v>-1</v>
      </c>
      <c r="O97" s="11"/>
      <c r="P97" s="6">
        <v>599.34</v>
      </c>
      <c r="Q97" s="2"/>
      <c r="R97" s="7">
        <f t="shared" si="64"/>
        <v>1.8560699883628186E-4</v>
      </c>
      <c r="S97" s="2"/>
      <c r="T97" s="6">
        <v>704</v>
      </c>
      <c r="U97" s="2"/>
      <c r="V97" s="7">
        <f t="shared" si="65"/>
        <v>2.139555666925912E-4</v>
      </c>
      <c r="W97" s="2"/>
      <c r="X97" s="6">
        <f t="shared" si="66"/>
        <v>-104.65999999999997</v>
      </c>
      <c r="Y97" s="2"/>
      <c r="Z97" s="7">
        <f t="shared" si="67"/>
        <v>-0.14866477272727269</v>
      </c>
    </row>
    <row r="98" spans="1:26" s="24" customFormat="1" hidden="1" outlineLevel="2" x14ac:dyDescent="0.25">
      <c r="A98" s="26"/>
      <c r="B98" s="11" t="str">
        <f>CONCATENATE("          ", "6284", " - ", "TRASH REMOVAL EXPENSE")</f>
        <v xml:space="preserve">          6284 - TRASH REMOVAL EXPENSE</v>
      </c>
      <c r="C98" s="11"/>
      <c r="D98" s="6">
        <v>4436</v>
      </c>
      <c r="E98" s="2"/>
      <c r="F98" s="7">
        <f t="shared" si="60"/>
        <v>3.1669474857638894E-3</v>
      </c>
      <c r="G98" s="2"/>
      <c r="H98" s="6">
        <v>15136</v>
      </c>
      <c r="I98" s="2"/>
      <c r="J98" s="7">
        <f t="shared" si="61"/>
        <v>1.081725899676169E-2</v>
      </c>
      <c r="K98" s="2"/>
      <c r="L98" s="6">
        <f t="shared" si="62"/>
        <v>-10700</v>
      </c>
      <c r="M98" s="2"/>
      <c r="N98" s="7">
        <f t="shared" si="63"/>
        <v>-0.70692389006342493</v>
      </c>
      <c r="O98" s="11"/>
      <c r="P98" s="6">
        <v>9732</v>
      </c>
      <c r="Q98" s="2"/>
      <c r="R98" s="7">
        <f t="shared" si="64"/>
        <v>3.0138607679692578E-3</v>
      </c>
      <c r="S98" s="2"/>
      <c r="T98" s="6">
        <v>27821</v>
      </c>
      <c r="U98" s="2"/>
      <c r="V98" s="7">
        <f t="shared" si="65"/>
        <v>8.4551957684013915E-3</v>
      </c>
      <c r="W98" s="2"/>
      <c r="X98" s="6">
        <f t="shared" si="66"/>
        <v>-18089</v>
      </c>
      <c r="Y98" s="2"/>
      <c r="Z98" s="7">
        <f t="shared" si="67"/>
        <v>-0.65019230077998635</v>
      </c>
    </row>
    <row r="99" spans="1:26" s="24" customFormat="1" hidden="1" outlineLevel="2" x14ac:dyDescent="0.25">
      <c r="A99" s="26"/>
      <c r="B99" s="11" t="str">
        <f>CONCATENATE("          ", "6285", " - ", "JANITORIAL SERVICES")</f>
        <v xml:space="preserve">          6285 - JANITORIAL SERVICES</v>
      </c>
      <c r="C99" s="11"/>
      <c r="D99" s="6">
        <v>13319.69</v>
      </c>
      <c r="E99" s="2"/>
      <c r="F99" s="7">
        <f t="shared" si="60"/>
        <v>9.5091881777850367E-3</v>
      </c>
      <c r="G99" s="2"/>
      <c r="H99" s="6">
        <v>16064.12</v>
      </c>
      <c r="I99" s="2"/>
      <c r="J99" s="7">
        <f t="shared" si="61"/>
        <v>1.1480559368066823E-2</v>
      </c>
      <c r="K99" s="2"/>
      <c r="L99" s="6">
        <f t="shared" si="62"/>
        <v>-2744.4300000000003</v>
      </c>
      <c r="M99" s="2"/>
      <c r="N99" s="7">
        <f t="shared" si="63"/>
        <v>-0.17084222478417743</v>
      </c>
      <c r="O99" s="11"/>
      <c r="P99" s="6">
        <v>53306.15</v>
      </c>
      <c r="Q99" s="2"/>
      <c r="R99" s="7">
        <f t="shared" si="64"/>
        <v>1.6508149833177607E-2</v>
      </c>
      <c r="S99" s="2"/>
      <c r="T99" s="6">
        <v>53774.83</v>
      </c>
      <c r="U99" s="2"/>
      <c r="V99" s="7">
        <f t="shared" si="65"/>
        <v>1.634293213984056E-2</v>
      </c>
      <c r="W99" s="2"/>
      <c r="X99" s="6">
        <f t="shared" si="66"/>
        <v>-468.68000000000029</v>
      </c>
      <c r="Y99" s="2"/>
      <c r="Z99" s="7">
        <f t="shared" si="67"/>
        <v>-8.7156017043661556E-3</v>
      </c>
    </row>
    <row r="100" spans="1:26" s="24" customFormat="1" hidden="1" outlineLevel="2" x14ac:dyDescent="0.25">
      <c r="A100" s="26"/>
      <c r="B100" s="11" t="str">
        <f>CONCATENATE("          ", "6286", " - ", "LAUNDRY EXPENSE")</f>
        <v xml:space="preserve">          6286 - LAUNDRY EXPENSE</v>
      </c>
      <c r="C100" s="11"/>
      <c r="D100" s="6">
        <v>5648.11</v>
      </c>
      <c r="E100" s="2"/>
      <c r="F100" s="7">
        <f t="shared" si="60"/>
        <v>4.0322966104188191E-3</v>
      </c>
      <c r="G100" s="2"/>
      <c r="H100" s="6">
        <v>5086.29</v>
      </c>
      <c r="I100" s="2"/>
      <c r="J100" s="7">
        <f t="shared" si="61"/>
        <v>3.6350235374365105E-3</v>
      </c>
      <c r="K100" s="2"/>
      <c r="L100" s="6">
        <f t="shared" si="62"/>
        <v>561.81999999999971</v>
      </c>
      <c r="M100" s="2"/>
      <c r="N100" s="7">
        <f t="shared" si="63"/>
        <v>0.11045772065690311</v>
      </c>
      <c r="O100" s="11"/>
      <c r="P100" s="6">
        <v>17288.25</v>
      </c>
      <c r="Q100" s="2"/>
      <c r="R100" s="7">
        <f t="shared" si="64"/>
        <v>5.3539229779947101E-3</v>
      </c>
      <c r="S100" s="2"/>
      <c r="T100" s="6">
        <v>16931.46</v>
      </c>
      <c r="U100" s="2"/>
      <c r="V100" s="7">
        <f t="shared" si="65"/>
        <v>5.1457103966376988E-3</v>
      </c>
      <c r="W100" s="2"/>
      <c r="X100" s="6">
        <f t="shared" si="66"/>
        <v>356.79000000000087</v>
      </c>
      <c r="Y100" s="2"/>
      <c r="Z100" s="7">
        <f t="shared" si="67"/>
        <v>2.1072606851387943E-2</v>
      </c>
    </row>
    <row r="101" spans="1:26" s="27" customFormat="1" outlineLevel="1" collapsed="1" x14ac:dyDescent="0.25">
      <c r="A101" s="25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SUM(OSRRefD22_19x_0)</f>
        <v>569.82000000000005</v>
      </c>
      <c r="E101" s="1"/>
      <c r="F101" s="5">
        <f t="shared" ref="F101:F103" si="68">IF(D$12=0,0,D101/D$12)</f>
        <v>4.068056844765509E-4</v>
      </c>
      <c r="G101" s="1"/>
      <c r="H101" s="1">
        <f>SUM(OSRRefH22_19x_0)</f>
        <v>557</v>
      </c>
      <c r="I101" s="1"/>
      <c r="J101" s="5">
        <f t="shared" ref="J101:J103" si="69">IF(H$12=0,0,H101/H$12)</f>
        <v>3.9807170066042958E-4</v>
      </c>
      <c r="K101" s="1"/>
      <c r="L101" s="1">
        <f t="shared" ref="L101:L103" si="70">+D101-H101</f>
        <v>12.82000000000005</v>
      </c>
      <c r="M101" s="1"/>
      <c r="N101" s="5">
        <f t="shared" ref="N101:N103" si="71">IF(H101=0,0,L101/H101)</f>
        <v>2.3016157989228098E-2</v>
      </c>
      <c r="O101" s="13"/>
      <c r="P101" s="1">
        <f>SUM(OSRRefP22_19x_0)</f>
        <v>2402</v>
      </c>
      <c r="Q101" s="1"/>
      <c r="R101" s="5">
        <f t="shared" ref="R101:R103" si="72">IF(P$12=0,0,P101/P$12)</f>
        <v>7.4386493677169722E-4</v>
      </c>
      <c r="S101" s="1"/>
      <c r="T101" s="1">
        <f>SUM(OSRRefT22_19x_0)</f>
        <v>1321.97</v>
      </c>
      <c r="U101" s="1"/>
      <c r="V101" s="5">
        <f t="shared" ref="V101:V103" si="73">IF(T$12=0,0,T101/T$12)</f>
        <v>4.0176539843835907E-4</v>
      </c>
      <c r="W101" s="1"/>
      <c r="X101" s="1">
        <f t="shared" ref="X101:X103" si="74">+P101-T101</f>
        <v>1080.03</v>
      </c>
      <c r="Y101" s="1"/>
      <c r="Z101" s="5">
        <f t="shared" ref="Z101:Z103" si="75">IF(T101=0,0,X101/T101)</f>
        <v>0.81698525685151702</v>
      </c>
    </row>
    <row r="102" spans="1:26" s="24" customFormat="1" hidden="1" outlineLevel="2" x14ac:dyDescent="0.25">
      <c r="A102" s="26"/>
      <c r="B102" s="11" t="str">
        <f>CONCATENATE("          ", "6258", " - ", "MEMBERSHIP DUES")</f>
        <v xml:space="preserve">          6258 - MEMBERSHIP DUES</v>
      </c>
      <c r="C102" s="11"/>
      <c r="D102" s="6"/>
      <c r="E102" s="2"/>
      <c r="F102" s="7">
        <f t="shared" si="68"/>
        <v>0</v>
      </c>
      <c r="G102" s="2"/>
      <c r="H102" s="6"/>
      <c r="I102" s="2"/>
      <c r="J102" s="7">
        <f t="shared" si="69"/>
        <v>0</v>
      </c>
      <c r="K102" s="2"/>
      <c r="L102" s="6">
        <f t="shared" si="70"/>
        <v>0</v>
      </c>
      <c r="M102" s="2"/>
      <c r="N102" s="7">
        <f t="shared" si="71"/>
        <v>0</v>
      </c>
      <c r="O102" s="11"/>
      <c r="P102" s="6"/>
      <c r="Q102" s="2"/>
      <c r="R102" s="7">
        <f t="shared" si="72"/>
        <v>0</v>
      </c>
      <c r="S102" s="2"/>
      <c r="T102" s="6">
        <v>31.8</v>
      </c>
      <c r="U102" s="2"/>
      <c r="V102" s="7">
        <f t="shared" si="73"/>
        <v>9.6644702000346588E-6</v>
      </c>
      <c r="W102" s="2"/>
      <c r="X102" s="6">
        <f t="shared" si="74"/>
        <v>-31.8</v>
      </c>
      <c r="Y102" s="2"/>
      <c r="Z102" s="7">
        <f t="shared" si="75"/>
        <v>-1</v>
      </c>
    </row>
    <row r="103" spans="1:26" s="24" customFormat="1" hidden="1" outlineLevel="2" x14ac:dyDescent="0.25">
      <c r="A103" s="26"/>
      <c r="B103" s="11" t="str">
        <f>CONCATENATE("          ", "6275", " - ", "SUBSCRIPTIONS")</f>
        <v xml:space="preserve">          6275 - SUBSCRIPTIONS</v>
      </c>
      <c r="C103" s="11"/>
      <c r="D103" s="6">
        <v>569.82000000000005</v>
      </c>
      <c r="E103" s="2"/>
      <c r="F103" s="7">
        <f t="shared" si="68"/>
        <v>4.068056844765509E-4</v>
      </c>
      <c r="G103" s="2"/>
      <c r="H103" s="6">
        <v>557</v>
      </c>
      <c r="I103" s="2"/>
      <c r="J103" s="7">
        <f t="shared" si="69"/>
        <v>3.9807170066042958E-4</v>
      </c>
      <c r="K103" s="2"/>
      <c r="L103" s="6">
        <f t="shared" si="70"/>
        <v>12.82000000000005</v>
      </c>
      <c r="M103" s="2"/>
      <c r="N103" s="7">
        <f t="shared" si="71"/>
        <v>2.3016157989228098E-2</v>
      </c>
      <c r="O103" s="11"/>
      <c r="P103" s="6">
        <v>2402</v>
      </c>
      <c r="Q103" s="2"/>
      <c r="R103" s="7">
        <f t="shared" si="72"/>
        <v>7.4386493677169722E-4</v>
      </c>
      <c r="S103" s="2"/>
      <c r="T103" s="6">
        <v>1290.17</v>
      </c>
      <c r="U103" s="2"/>
      <c r="V103" s="7">
        <f t="shared" si="73"/>
        <v>3.9210092823832441E-4</v>
      </c>
      <c r="W103" s="2"/>
      <c r="X103" s="6">
        <f t="shared" si="74"/>
        <v>1111.83</v>
      </c>
      <c r="Y103" s="2"/>
      <c r="Z103" s="7">
        <f t="shared" si="75"/>
        <v>0.86177015432074833</v>
      </c>
    </row>
    <row r="104" spans="1:26" s="27" customFormat="1" outlineLevel="1" collapsed="1" x14ac:dyDescent="0.25">
      <c r="A104" s="25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SUM(OSRRefD22_20x_0)</f>
        <v>34503.22</v>
      </c>
      <c r="E104" s="1"/>
      <c r="F104" s="5">
        <f t="shared" ref="F104:F112" si="76">IF(D$12=0,0,D104/D$12)</f>
        <v>2.4632526111307111E-2</v>
      </c>
      <c r="G104" s="1"/>
      <c r="H104" s="1">
        <f>SUM(OSRRefH22_20x_0)</f>
        <v>26638.42</v>
      </c>
      <c r="I104" s="1"/>
      <c r="J104" s="5">
        <f t="shared" ref="J104:J112" si="77">IF(H$12=0,0,H104/H$12)</f>
        <v>1.9037704043638779E-2</v>
      </c>
      <c r="K104" s="1"/>
      <c r="L104" s="1">
        <f t="shared" ref="L104:L112" si="78">+D104-H104</f>
        <v>7864.8000000000029</v>
      </c>
      <c r="M104" s="1"/>
      <c r="N104" s="5">
        <f t="shared" ref="N104:N112" si="79">IF(H104=0,0,L104/H104)</f>
        <v>0.29524273586796829</v>
      </c>
      <c r="O104" s="13"/>
      <c r="P104" s="1">
        <f>SUM(OSRRefP22_20x_0)</f>
        <v>121181.94000000002</v>
      </c>
      <c r="Q104" s="1"/>
      <c r="R104" s="5">
        <f t="shared" ref="R104:R112" si="80">IF(P$12=0,0,P104/P$12)</f>
        <v>3.7528308133210495E-2</v>
      </c>
      <c r="S104" s="1"/>
      <c r="T104" s="1">
        <f>SUM(OSRRefT22_20x_0)</f>
        <v>102039.76</v>
      </c>
      <c r="U104" s="1"/>
      <c r="V104" s="5">
        <f t="shared" ref="V104:V112" si="81">IF(T$12=0,0,T104/T$12)</f>
        <v>3.1011327664738634E-2</v>
      </c>
      <c r="W104" s="1"/>
      <c r="X104" s="1">
        <f t="shared" ref="X104:X112" si="82">+P104-T104</f>
        <v>19142.180000000022</v>
      </c>
      <c r="Y104" s="1"/>
      <c r="Z104" s="5">
        <f t="shared" ref="Z104:Z112" si="83">IF(T104=0,0,X104/T104)</f>
        <v>0.18759530598660781</v>
      </c>
    </row>
    <row r="105" spans="1:26" s="24" customFormat="1" hidden="1" outlineLevel="2" x14ac:dyDescent="0.25">
      <c r="A105" s="26"/>
      <c r="B105" s="11" t="str">
        <f>CONCATENATE("          ", "6234", " - ", "EXPENDABLE SUPPLIES &amp; EQUIPMEN")</f>
        <v xml:space="preserve">          6234 - EXPENDABLE SUPPLIES &amp; EQUIPMEN</v>
      </c>
      <c r="C105" s="11"/>
      <c r="D105" s="6">
        <v>3976.8</v>
      </c>
      <c r="E105" s="2"/>
      <c r="F105" s="7">
        <f t="shared" si="76"/>
        <v>2.8391155909345887E-3</v>
      </c>
      <c r="G105" s="2"/>
      <c r="H105" s="6">
        <v>670.89</v>
      </c>
      <c r="I105" s="2"/>
      <c r="J105" s="7">
        <f t="shared" si="77"/>
        <v>4.794655713753601E-4</v>
      </c>
      <c r="K105" s="2"/>
      <c r="L105" s="6">
        <f t="shared" si="78"/>
        <v>3305.9100000000003</v>
      </c>
      <c r="M105" s="2"/>
      <c r="N105" s="7">
        <f t="shared" si="79"/>
        <v>4.9276483477172119</v>
      </c>
      <c r="O105" s="11"/>
      <c r="P105" s="6">
        <v>12711.13</v>
      </c>
      <c r="Q105" s="2"/>
      <c r="R105" s="7">
        <f t="shared" si="80"/>
        <v>3.9364545852401426E-3</v>
      </c>
      <c r="S105" s="2"/>
      <c r="T105" s="6">
        <v>7076.59</v>
      </c>
      <c r="U105" s="2"/>
      <c r="V105" s="7">
        <f t="shared" si="81"/>
        <v>2.1506758859390967E-3</v>
      </c>
      <c r="W105" s="2"/>
      <c r="X105" s="6">
        <f t="shared" si="82"/>
        <v>5634.5399999999991</v>
      </c>
      <c r="Y105" s="2"/>
      <c r="Z105" s="7">
        <f t="shared" si="83"/>
        <v>0.79622247438384852</v>
      </c>
    </row>
    <row r="106" spans="1:26" s="24" customFormat="1" hidden="1" outlineLevel="2" x14ac:dyDescent="0.25">
      <c r="A106" s="26"/>
      <c r="B106" s="11" t="str">
        <f>CONCATENATE("          ", "6237", " - ", "JANITORIAL SUPPLIES")</f>
        <v xml:space="preserve">          6237 - JANITORIAL SUPPLIES</v>
      </c>
      <c r="C106" s="11"/>
      <c r="D106" s="6">
        <v>8656.9699999999993</v>
      </c>
      <c r="E106" s="2"/>
      <c r="F106" s="7">
        <f t="shared" si="76"/>
        <v>6.1803808331454954E-3</v>
      </c>
      <c r="G106" s="2"/>
      <c r="H106" s="6">
        <v>6841.69</v>
      </c>
      <c r="I106" s="2"/>
      <c r="J106" s="7">
        <f t="shared" si="77"/>
        <v>4.8895568647961477E-3</v>
      </c>
      <c r="K106" s="2"/>
      <c r="L106" s="6">
        <f t="shared" si="78"/>
        <v>1815.2799999999997</v>
      </c>
      <c r="M106" s="2"/>
      <c r="N106" s="7">
        <f t="shared" si="79"/>
        <v>0.26532625710898911</v>
      </c>
      <c r="O106" s="11"/>
      <c r="P106" s="6">
        <v>21205.74</v>
      </c>
      <c r="Q106" s="2"/>
      <c r="R106" s="7">
        <f t="shared" si="80"/>
        <v>6.5671134239371574E-3</v>
      </c>
      <c r="S106" s="2"/>
      <c r="T106" s="6">
        <v>21562.510000000002</v>
      </c>
      <c r="U106" s="2"/>
      <c r="V106" s="7">
        <f t="shared" si="81"/>
        <v>6.5531520544952629E-3</v>
      </c>
      <c r="W106" s="2"/>
      <c r="X106" s="6">
        <f t="shared" si="82"/>
        <v>-356.77000000000044</v>
      </c>
      <c r="Y106" s="2"/>
      <c r="Z106" s="7">
        <f t="shared" si="83"/>
        <v>-1.6545847399027314E-2</v>
      </c>
    </row>
    <row r="107" spans="1:26" s="24" customFormat="1" hidden="1" outlineLevel="2" x14ac:dyDescent="0.25">
      <c r="A107" s="26"/>
      <c r="B107" s="11" t="str">
        <f>CONCATENATE("          ", "6239", " - ", "KITCHEN SUPPLIES")</f>
        <v xml:space="preserve">          6239 - KITCHEN SUPPLIES</v>
      </c>
      <c r="C107" s="11"/>
      <c r="D107" s="6">
        <v>9909.17</v>
      </c>
      <c r="E107" s="2"/>
      <c r="F107" s="7">
        <f t="shared" si="76"/>
        <v>7.0743509958311451E-3</v>
      </c>
      <c r="G107" s="2"/>
      <c r="H107" s="6">
        <v>4259.08</v>
      </c>
      <c r="I107" s="2"/>
      <c r="J107" s="7">
        <f t="shared" si="77"/>
        <v>3.0438406083461802E-3</v>
      </c>
      <c r="K107" s="2"/>
      <c r="L107" s="6">
        <f t="shared" si="78"/>
        <v>5650.09</v>
      </c>
      <c r="M107" s="2"/>
      <c r="N107" s="7">
        <f t="shared" si="79"/>
        <v>1.3265987020671131</v>
      </c>
      <c r="O107" s="11"/>
      <c r="P107" s="6">
        <v>27903.53</v>
      </c>
      <c r="Q107" s="2"/>
      <c r="R107" s="7">
        <f t="shared" si="80"/>
        <v>8.6413228889080582E-3</v>
      </c>
      <c r="S107" s="2"/>
      <c r="T107" s="6">
        <v>11791.82</v>
      </c>
      <c r="U107" s="2"/>
      <c r="V107" s="7">
        <f t="shared" si="81"/>
        <v>3.5837010375526003E-3</v>
      </c>
      <c r="W107" s="2"/>
      <c r="X107" s="6">
        <f t="shared" si="82"/>
        <v>16111.71</v>
      </c>
      <c r="Y107" s="2"/>
      <c r="Z107" s="7">
        <f t="shared" si="83"/>
        <v>1.3663463316095394</v>
      </c>
    </row>
    <row r="108" spans="1:26" s="24" customFormat="1" hidden="1" outlineLevel="2" x14ac:dyDescent="0.25">
      <c r="A108" s="26"/>
      <c r="B108" s="11" t="str">
        <f>CONCATENATE("          ", "6241", " - ", "OFFICE EXPENSE")</f>
        <v xml:space="preserve">          6241 - OFFICE EXPENSE</v>
      </c>
      <c r="C108" s="11"/>
      <c r="D108" s="6">
        <v>2759.59</v>
      </c>
      <c r="E108" s="2"/>
      <c r="F108" s="7">
        <f t="shared" si="76"/>
        <v>1.970125476158515E-3</v>
      </c>
      <c r="G108" s="2"/>
      <c r="H108" s="6">
        <v>3388.84</v>
      </c>
      <c r="I108" s="2"/>
      <c r="J108" s="7">
        <f t="shared" si="77"/>
        <v>2.4219053897057276E-3</v>
      </c>
      <c r="K108" s="2"/>
      <c r="L108" s="6">
        <f t="shared" si="78"/>
        <v>-629.25</v>
      </c>
      <c r="M108" s="2"/>
      <c r="N108" s="7">
        <f t="shared" si="79"/>
        <v>-0.18568300657452105</v>
      </c>
      <c r="O108" s="11"/>
      <c r="P108" s="6">
        <v>12483.54</v>
      </c>
      <c r="Q108" s="2"/>
      <c r="R108" s="7">
        <f t="shared" si="80"/>
        <v>3.8659732276381986E-3</v>
      </c>
      <c r="S108" s="2"/>
      <c r="T108" s="6">
        <v>11858.23</v>
      </c>
      <c r="U108" s="2"/>
      <c r="V108" s="7">
        <f t="shared" si="81"/>
        <v>3.6038839767344967E-3</v>
      </c>
      <c r="W108" s="2"/>
      <c r="X108" s="6">
        <f t="shared" si="82"/>
        <v>625.31000000000131</v>
      </c>
      <c r="Y108" s="2"/>
      <c r="Z108" s="7">
        <f t="shared" si="83"/>
        <v>5.2732153112226808E-2</v>
      </c>
    </row>
    <row r="109" spans="1:26" s="24" customFormat="1" hidden="1" outlineLevel="2" x14ac:dyDescent="0.25">
      <c r="A109" s="26"/>
      <c r="B109" s="11" t="str">
        <f>CONCATENATE("          ", "6243", " - ", "PAPER SUPPLIES")</f>
        <v xml:space="preserve">          6243 - PAPER SUPPLIES</v>
      </c>
      <c r="C109" s="11"/>
      <c r="D109" s="6">
        <v>5797.64</v>
      </c>
      <c r="E109" s="2"/>
      <c r="F109" s="7">
        <f t="shared" si="76"/>
        <v>4.1390490129315054E-3</v>
      </c>
      <c r="G109" s="2"/>
      <c r="H109" s="6">
        <v>8813.17</v>
      </c>
      <c r="I109" s="2"/>
      <c r="J109" s="7">
        <f t="shared" si="77"/>
        <v>6.2985162838590271E-3</v>
      </c>
      <c r="K109" s="2"/>
      <c r="L109" s="6">
        <f t="shared" si="78"/>
        <v>-3015.5299999999997</v>
      </c>
      <c r="M109" s="2"/>
      <c r="N109" s="7">
        <f t="shared" si="79"/>
        <v>-0.34216178741587872</v>
      </c>
      <c r="O109" s="11"/>
      <c r="P109" s="6">
        <v>16937.439999999999</v>
      </c>
      <c r="Q109" s="2"/>
      <c r="R109" s="7">
        <f t="shared" si="80"/>
        <v>5.2452821543190736E-3</v>
      </c>
      <c r="S109" s="2"/>
      <c r="T109" s="6">
        <v>23191.43</v>
      </c>
      <c r="U109" s="2"/>
      <c r="V109" s="7">
        <f t="shared" si="81"/>
        <v>7.0482039034965348E-3</v>
      </c>
      <c r="W109" s="2"/>
      <c r="X109" s="6">
        <f t="shared" si="82"/>
        <v>-6253.9900000000016</v>
      </c>
      <c r="Y109" s="2"/>
      <c r="Z109" s="7">
        <f t="shared" si="83"/>
        <v>-0.26966814896709695</v>
      </c>
    </row>
    <row r="110" spans="1:26" s="24" customFormat="1" hidden="1" outlineLevel="2" x14ac:dyDescent="0.25">
      <c r="A110" s="26"/>
      <c r="B110" s="11" t="str">
        <f>CONCATENATE("          ", "6245", " - ", "PRINTING")</f>
        <v xml:space="preserve">          6245 - PRINTING</v>
      </c>
      <c r="C110" s="11"/>
      <c r="D110" s="6">
        <v>64.48</v>
      </c>
      <c r="E110" s="2"/>
      <c r="F110" s="7">
        <f t="shared" si="76"/>
        <v>4.6033537845368711E-5</v>
      </c>
      <c r="G110" s="2"/>
      <c r="H110" s="6"/>
      <c r="I110" s="2"/>
      <c r="J110" s="7">
        <f t="shared" si="77"/>
        <v>0</v>
      </c>
      <c r="K110" s="2"/>
      <c r="L110" s="6">
        <f t="shared" si="78"/>
        <v>64.48</v>
      </c>
      <c r="M110" s="2"/>
      <c r="N110" s="7">
        <f t="shared" si="79"/>
        <v>0</v>
      </c>
      <c r="O110" s="11"/>
      <c r="P110" s="6">
        <v>299.20999999999998</v>
      </c>
      <c r="Q110" s="2"/>
      <c r="R110" s="7">
        <f t="shared" si="80"/>
        <v>9.2661044018093044E-5</v>
      </c>
      <c r="S110" s="2"/>
      <c r="T110" s="6">
        <v>51.82</v>
      </c>
      <c r="U110" s="2"/>
      <c r="V110" s="7">
        <f t="shared" si="81"/>
        <v>1.5748831627855222E-5</v>
      </c>
      <c r="W110" s="2"/>
      <c r="X110" s="6">
        <f t="shared" si="82"/>
        <v>247.39</v>
      </c>
      <c r="Y110" s="2"/>
      <c r="Z110" s="7">
        <f t="shared" si="83"/>
        <v>4.7740254727904281</v>
      </c>
    </row>
    <row r="111" spans="1:26" s="24" customFormat="1" hidden="1" outlineLevel="2" x14ac:dyDescent="0.25">
      <c r="A111" s="26"/>
      <c r="B111" s="11" t="str">
        <f>CONCATENATE("          ", "6247", " - ", "STORE SUPPLIES")</f>
        <v xml:space="preserve">          6247 - STORE SUPPLIES</v>
      </c>
      <c r="C111" s="11"/>
      <c r="D111" s="6">
        <v>3199.16</v>
      </c>
      <c r="E111" s="2"/>
      <c r="F111" s="7">
        <f t="shared" si="76"/>
        <v>2.2839431286195682E-3</v>
      </c>
      <c r="G111" s="2"/>
      <c r="H111" s="6">
        <v>2636.46</v>
      </c>
      <c r="I111" s="2"/>
      <c r="J111" s="7">
        <f t="shared" si="77"/>
        <v>1.8842012853199212E-3</v>
      </c>
      <c r="K111" s="2"/>
      <c r="L111" s="6">
        <f t="shared" si="78"/>
        <v>562.69999999999982</v>
      </c>
      <c r="M111" s="2"/>
      <c r="N111" s="7">
        <f t="shared" si="79"/>
        <v>0.21343012979525569</v>
      </c>
      <c r="O111" s="11"/>
      <c r="P111" s="6">
        <v>26158.11</v>
      </c>
      <c r="Q111" s="2"/>
      <c r="R111" s="7">
        <f t="shared" si="80"/>
        <v>8.1007913577090338E-3</v>
      </c>
      <c r="S111" s="2"/>
      <c r="T111" s="6">
        <v>18556.2</v>
      </c>
      <c r="U111" s="2"/>
      <c r="V111" s="7">
        <f t="shared" si="81"/>
        <v>5.6394918844617338E-3</v>
      </c>
      <c r="W111" s="2"/>
      <c r="X111" s="6">
        <f t="shared" si="82"/>
        <v>7601.91</v>
      </c>
      <c r="Y111" s="2"/>
      <c r="Z111" s="7">
        <f t="shared" si="83"/>
        <v>0.40966954441103243</v>
      </c>
    </row>
    <row r="112" spans="1:26" s="24" customFormat="1" hidden="1" outlineLevel="2" x14ac:dyDescent="0.25">
      <c r="A112" s="26"/>
      <c r="B112" s="11" t="str">
        <f>CONCATENATE("          ", "6248", " - ", "UNIFORMS")</f>
        <v xml:space="preserve">          6248 - UNIFORMS</v>
      </c>
      <c r="C112" s="11"/>
      <c r="D112" s="6">
        <v>139.41</v>
      </c>
      <c r="E112" s="2"/>
      <c r="F112" s="7">
        <f t="shared" si="76"/>
        <v>9.9527535840925123E-5</v>
      </c>
      <c r="G112" s="2"/>
      <c r="H112" s="6">
        <v>28.29</v>
      </c>
      <c r="I112" s="2"/>
      <c r="J112" s="7">
        <f t="shared" si="77"/>
        <v>2.0218040236415713E-5</v>
      </c>
      <c r="K112" s="2"/>
      <c r="L112" s="6">
        <f t="shared" si="78"/>
        <v>111.12</v>
      </c>
      <c r="M112" s="2"/>
      <c r="N112" s="7">
        <f t="shared" si="79"/>
        <v>3.9278897136797459</v>
      </c>
      <c r="O112" s="11"/>
      <c r="P112" s="6">
        <v>3483.24</v>
      </c>
      <c r="Q112" s="2"/>
      <c r="R112" s="7">
        <f t="shared" si="80"/>
        <v>1.0787094514407354E-3</v>
      </c>
      <c r="S112" s="2"/>
      <c r="T112" s="6">
        <v>7951.16</v>
      </c>
      <c r="U112" s="2"/>
      <c r="V112" s="7">
        <f t="shared" si="81"/>
        <v>2.4164700904310559E-3</v>
      </c>
      <c r="W112" s="2"/>
      <c r="X112" s="6">
        <f t="shared" si="82"/>
        <v>-4467.92</v>
      </c>
      <c r="Y112" s="2"/>
      <c r="Z112" s="7">
        <f t="shared" si="83"/>
        <v>-0.56192052480392796</v>
      </c>
    </row>
    <row r="113" spans="1:26" s="27" customFormat="1" outlineLevel="1" collapsed="1" x14ac:dyDescent="0.25">
      <c r="A113" s="25"/>
      <c r="B113" s="13" t="str">
        <f>CONCATENATE("     ","Telephone/Data Lines                              ")</f>
        <v xml:space="preserve">     Telephone/Data Lines                              </v>
      </c>
      <c r="C113" s="13"/>
      <c r="D113" s="1">
        <f>SUM(OSRRefD22_21x_0)</f>
        <v>2748.98</v>
      </c>
      <c r="E113" s="1"/>
      <c r="F113" s="5">
        <f t="shared" ref="F113:F120" si="84">IF(D$12=0,0,D113/D$12)</f>
        <v>1.9625507888672718E-3</v>
      </c>
      <c r="G113" s="1"/>
      <c r="H113" s="1">
        <f>SUM(OSRRefH22_21x_0)</f>
        <v>2297.09</v>
      </c>
      <c r="I113" s="1"/>
      <c r="J113" s="5">
        <f t="shared" ref="J113:J120" si="85">IF(H$12=0,0,H113/H$12)</f>
        <v>1.6416634162837813E-3</v>
      </c>
      <c r="K113" s="1"/>
      <c r="L113" s="1">
        <f t="shared" ref="L113:L120" si="86">+D113-H113</f>
        <v>451.88999999999987</v>
      </c>
      <c r="M113" s="1"/>
      <c r="N113" s="5">
        <f t="shared" ref="N113:N120" si="87">IF(H113=0,0,L113/H113)</f>
        <v>0.19672281016416415</v>
      </c>
      <c r="O113" s="13"/>
      <c r="P113" s="1">
        <f>SUM(OSRRefP22_21x_0)</f>
        <v>8492.4500000000007</v>
      </c>
      <c r="Q113" s="1"/>
      <c r="R113" s="5">
        <f t="shared" ref="R113:R120" si="88">IF(P$12=0,0,P113/P$12)</f>
        <v>2.6299899176880936E-3</v>
      </c>
      <c r="S113" s="1"/>
      <c r="T113" s="1">
        <f>SUM(OSRRefT22_21x_0)</f>
        <v>9212.31</v>
      </c>
      <c r="U113" s="1"/>
      <c r="V113" s="5">
        <f t="shared" ref="V113:V120" si="89">IF(T$12=0,0,T113/T$12)</f>
        <v>2.7997514298264553E-3</v>
      </c>
      <c r="W113" s="1"/>
      <c r="X113" s="1">
        <f t="shared" ref="X113:X120" si="90">+P113-T113</f>
        <v>-719.85999999999876</v>
      </c>
      <c r="Y113" s="1"/>
      <c r="Z113" s="5">
        <f t="shared" ref="Z113:Z120" si="91">IF(T113=0,0,X113/T113)</f>
        <v>-7.814109599003928E-2</v>
      </c>
    </row>
    <row r="114" spans="1:26" s="24" customFormat="1" hidden="1" outlineLevel="2" x14ac:dyDescent="0.25">
      <c r="A114" s="26"/>
      <c r="B114" s="11" t="str">
        <f>CONCATENATE("          ", "6309", " - ", "TELEPHONE")</f>
        <v xml:space="preserve">          6309 - TELEPHONE</v>
      </c>
      <c r="C114" s="11"/>
      <c r="D114" s="6">
        <v>2748.98</v>
      </c>
      <c r="E114" s="2"/>
      <c r="F114" s="7">
        <f t="shared" si="84"/>
        <v>1.9625507888672718E-3</v>
      </c>
      <c r="G114" s="2"/>
      <c r="H114" s="6">
        <v>2297.09</v>
      </c>
      <c r="I114" s="2"/>
      <c r="J114" s="7">
        <f t="shared" si="85"/>
        <v>1.6416634162837813E-3</v>
      </c>
      <c r="K114" s="2"/>
      <c r="L114" s="6">
        <f t="shared" si="86"/>
        <v>451.88999999999987</v>
      </c>
      <c r="M114" s="2"/>
      <c r="N114" s="7">
        <f t="shared" si="87"/>
        <v>0.19672281016416415</v>
      </c>
      <c r="O114" s="11"/>
      <c r="P114" s="6">
        <v>8492.4500000000007</v>
      </c>
      <c r="Q114" s="2"/>
      <c r="R114" s="7">
        <f t="shared" si="88"/>
        <v>2.6299899176880936E-3</v>
      </c>
      <c r="S114" s="2"/>
      <c r="T114" s="6">
        <v>9212.31</v>
      </c>
      <c r="U114" s="2"/>
      <c r="V114" s="7">
        <f t="shared" si="89"/>
        <v>2.7997514298264553E-3</v>
      </c>
      <c r="W114" s="2"/>
      <c r="X114" s="6">
        <f t="shared" si="90"/>
        <v>-719.85999999999876</v>
      </c>
      <c r="Y114" s="2"/>
      <c r="Z114" s="7">
        <f t="shared" si="91"/>
        <v>-7.814109599003928E-2</v>
      </c>
    </row>
    <row r="115" spans="1:26" s="27" customFormat="1" outlineLevel="1" collapsed="1" x14ac:dyDescent="0.25">
      <c r="A115" s="25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SUM(OSRRefD22_22x_0)</f>
        <v>188.95</v>
      </c>
      <c r="E115" s="1"/>
      <c r="F115" s="5">
        <f t="shared" si="84"/>
        <v>1.34895114390236E-4</v>
      </c>
      <c r="G115" s="1"/>
      <c r="H115" s="1">
        <f>SUM(OSRRefH22_22x_0)</f>
        <v>62.5</v>
      </c>
      <c r="I115" s="1"/>
      <c r="J115" s="5">
        <f t="shared" si="85"/>
        <v>4.4666932300317502E-5</v>
      </c>
      <c r="K115" s="1"/>
      <c r="L115" s="1">
        <f t="shared" si="86"/>
        <v>126.44999999999999</v>
      </c>
      <c r="M115" s="1"/>
      <c r="N115" s="5">
        <f t="shared" si="87"/>
        <v>2.0231999999999997</v>
      </c>
      <c r="O115" s="13"/>
      <c r="P115" s="1">
        <f>SUM(OSRRefP22_22x_0)</f>
        <v>1663.5</v>
      </c>
      <c r="Q115" s="1"/>
      <c r="R115" s="5">
        <f t="shared" si="88"/>
        <v>5.1516208256441223E-4</v>
      </c>
      <c r="S115" s="1"/>
      <c r="T115" s="1">
        <f>SUM(OSRRefT22_22x_0)</f>
        <v>789.3</v>
      </c>
      <c r="U115" s="1"/>
      <c r="V115" s="5">
        <f t="shared" si="89"/>
        <v>2.3987944430463383E-4</v>
      </c>
      <c r="W115" s="1"/>
      <c r="X115" s="1">
        <f t="shared" si="90"/>
        <v>874.2</v>
      </c>
      <c r="Y115" s="1"/>
      <c r="Z115" s="5">
        <f t="shared" si="91"/>
        <v>1.1075636640060815</v>
      </c>
    </row>
    <row r="116" spans="1:26" s="24" customFormat="1" hidden="1" outlineLevel="2" x14ac:dyDescent="0.25">
      <c r="A116" s="26"/>
      <c r="B116" s="11" t="str">
        <f>CONCATENATE("          ", "6376", " - ", "TRAINING")</f>
        <v xml:space="preserve">          6376 - TRAINING</v>
      </c>
      <c r="C116" s="11"/>
      <c r="D116" s="6">
        <v>188.95</v>
      </c>
      <c r="E116" s="2"/>
      <c r="F116" s="7">
        <f t="shared" si="84"/>
        <v>1.34895114390236E-4</v>
      </c>
      <c r="G116" s="2"/>
      <c r="H116" s="6">
        <v>62.5</v>
      </c>
      <c r="I116" s="2"/>
      <c r="J116" s="7">
        <f t="shared" si="85"/>
        <v>4.4666932300317502E-5</v>
      </c>
      <c r="K116" s="2"/>
      <c r="L116" s="6">
        <f t="shared" si="86"/>
        <v>126.44999999999999</v>
      </c>
      <c r="M116" s="2"/>
      <c r="N116" s="7">
        <f t="shared" si="87"/>
        <v>2.0231999999999997</v>
      </c>
      <c r="O116" s="11"/>
      <c r="P116" s="6">
        <v>1663.5</v>
      </c>
      <c r="Q116" s="2"/>
      <c r="R116" s="7">
        <f t="shared" si="88"/>
        <v>5.1516208256441223E-4</v>
      </c>
      <c r="S116" s="2"/>
      <c r="T116" s="6">
        <v>789.3</v>
      </c>
      <c r="U116" s="2"/>
      <c r="V116" s="7">
        <f t="shared" si="89"/>
        <v>2.3987944430463383E-4</v>
      </c>
      <c r="W116" s="2"/>
      <c r="X116" s="6">
        <f t="shared" si="90"/>
        <v>874.2</v>
      </c>
      <c r="Y116" s="2"/>
      <c r="Z116" s="7">
        <f t="shared" si="91"/>
        <v>1.1075636640060815</v>
      </c>
    </row>
    <row r="117" spans="1:26" s="27" customFormat="1" outlineLevel="1" collapsed="1" x14ac:dyDescent="0.25">
      <c r="A117" s="25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SUM(OSRRefD22_23x_0)</f>
        <v>0</v>
      </c>
      <c r="E117" s="1"/>
      <c r="F117" s="5">
        <f t="shared" si="84"/>
        <v>0</v>
      </c>
      <c r="G117" s="1"/>
      <c r="H117" s="1">
        <f>SUM(OSRRefH22_23x_0)</f>
        <v>249.39</v>
      </c>
      <c r="I117" s="1"/>
      <c r="J117" s="5">
        <f t="shared" si="85"/>
        <v>1.782317799420189E-4</v>
      </c>
      <c r="K117" s="1"/>
      <c r="L117" s="1">
        <f t="shared" si="86"/>
        <v>-249.39</v>
      </c>
      <c r="M117" s="1"/>
      <c r="N117" s="5">
        <f t="shared" si="87"/>
        <v>-1</v>
      </c>
      <c r="O117" s="13"/>
      <c r="P117" s="1">
        <f>SUM(OSRRefP22_23x_0)</f>
        <v>1101.18</v>
      </c>
      <c r="Q117" s="1"/>
      <c r="R117" s="5">
        <f t="shared" si="88"/>
        <v>3.4101964657546111E-4</v>
      </c>
      <c r="S117" s="1"/>
      <c r="T117" s="1">
        <f>SUM(OSRRefT22_23x_0)</f>
        <v>1917.41</v>
      </c>
      <c r="U117" s="1"/>
      <c r="V117" s="5">
        <f t="shared" si="89"/>
        <v>5.8272804422164958E-4</v>
      </c>
      <c r="W117" s="1"/>
      <c r="X117" s="1">
        <f t="shared" si="90"/>
        <v>-816.23</v>
      </c>
      <c r="Y117" s="1"/>
      <c r="Z117" s="5">
        <f t="shared" si="91"/>
        <v>-0.42569403518287691</v>
      </c>
    </row>
    <row r="118" spans="1:26" s="24" customFormat="1" hidden="1" outlineLevel="2" x14ac:dyDescent="0.25">
      <c r="A118" s="26"/>
      <c r="B118" s="11" t="str">
        <f>CONCATENATE("          ", "6292", " - ", "TRAVEL/CONFERENCE")</f>
        <v xml:space="preserve">          6292 - TRAVEL/CONFERENCE</v>
      </c>
      <c r="C118" s="11"/>
      <c r="D118" s="6"/>
      <c r="E118" s="2"/>
      <c r="F118" s="7">
        <f t="shared" si="84"/>
        <v>0</v>
      </c>
      <c r="G118" s="2"/>
      <c r="H118" s="6">
        <v>122.66</v>
      </c>
      <c r="I118" s="2"/>
      <c r="J118" s="7">
        <f t="shared" si="85"/>
        <v>8.7661534655311113E-5</v>
      </c>
      <c r="K118" s="2"/>
      <c r="L118" s="6">
        <f t="shared" si="86"/>
        <v>-122.66</v>
      </c>
      <c r="M118" s="2"/>
      <c r="N118" s="7">
        <f t="shared" si="87"/>
        <v>-1</v>
      </c>
      <c r="O118" s="11"/>
      <c r="P118" s="6">
        <v>545.69000000000005</v>
      </c>
      <c r="Q118" s="2"/>
      <c r="R118" s="7">
        <f t="shared" si="88"/>
        <v>1.6899236359156847E-4</v>
      </c>
      <c r="S118" s="2"/>
      <c r="T118" s="6">
        <v>312.74</v>
      </c>
      <c r="U118" s="2"/>
      <c r="V118" s="7">
        <f t="shared" si="89"/>
        <v>9.5046113533296829E-5</v>
      </c>
      <c r="W118" s="2"/>
      <c r="X118" s="6">
        <f t="shared" si="90"/>
        <v>232.95000000000005</v>
      </c>
      <c r="Y118" s="2"/>
      <c r="Z118" s="7">
        <f t="shared" si="91"/>
        <v>0.74486794142098878</v>
      </c>
    </row>
    <row r="119" spans="1:26" s="24" customFormat="1" hidden="1" outlineLevel="2" x14ac:dyDescent="0.25">
      <c r="A119" s="26"/>
      <c r="B119" s="11" t="str">
        <f>CONCATENATE("          ", "6294", " - ", "TRAVEL OPERATIONAL")</f>
        <v xml:space="preserve">          6294 - TRAVEL OPERATIONAL</v>
      </c>
      <c r="C119" s="11"/>
      <c r="D119" s="6"/>
      <c r="E119" s="2"/>
      <c r="F119" s="7">
        <f t="shared" si="84"/>
        <v>0</v>
      </c>
      <c r="G119" s="2"/>
      <c r="H119" s="6"/>
      <c r="I119" s="2"/>
      <c r="J119" s="7">
        <f t="shared" si="85"/>
        <v>0</v>
      </c>
      <c r="K119" s="2"/>
      <c r="L119" s="6">
        <f t="shared" si="86"/>
        <v>0</v>
      </c>
      <c r="M119" s="2"/>
      <c r="N119" s="7">
        <f t="shared" si="87"/>
        <v>0</v>
      </c>
      <c r="O119" s="11"/>
      <c r="P119" s="6">
        <v>45.49</v>
      </c>
      <c r="Q119" s="2"/>
      <c r="R119" s="7">
        <f t="shared" si="88"/>
        <v>1.4087600322125107E-5</v>
      </c>
      <c r="S119" s="2"/>
      <c r="T119" s="6">
        <v>1258.9000000000001</v>
      </c>
      <c r="U119" s="2"/>
      <c r="V119" s="7">
        <f t="shared" si="89"/>
        <v>3.8259753254162368E-4</v>
      </c>
      <c r="W119" s="2"/>
      <c r="X119" s="6">
        <f t="shared" si="90"/>
        <v>-1213.4100000000001</v>
      </c>
      <c r="Y119" s="2"/>
      <c r="Z119" s="7">
        <f t="shared" si="91"/>
        <v>-0.96386527921201048</v>
      </c>
    </row>
    <row r="120" spans="1:26" s="24" customFormat="1" hidden="1" outlineLevel="2" x14ac:dyDescent="0.25">
      <c r="A120" s="26"/>
      <c r="B120" s="11" t="str">
        <f>CONCATENATE("          ", "6298", " - ", "VEHICLE MILEAGE")</f>
        <v xml:space="preserve">          6298 - VEHICLE MILEAGE</v>
      </c>
      <c r="C120" s="11"/>
      <c r="D120" s="6"/>
      <c r="E120" s="2"/>
      <c r="F120" s="7">
        <f t="shared" si="84"/>
        <v>0</v>
      </c>
      <c r="G120" s="2"/>
      <c r="H120" s="6">
        <v>126.73</v>
      </c>
      <c r="I120" s="2"/>
      <c r="J120" s="7">
        <f t="shared" si="85"/>
        <v>9.0570245286707797E-5</v>
      </c>
      <c r="K120" s="2"/>
      <c r="L120" s="6">
        <f t="shared" si="86"/>
        <v>-126.73</v>
      </c>
      <c r="M120" s="2"/>
      <c r="N120" s="7">
        <f t="shared" si="87"/>
        <v>-1</v>
      </c>
      <c r="O120" s="11"/>
      <c r="P120" s="6">
        <v>510</v>
      </c>
      <c r="Q120" s="2"/>
      <c r="R120" s="7">
        <f t="shared" si="88"/>
        <v>1.5793968266176751E-4</v>
      </c>
      <c r="S120" s="2"/>
      <c r="T120" s="6">
        <v>345.77</v>
      </c>
      <c r="U120" s="2"/>
      <c r="V120" s="7">
        <f t="shared" si="89"/>
        <v>1.0508439814672906E-4</v>
      </c>
      <c r="W120" s="2"/>
      <c r="X120" s="6">
        <f t="shared" si="90"/>
        <v>164.23000000000002</v>
      </c>
      <c r="Y120" s="2"/>
      <c r="Z120" s="7">
        <f t="shared" si="91"/>
        <v>0.47496890996905466</v>
      </c>
    </row>
    <row r="121" spans="1:26" s="27" customFormat="1" outlineLevel="1" collapsed="1" x14ac:dyDescent="0.25">
      <c r="A121" s="25"/>
      <c r="B121" s="13" t="str">
        <f>CONCATENATE("     ","Utilities                                         ")</f>
        <v xml:space="preserve">     Utilities                                         </v>
      </c>
      <c r="C121" s="13"/>
      <c r="D121" s="1">
        <f>SUM(OSRRefD22_24x_0)</f>
        <v>14696</v>
      </c>
      <c r="E121" s="1"/>
      <c r="F121" s="5">
        <f t="shared" ref="F121:F122" si="92">IF(D$12=0,0,D121/D$12)</f>
        <v>1.0491762905948179E-2</v>
      </c>
      <c r="G121" s="1"/>
      <c r="H121" s="1">
        <f>SUM(OSRRefH22_24x_0)</f>
        <v>-11215</v>
      </c>
      <c r="I121" s="1"/>
      <c r="J121" s="5">
        <f t="shared" ref="J121:J122" si="93">IF(H$12=0,0,H121/H$12)</f>
        <v>-8.0150343319689722E-3</v>
      </c>
      <c r="K121" s="1"/>
      <c r="L121" s="1">
        <f t="shared" ref="L121:L122" si="94">+D121-H121</f>
        <v>25911</v>
      </c>
      <c r="M121" s="1"/>
      <c r="N121" s="5">
        <f t="shared" ref="N121:N122" si="95">IF(H121=0,0,L121/H121)</f>
        <v>-2.3103878733838608</v>
      </c>
      <c r="O121" s="13"/>
      <c r="P121" s="1">
        <f>SUM(OSRRefP22_24x_0)</f>
        <v>46709.120000000003</v>
      </c>
      <c r="Q121" s="1"/>
      <c r="R121" s="5">
        <f t="shared" ref="R121:R122" si="96">IF(P$12=0,0,P121/P$12)</f>
        <v>1.4465144294530233E-2</v>
      </c>
      <c r="S121" s="1"/>
      <c r="T121" s="1">
        <f>SUM(OSRRefT22_24x_0)</f>
        <v>33238.22</v>
      </c>
      <c r="U121" s="1"/>
      <c r="V121" s="5">
        <f t="shared" ref="V121:V122" si="97">IF(T$12=0,0,T121/T$12)</f>
        <v>1.0101565619251447E-2</v>
      </c>
      <c r="W121" s="1"/>
      <c r="X121" s="1">
        <f t="shared" ref="X121:X122" si="98">+P121-T121</f>
        <v>13470.900000000001</v>
      </c>
      <c r="Y121" s="1"/>
      <c r="Z121" s="5">
        <f t="shared" ref="Z121:Z122" si="99">IF(T121=0,0,X121/T121)</f>
        <v>0.40528343575558501</v>
      </c>
    </row>
    <row r="122" spans="1:26" s="24" customFormat="1" hidden="1" outlineLevel="2" x14ac:dyDescent="0.25">
      <c r="A122" s="26"/>
      <c r="B122" s="11" t="str">
        <f>CONCATENATE("          ", "6274", " - ", "UTILITIES")</f>
        <v xml:space="preserve">          6274 - UTILITIES</v>
      </c>
      <c r="C122" s="11"/>
      <c r="D122" s="6">
        <v>14696</v>
      </c>
      <c r="E122" s="2"/>
      <c r="F122" s="7">
        <f t="shared" si="92"/>
        <v>1.0491762905948179E-2</v>
      </c>
      <c r="G122" s="2"/>
      <c r="H122" s="6">
        <v>-11215</v>
      </c>
      <c r="I122" s="2"/>
      <c r="J122" s="7">
        <f t="shared" si="93"/>
        <v>-8.0150343319689722E-3</v>
      </c>
      <c r="K122" s="2"/>
      <c r="L122" s="6">
        <f t="shared" si="94"/>
        <v>25911</v>
      </c>
      <c r="M122" s="2"/>
      <c r="N122" s="7">
        <f t="shared" si="95"/>
        <v>-2.3103878733838608</v>
      </c>
      <c r="O122" s="11"/>
      <c r="P122" s="6">
        <v>46709.120000000003</v>
      </c>
      <c r="Q122" s="2"/>
      <c r="R122" s="7">
        <f t="shared" si="96"/>
        <v>1.4465144294530233E-2</v>
      </c>
      <c r="S122" s="2"/>
      <c r="T122" s="6">
        <v>33238.22</v>
      </c>
      <c r="U122" s="2"/>
      <c r="V122" s="7">
        <f t="shared" si="97"/>
        <v>1.0101565619251447E-2</v>
      </c>
      <c r="W122" s="2"/>
      <c r="X122" s="6">
        <f t="shared" si="98"/>
        <v>13470.900000000001</v>
      </c>
      <c r="Y122" s="2"/>
      <c r="Z122" s="7">
        <f t="shared" si="99"/>
        <v>0.40528343575558501</v>
      </c>
    </row>
    <row r="123" spans="1:26" s="55" customFormat="1" x14ac:dyDescent="0.25">
      <c r="A123" s="37"/>
      <c r="B123" s="37"/>
      <c r="C123" s="37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7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collapsed="1" x14ac:dyDescent="0.25">
      <c r="A124" s="10"/>
      <c r="B124" s="29" t="s">
        <v>0</v>
      </c>
      <c r="C124" s="10"/>
      <c r="D124" s="4">
        <f>SUM(OSRRefD25x_0)</f>
        <v>123863.64</v>
      </c>
      <c r="E124" s="4"/>
      <c r="F124" s="12">
        <f t="shared" ref="F124:F127" si="100">IF(D$12=0,0,D124/D$12)</f>
        <v>8.8428684237052191E-2</v>
      </c>
      <c r="G124" s="4"/>
      <c r="H124" s="4">
        <f>SUM(OSRRefH25x_0)</f>
        <v>63929.899999999994</v>
      </c>
      <c r="I124" s="4"/>
      <c r="J124" s="12">
        <f t="shared" ref="J124:J127" si="101">IF(H$12=0,0,H124/H$12)</f>
        <v>4.5688840244257081E-2</v>
      </c>
      <c r="K124" s="4"/>
      <c r="L124" s="4">
        <f t="shared" ref="L124:L127" si="102">+D124-H124</f>
        <v>59933.740000000005</v>
      </c>
      <c r="M124" s="4"/>
      <c r="N124" s="12">
        <f t="shared" ref="N124:N127" si="103">IF(H124=0,0,L124/H124)</f>
        <v>0.93749153369550098</v>
      </c>
      <c r="O124" s="10"/>
      <c r="P124" s="4">
        <f>SUM(OSRRefP25x_0)</f>
        <v>426524.63</v>
      </c>
      <c r="Q124" s="4"/>
      <c r="R124" s="12">
        <f t="shared" ref="R124:R127" si="104">IF(P$12=0,0,P124/P$12)</f>
        <v>0.13208855825417218</v>
      </c>
      <c r="S124" s="4"/>
      <c r="T124" s="4">
        <f>SUM(OSRRefT25x_0)</f>
        <v>332923.26</v>
      </c>
      <c r="U124" s="4"/>
      <c r="V124" s="12">
        <f t="shared" ref="V124:V127" si="105">IF(T$12=0,0,T124/T$12)</f>
        <v>0.10118009198642738</v>
      </c>
      <c r="W124" s="4"/>
      <c r="X124" s="4">
        <f t="shared" ref="X124:X127" si="106">+P124-T124</f>
        <v>93601.37</v>
      </c>
      <c r="Y124" s="4"/>
      <c r="Z124" s="12">
        <f t="shared" ref="Z124:Z127" si="107">IF(T124=0,0,X124/T124)</f>
        <v>0.28114998633619048</v>
      </c>
    </row>
    <row r="125" spans="1:26" s="24" customFormat="1" hidden="1" outlineLevel="1" x14ac:dyDescent="0.25">
      <c r="A125" s="44"/>
      <c r="B125" s="11" t="str">
        <f>CONCATENATE("          ", "9150", " - ", "MISC. INCOME")</f>
        <v xml:space="preserve">          9150 - MISC. INCOME</v>
      </c>
      <c r="C125" s="11"/>
      <c r="D125" s="2">
        <f>--50769.74</f>
        <v>50769.74</v>
      </c>
      <c r="E125" s="2"/>
      <c r="F125" s="19">
        <f t="shared" si="100"/>
        <v>3.624551407707087E-2</v>
      </c>
      <c r="G125" s="2"/>
      <c r="H125" s="2">
        <f>--46010.97</f>
        <v>46010.97</v>
      </c>
      <c r="I125" s="2"/>
      <c r="J125" s="19">
        <f t="shared" si="101"/>
        <v>3.2882702112991033E-2</v>
      </c>
      <c r="K125" s="2"/>
      <c r="L125" s="2">
        <f t="shared" si="102"/>
        <v>4758.7699999999968</v>
      </c>
      <c r="M125" s="2"/>
      <c r="N125" s="19">
        <f t="shared" si="103"/>
        <v>0.10342685668222158</v>
      </c>
      <c r="O125" s="11"/>
      <c r="P125" s="2">
        <f>--117296.68</f>
        <v>117296.68</v>
      </c>
      <c r="Q125" s="2"/>
      <c r="R125" s="19">
        <f t="shared" si="104"/>
        <v>3.6325098855840961E-2</v>
      </c>
      <c r="S125" s="2"/>
      <c r="T125" s="2">
        <f>--76307.48</f>
        <v>76307.48</v>
      </c>
      <c r="U125" s="2"/>
      <c r="V125" s="19">
        <f t="shared" si="105"/>
        <v>2.3190923474834615E-2</v>
      </c>
      <c r="W125" s="2"/>
      <c r="X125" s="2">
        <f t="shared" si="106"/>
        <v>40989.199999999997</v>
      </c>
      <c r="Y125" s="2"/>
      <c r="Z125" s="19">
        <f t="shared" si="107"/>
        <v>0.53715834935185902</v>
      </c>
    </row>
    <row r="126" spans="1:26" s="24" customFormat="1" hidden="1" outlineLevel="1" x14ac:dyDescent="0.25">
      <c r="A126" s="44"/>
      <c r="B126" s="11" t="str">
        <f>CONCATENATE("          ", "9160", " - ", "MISC. INCOME")</f>
        <v xml:space="preserve">          9160 - MISC. INCOME</v>
      </c>
      <c r="C126" s="11"/>
      <c r="D126" s="2">
        <f>--65384.61</f>
        <v>65384.61</v>
      </c>
      <c r="E126" s="2"/>
      <c r="F126" s="19">
        <f t="shared" si="100"/>
        <v>4.6679356683307589E-2</v>
      </c>
      <c r="G126" s="2"/>
      <c r="H126" s="2">
        <f>--9962.34</f>
        <v>9962.34</v>
      </c>
      <c r="I126" s="2"/>
      <c r="J126" s="19">
        <f t="shared" si="101"/>
        <v>7.1197946613239206E-3</v>
      </c>
      <c r="K126" s="2"/>
      <c r="L126" s="2">
        <f t="shared" si="102"/>
        <v>55422.270000000004</v>
      </c>
      <c r="M126" s="2"/>
      <c r="N126" s="19">
        <f t="shared" si="103"/>
        <v>5.5631779280771392</v>
      </c>
      <c r="O126" s="11"/>
      <c r="P126" s="2">
        <f>--96357.88</f>
        <v>96357.88</v>
      </c>
      <c r="Q126" s="2"/>
      <c r="R126" s="19">
        <f t="shared" si="104"/>
        <v>2.9840652919922894E-2</v>
      </c>
      <c r="S126" s="2"/>
      <c r="T126" s="2">
        <f>--45404.5</f>
        <v>45404.5</v>
      </c>
      <c r="U126" s="2"/>
      <c r="V126" s="19">
        <f t="shared" si="105"/>
        <v>1.3799070352121814E-2</v>
      </c>
      <c r="W126" s="2"/>
      <c r="X126" s="2">
        <f t="shared" si="106"/>
        <v>50953.380000000005</v>
      </c>
      <c r="Y126" s="2"/>
      <c r="Z126" s="19">
        <f t="shared" si="107"/>
        <v>1.122209913114339</v>
      </c>
    </row>
    <row r="127" spans="1:26" s="24" customFormat="1" hidden="1" outlineLevel="1" x14ac:dyDescent="0.25">
      <c r="A127" s="44"/>
      <c r="B127" s="11" t="str">
        <f>CONCATENATE("          ", "9165", " - ", "OTHER INCOME")</f>
        <v xml:space="preserve">          9165 - OTHER INCOME</v>
      </c>
      <c r="C127" s="11"/>
      <c r="D127" s="2">
        <f>--7709.29</f>
        <v>7709.29</v>
      </c>
      <c r="E127" s="2"/>
      <c r="F127" s="19">
        <f t="shared" si="100"/>
        <v>5.5038134766737367E-3</v>
      </c>
      <c r="G127" s="2"/>
      <c r="H127" s="2">
        <f>--7956.59</f>
        <v>7956.59</v>
      </c>
      <c r="I127" s="2"/>
      <c r="J127" s="19">
        <f t="shared" si="101"/>
        <v>5.686343469942132E-3</v>
      </c>
      <c r="K127" s="2"/>
      <c r="L127" s="2">
        <f t="shared" si="102"/>
        <v>-247.30000000000018</v>
      </c>
      <c r="M127" s="2"/>
      <c r="N127" s="19">
        <f t="shared" si="103"/>
        <v>-3.1081154112502993E-2</v>
      </c>
      <c r="O127" s="11"/>
      <c r="P127" s="2">
        <f>--212870.07</f>
        <v>212870.07</v>
      </c>
      <c r="Q127" s="2"/>
      <c r="R127" s="19">
        <f t="shared" si="104"/>
        <v>6.5922806478408313E-2</v>
      </c>
      <c r="S127" s="2"/>
      <c r="T127" s="2">
        <f>--211211.28</f>
        <v>211211.28</v>
      </c>
      <c r="U127" s="2"/>
      <c r="V127" s="19">
        <f t="shared" si="105"/>
        <v>6.4190098159470951E-2</v>
      </c>
      <c r="W127" s="2"/>
      <c r="X127" s="2">
        <f t="shared" si="106"/>
        <v>1658.7900000000081</v>
      </c>
      <c r="Y127" s="2"/>
      <c r="Z127" s="19">
        <f t="shared" si="107"/>
        <v>7.853699859212103E-3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8" t="s">
        <v>3</v>
      </c>
      <c r="C129" s="28"/>
      <c r="D129" s="21">
        <f>+D36-D38+D124</f>
        <v>278387.7300000001</v>
      </c>
      <c r="E129" s="14"/>
      <c r="F129" s="22">
        <f>IF(D$12=0,0,D129/D$12)</f>
        <v>0.1987464656426999</v>
      </c>
      <c r="G129" s="14"/>
      <c r="H129" s="21">
        <f>+H36-H38+H124</f>
        <v>243237.17</v>
      </c>
      <c r="I129" s="14"/>
      <c r="J129" s="22">
        <f>IF(H$12=0,0,H129/H$12)</f>
        <v>0.17383453128497312</v>
      </c>
      <c r="K129" s="16"/>
      <c r="L129" s="21">
        <f>+D129-H129</f>
        <v>35150.560000000085</v>
      </c>
      <c r="M129" s="16"/>
      <c r="N129" s="22">
        <f>IF(H129=0,0,L129/H129)</f>
        <v>0.14451146590794525</v>
      </c>
      <c r="O129" s="29"/>
      <c r="P129" s="21">
        <f>+P36-P38+P124</f>
        <v>69646.709999999148</v>
      </c>
      <c r="Q129" s="14"/>
      <c r="R129" s="22">
        <f>IF(P$12=0,0,P129/P$12)</f>
        <v>2.1568586815364735E-2</v>
      </c>
      <c r="S129" s="14"/>
      <c r="T129" s="21">
        <f>+T36-T38+T124</f>
        <v>234309.16999999876</v>
      </c>
      <c r="U129" s="14"/>
      <c r="V129" s="22">
        <f>IF(T$12=0,0,T129/T$12)</f>
        <v>7.1209873932699466E-2</v>
      </c>
      <c r="W129" s="16"/>
      <c r="X129" s="21">
        <f>+P129-T129</f>
        <v>-164662.45999999961</v>
      </c>
      <c r="Y129" s="16"/>
      <c r="Z129" s="22">
        <f>IF(T129=0,0,X129/T129)</f>
        <v>-0.70275721603213603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1"/>
      <c r="B131" s="10" t="s">
        <v>13</v>
      </c>
      <c r="C131" s="10"/>
      <c r="D131" s="4">
        <v>128657.12</v>
      </c>
      <c r="E131" s="4"/>
      <c r="F131" s="12">
        <f>IF(D$12=0,0,D131/D$12)</f>
        <v>9.1850843712719343E-2</v>
      </c>
      <c r="G131" s="4"/>
      <c r="H131" s="4">
        <v>134166.01</v>
      </c>
      <c r="I131" s="4"/>
      <c r="J131" s="12">
        <f>IF(H$12=0,0,H131/H$12)</f>
        <v>9.5884545370779534E-2</v>
      </c>
      <c r="K131" s="4"/>
      <c r="L131" s="4">
        <f>+D131-H131</f>
        <v>-5508.890000000014</v>
      </c>
      <c r="M131" s="4"/>
      <c r="N131" s="12">
        <f>IF(H131=0,0,L131/H131)</f>
        <v>-4.1060250655139956E-2</v>
      </c>
      <c r="O131" s="10"/>
      <c r="P131" s="4">
        <v>325047.52</v>
      </c>
      <c r="Q131" s="4"/>
      <c r="R131" s="12">
        <f>IF(P$12=0,0,P131/P$12)</f>
        <v>0.1006625532525383</v>
      </c>
      <c r="S131" s="4"/>
      <c r="T131" s="4">
        <v>302189.88</v>
      </c>
      <c r="U131" s="4"/>
      <c r="V131" s="12">
        <f>IF(T$12=0,0,T131/T$12)</f>
        <v>9.1839782704781436E-2</v>
      </c>
      <c r="W131" s="4"/>
      <c r="X131" s="4">
        <f>+P131-T131</f>
        <v>22857.640000000014</v>
      </c>
      <c r="Y131" s="4"/>
      <c r="Z131" s="12">
        <f>IF(T131=0,0,X131/T131)</f>
        <v>7.563999165028297E-2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8" t="s">
        <v>4</v>
      </c>
      <c r="C133" s="28"/>
      <c r="D133" s="31">
        <f>+D129-D131</f>
        <v>149730.6100000001</v>
      </c>
      <c r="E133" s="14"/>
      <c r="F133" s="34">
        <f>IF(D$12=0,0,D133/D$12)</f>
        <v>0.10689562192998057</v>
      </c>
      <c r="G133" s="14"/>
      <c r="H133" s="31">
        <f>+H129-H131</f>
        <v>109071.16</v>
      </c>
      <c r="I133" s="14"/>
      <c r="J133" s="34">
        <f>IF(H$12=0,0,H133/H$12)</f>
        <v>7.7949985914193567E-2</v>
      </c>
      <c r="K133" s="16"/>
      <c r="L133" s="31">
        <f>D133-H133</f>
        <v>40659.450000000099</v>
      </c>
      <c r="M133" s="16"/>
      <c r="N133" s="34">
        <f>IF(H133=0,0,L133/H133)</f>
        <v>0.37277911044496176</v>
      </c>
      <c r="O133" s="29"/>
      <c r="P133" s="31">
        <f>+P129-P131</f>
        <v>-255400.81000000087</v>
      </c>
      <c r="Q133" s="14"/>
      <c r="R133" s="34">
        <f>IF(P$12=0,0,P133/P$12)</f>
        <v>-7.9093966437173563E-2</v>
      </c>
      <c r="S133" s="14"/>
      <c r="T133" s="31">
        <f>+T129-T131</f>
        <v>-67880.710000001243</v>
      </c>
      <c r="U133" s="14"/>
      <c r="V133" s="34">
        <f>IF(T$12=0,0,T133/T$12)</f>
        <v>-2.062990877208197E-2</v>
      </c>
      <c r="W133" s="16"/>
      <c r="X133" s="31">
        <f>P133-T133</f>
        <v>-187520.09999999963</v>
      </c>
      <c r="Y133" s="16"/>
      <c r="Z133" s="34">
        <f>IF(T133=0,0,X133/T133)</f>
        <v>2.7624946763225693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8" t="s">
        <v>5</v>
      </c>
      <c r="C136" s="28"/>
      <c r="D136" s="36">
        <f>SUM(D133:D135)</f>
        <v>149730.6100000001</v>
      </c>
      <c r="E136" s="14"/>
      <c r="F136" s="33">
        <f>IF(D$12=0,0,D136/D$12)</f>
        <v>0.10689562192998057</v>
      </c>
      <c r="G136" s="14"/>
      <c r="H136" s="36">
        <f>SUM(H133:H135)</f>
        <v>109071.16</v>
      </c>
      <c r="I136" s="14"/>
      <c r="J136" s="33">
        <f>IF(H$12=0,0,H136/H$12)</f>
        <v>7.7949985914193567E-2</v>
      </c>
      <c r="K136" s="16"/>
      <c r="L136" s="36">
        <f>+D136-H136</f>
        <v>40659.450000000099</v>
      </c>
      <c r="M136" s="16"/>
      <c r="N136" s="33">
        <f>IF(H136=0,0,L136/H136)</f>
        <v>0.37277911044496176</v>
      </c>
      <c r="O136" s="29"/>
      <c r="P136" s="36">
        <f>SUM(P133:P135)</f>
        <v>-255400.81000000087</v>
      </c>
      <c r="Q136" s="14"/>
      <c r="R136" s="33">
        <f>IF(P$12=0,0,P136/P$12)</f>
        <v>-7.9093966437173563E-2</v>
      </c>
      <c r="S136" s="14"/>
      <c r="T136" s="36">
        <f>SUM(T133:T135)</f>
        <v>-67880.710000001243</v>
      </c>
      <c r="U136" s="14"/>
      <c r="V136" s="33">
        <f>IF(T$12=0,0,T136/T$12)</f>
        <v>-2.062990877208197E-2</v>
      </c>
      <c r="W136" s="16"/>
      <c r="X136" s="36">
        <f>+P136-T136</f>
        <v>-187520.09999999963</v>
      </c>
      <c r="Y136" s="16"/>
      <c r="Z136" s="33">
        <f>IF(T136=0,0,X136/T136)</f>
        <v>2.7624946763225693</v>
      </c>
    </row>
    <row r="137" spans="1:26" ht="15.75" thickTop="1" x14ac:dyDescent="0.25">
      <c r="A137" s="9"/>
      <c r="C137" s="9"/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61">
        <v>43791.354916898148</v>
      </c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56" t="s">
        <v>313</v>
      </c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A140" s="9"/>
      <c r="B140" s="57"/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871131.28999999992</v>
      </c>
      <c r="E12" s="4"/>
      <c r="F12" s="12"/>
      <c r="G12" s="4"/>
      <c r="H12" s="4">
        <f>SUM(OSRRefH13x_0)</f>
        <v>907713.6399999999</v>
      </c>
      <c r="I12" s="4"/>
      <c r="J12" s="12"/>
      <c r="K12" s="4"/>
      <c r="L12" s="4">
        <f t="shared" ref="L12:L23" si="0">+D12-H12</f>
        <v>-36582.349999999977</v>
      </c>
      <c r="M12" s="4"/>
      <c r="N12" s="12">
        <f t="shared" ref="N12:N23" si="1">IF(H12=0,0,L12/H12)</f>
        <v>-4.0301641826160042E-2</v>
      </c>
      <c r="O12" s="10"/>
      <c r="P12" s="4">
        <f>SUM(OSRRefP13x_0)</f>
        <v>2111008.38</v>
      </c>
      <c r="Q12" s="4"/>
      <c r="R12" s="12"/>
      <c r="S12" s="4"/>
      <c r="T12" s="4">
        <f>SUM(OSRRefT13x_0)</f>
        <v>2218893.0300000003</v>
      </c>
      <c r="U12" s="4"/>
      <c r="V12" s="12"/>
      <c r="W12" s="4"/>
      <c r="X12" s="4">
        <f t="shared" ref="X12:X23" si="2">+P12-T12</f>
        <v>-107884.65000000037</v>
      </c>
      <c r="Y12" s="4"/>
      <c r="Z12" s="12">
        <f t="shared" ref="Z12:Z23" si="3">IF(T12=0,0,X12/T12)</f>
        <v>-4.8620933294833218E-2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--89845.91</f>
        <v>89845.91</v>
      </c>
      <c r="E13" s="2"/>
      <c r="F13" s="19"/>
      <c r="G13" s="2"/>
      <c r="H13" s="2">
        <f>--101395.98</f>
        <v>101395.98</v>
      </c>
      <c r="I13" s="2"/>
      <c r="J13" s="19"/>
      <c r="K13" s="2"/>
      <c r="L13" s="2">
        <f t="shared" si="0"/>
        <v>-11550.069999999992</v>
      </c>
      <c r="M13" s="2"/>
      <c r="N13" s="19">
        <f t="shared" si="1"/>
        <v>-0.11391053175875407</v>
      </c>
      <c r="O13" s="11"/>
      <c r="P13" s="2">
        <f>--225616.67</f>
        <v>225616.67</v>
      </c>
      <c r="Q13" s="2"/>
      <c r="R13" s="19"/>
      <c r="S13" s="2"/>
      <c r="T13" s="2">
        <f>--235954.29</f>
        <v>235954.29</v>
      </c>
      <c r="U13" s="2"/>
      <c r="V13" s="19"/>
      <c r="W13" s="2"/>
      <c r="X13" s="2">
        <f t="shared" si="2"/>
        <v>-10337.619999999995</v>
      </c>
      <c r="Y13" s="2"/>
      <c r="Z13" s="19">
        <f t="shared" si="3"/>
        <v>-4.3811960358932214E-2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--115316.39</f>
        <v>115316.39</v>
      </c>
      <c r="E14" s="2"/>
      <c r="F14" s="19"/>
      <c r="G14" s="2"/>
      <c r="H14" s="2">
        <f>--140444.11</f>
        <v>140444.10999999999</v>
      </c>
      <c r="I14" s="2"/>
      <c r="J14" s="19"/>
      <c r="K14" s="2"/>
      <c r="L14" s="2">
        <f t="shared" si="0"/>
        <v>-25127.719999999987</v>
      </c>
      <c r="M14" s="2"/>
      <c r="N14" s="19">
        <f t="shared" si="1"/>
        <v>-0.17891615390634744</v>
      </c>
      <c r="O14" s="11"/>
      <c r="P14" s="2">
        <f>--368822.4</f>
        <v>368822.4</v>
      </c>
      <c r="Q14" s="2"/>
      <c r="R14" s="19"/>
      <c r="S14" s="2"/>
      <c r="T14" s="2">
        <f>--458548.28</f>
        <v>458548.28</v>
      </c>
      <c r="U14" s="2"/>
      <c r="V14" s="19"/>
      <c r="W14" s="2"/>
      <c r="X14" s="2">
        <f t="shared" si="2"/>
        <v>-89725.88</v>
      </c>
      <c r="Y14" s="2"/>
      <c r="Z14" s="19">
        <f t="shared" si="3"/>
        <v>-0.1956737903367558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--13668.19</f>
        <v>13668.19</v>
      </c>
      <c r="E15" s="2"/>
      <c r="F15" s="19"/>
      <c r="G15" s="2"/>
      <c r="H15" s="2">
        <f>--12803.77</f>
        <v>12803.77</v>
      </c>
      <c r="I15" s="2"/>
      <c r="J15" s="19"/>
      <c r="K15" s="2"/>
      <c r="L15" s="2">
        <f t="shared" si="0"/>
        <v>864.42000000000007</v>
      </c>
      <c r="M15" s="2"/>
      <c r="N15" s="19">
        <f t="shared" si="1"/>
        <v>6.7512927832974204E-2</v>
      </c>
      <c r="O15" s="11"/>
      <c r="P15" s="2">
        <f>--60500.61</f>
        <v>60500.61</v>
      </c>
      <c r="Q15" s="2"/>
      <c r="R15" s="19"/>
      <c r="S15" s="2"/>
      <c r="T15" s="2">
        <f>--49021.43</f>
        <v>49021.43</v>
      </c>
      <c r="U15" s="2"/>
      <c r="V15" s="19"/>
      <c r="W15" s="2"/>
      <c r="X15" s="2">
        <f t="shared" si="2"/>
        <v>11479.18</v>
      </c>
      <c r="Y15" s="2"/>
      <c r="Z15" s="19">
        <f t="shared" si="3"/>
        <v>0.23416656756035065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--75155.92</f>
        <v>75155.92</v>
      </c>
      <c r="E16" s="2"/>
      <c r="F16" s="19"/>
      <c r="G16" s="2"/>
      <c r="H16" s="2">
        <f>--91365.46</f>
        <v>91365.46</v>
      </c>
      <c r="I16" s="2"/>
      <c r="J16" s="19"/>
      <c r="K16" s="2"/>
      <c r="L16" s="2">
        <f t="shared" si="0"/>
        <v>-16209.540000000008</v>
      </c>
      <c r="M16" s="2"/>
      <c r="N16" s="19">
        <f t="shared" si="1"/>
        <v>-0.17741430952134435</v>
      </c>
      <c r="O16" s="11"/>
      <c r="P16" s="2">
        <f>--185991.6</f>
        <v>185991.6</v>
      </c>
      <c r="Q16" s="2"/>
      <c r="R16" s="19"/>
      <c r="S16" s="2"/>
      <c r="T16" s="2">
        <f>--217677.18</f>
        <v>217677.18</v>
      </c>
      <c r="U16" s="2"/>
      <c r="V16" s="19"/>
      <c r="W16" s="2"/>
      <c r="X16" s="2">
        <f t="shared" si="2"/>
        <v>-31685.579999999987</v>
      </c>
      <c r="Y16" s="2"/>
      <c r="Z16" s="19">
        <f t="shared" si="3"/>
        <v>-0.14556224956607758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--21855.03</f>
        <v>21855.03</v>
      </c>
      <c r="E18" s="2"/>
      <c r="F18" s="19"/>
      <c r="G18" s="2"/>
      <c r="H18" s="2">
        <f>--27897.29</f>
        <v>27897.29</v>
      </c>
      <c r="I18" s="2"/>
      <c r="J18" s="19"/>
      <c r="K18" s="2"/>
      <c r="L18" s="2">
        <f t="shared" si="0"/>
        <v>-6042.260000000002</v>
      </c>
      <c r="M18" s="2"/>
      <c r="N18" s="19">
        <f t="shared" si="1"/>
        <v>-0.21658949668587887</v>
      </c>
      <c r="O18" s="11"/>
      <c r="P18" s="2">
        <f>--64145.93</f>
        <v>64145.93</v>
      </c>
      <c r="Q18" s="2"/>
      <c r="R18" s="19"/>
      <c r="S18" s="2"/>
      <c r="T18" s="2">
        <f>--93588.92</f>
        <v>93588.92</v>
      </c>
      <c r="U18" s="2"/>
      <c r="V18" s="19"/>
      <c r="W18" s="2"/>
      <c r="X18" s="2">
        <f t="shared" si="2"/>
        <v>-29442.989999999998</v>
      </c>
      <c r="Y18" s="2"/>
      <c r="Z18" s="19">
        <f t="shared" si="3"/>
        <v>-0.3145990999789291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--301473.99</f>
        <v>301473.99</v>
      </c>
      <c r="E19" s="2"/>
      <c r="F19" s="19"/>
      <c r="G19" s="2"/>
      <c r="H19" s="2">
        <f>--297815.58</f>
        <v>297815.58</v>
      </c>
      <c r="I19" s="2"/>
      <c r="J19" s="19"/>
      <c r="K19" s="2"/>
      <c r="L19" s="2">
        <f t="shared" si="0"/>
        <v>3658.4099999999744</v>
      </c>
      <c r="M19" s="2"/>
      <c r="N19" s="19">
        <f t="shared" si="1"/>
        <v>1.2284145779075675E-2</v>
      </c>
      <c r="O19" s="11"/>
      <c r="P19" s="2">
        <f>--641025.08</f>
        <v>641025.07999999996</v>
      </c>
      <c r="Q19" s="2"/>
      <c r="R19" s="19"/>
      <c r="S19" s="2"/>
      <c r="T19" s="2">
        <f>--605437.43</f>
        <v>605437.43000000005</v>
      </c>
      <c r="U19" s="2"/>
      <c r="V19" s="19"/>
      <c r="W19" s="2"/>
      <c r="X19" s="2">
        <f t="shared" si="2"/>
        <v>35587.649999999907</v>
      </c>
      <c r="Y19" s="2"/>
      <c r="Z19" s="19">
        <f t="shared" si="3"/>
        <v>5.8780062540896925E-2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--9149.73</f>
        <v>9149.73</v>
      </c>
      <c r="E20" s="2"/>
      <c r="F20" s="19"/>
      <c r="G20" s="2"/>
      <c r="H20" s="2">
        <f>--11678.23</f>
        <v>11678.23</v>
      </c>
      <c r="I20" s="2"/>
      <c r="J20" s="19"/>
      <c r="K20" s="2"/>
      <c r="L20" s="2">
        <f t="shared" si="0"/>
        <v>-2528.5</v>
      </c>
      <c r="M20" s="2"/>
      <c r="N20" s="19">
        <f t="shared" si="1"/>
        <v>-0.21651397514863127</v>
      </c>
      <c r="O20" s="11"/>
      <c r="P20" s="2">
        <f>--24938.79</f>
        <v>24938.79</v>
      </c>
      <c r="Q20" s="2"/>
      <c r="R20" s="19"/>
      <c r="S20" s="2"/>
      <c r="T20" s="2">
        <f>--26978.15</f>
        <v>26978.15</v>
      </c>
      <c r="U20" s="2"/>
      <c r="V20" s="19"/>
      <c r="W20" s="2"/>
      <c r="X20" s="2">
        <f t="shared" si="2"/>
        <v>-2039.3600000000006</v>
      </c>
      <c r="Y20" s="2"/>
      <c r="Z20" s="19">
        <f t="shared" si="3"/>
        <v>-7.5593026208246317E-2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0</f>
        <v>0</v>
      </c>
      <c r="E21" s="2"/>
      <c r="F21" s="19"/>
      <c r="G21" s="2"/>
      <c r="H21" s="2">
        <f>--527.13</f>
        <v>527.13</v>
      </c>
      <c r="I21" s="2"/>
      <c r="J21" s="19"/>
      <c r="K21" s="2"/>
      <c r="L21" s="2">
        <f t="shared" si="0"/>
        <v>-527.13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--527.13</f>
        <v>527.13</v>
      </c>
      <c r="U21" s="2"/>
      <c r="V21" s="19"/>
      <c r="W21" s="2"/>
      <c r="X21" s="2">
        <f t="shared" si="2"/>
        <v>-527.13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--149192.49</f>
        <v>149192.49</v>
      </c>
      <c r="E22" s="2"/>
      <c r="F22" s="19"/>
      <c r="G22" s="2"/>
      <c r="H22" s="2">
        <f>--133315.87</f>
        <v>133315.87</v>
      </c>
      <c r="I22" s="2"/>
      <c r="J22" s="19"/>
      <c r="K22" s="2"/>
      <c r="L22" s="2">
        <f t="shared" si="0"/>
        <v>15876.619999999995</v>
      </c>
      <c r="M22" s="2"/>
      <c r="N22" s="19">
        <f t="shared" si="1"/>
        <v>0.11909024784521149</v>
      </c>
      <c r="O22" s="11"/>
      <c r="P22" s="2">
        <f>--332247.03</f>
        <v>332247.03000000003</v>
      </c>
      <c r="Q22" s="2"/>
      <c r="R22" s="19"/>
      <c r="S22" s="2"/>
      <c r="T22" s="2">
        <f>--306159.57</f>
        <v>306159.57</v>
      </c>
      <c r="U22" s="2"/>
      <c r="V22" s="19"/>
      <c r="W22" s="2"/>
      <c r="X22" s="2">
        <f t="shared" si="2"/>
        <v>26087.460000000021</v>
      </c>
      <c r="Y22" s="2"/>
      <c r="Z22" s="19">
        <f t="shared" si="3"/>
        <v>8.5208703422205684E-2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--95473.64</f>
        <v>95473.64</v>
      </c>
      <c r="E23" s="2"/>
      <c r="F23" s="19"/>
      <c r="G23" s="2"/>
      <c r="H23" s="2">
        <f>--90470.22</f>
        <v>90470.22</v>
      </c>
      <c r="I23" s="2"/>
      <c r="J23" s="19"/>
      <c r="K23" s="2"/>
      <c r="L23" s="2">
        <f t="shared" si="0"/>
        <v>5003.4199999999983</v>
      </c>
      <c r="M23" s="2"/>
      <c r="N23" s="19">
        <f t="shared" si="1"/>
        <v>5.5304607416672563E-2</v>
      </c>
      <c r="O23" s="11"/>
      <c r="P23" s="2">
        <f>--207720.27</f>
        <v>207720.27</v>
      </c>
      <c r="Q23" s="2"/>
      <c r="R23" s="19"/>
      <c r="S23" s="2"/>
      <c r="T23" s="2">
        <f>--213494.57</f>
        <v>213494.57</v>
      </c>
      <c r="U23" s="2"/>
      <c r="V23" s="19"/>
      <c r="W23" s="2"/>
      <c r="X23" s="2">
        <f t="shared" si="2"/>
        <v>-5774.3000000000175</v>
      </c>
      <c r="Y23" s="2"/>
      <c r="Z23" s="19">
        <f t="shared" si="3"/>
        <v>-2.7046589522159825E-2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8</v>
      </c>
      <c r="C25" s="10"/>
      <c r="D25" s="4">
        <f>SUM(OSRRefD16x_0)</f>
        <v>243493.85999999996</v>
      </c>
      <c r="E25" s="4"/>
      <c r="F25" s="12">
        <f t="shared" ref="F25:F27" si="4">IF(D$12=0,0,D25/D$12)</f>
        <v>0.27951453792917941</v>
      </c>
      <c r="G25" s="4"/>
      <c r="H25" s="4">
        <f>SUM(OSRRefH16x_0)</f>
        <v>279768.87999999995</v>
      </c>
      <c r="I25" s="4"/>
      <c r="J25" s="12">
        <f t="shared" ref="J25:J27" si="5">IF(H$12=0,0,H25/H$12)</f>
        <v>0.30821270902131642</v>
      </c>
      <c r="K25" s="4"/>
      <c r="L25" s="4">
        <f t="shared" ref="L25:L27" si="6">+D25-H25</f>
        <v>-36275.01999999999</v>
      </c>
      <c r="M25" s="4"/>
      <c r="N25" s="12">
        <f t="shared" ref="N25:N27" si="7">IF(H25=0,0,L25/H25)</f>
        <v>-0.12966066847749469</v>
      </c>
      <c r="O25" s="10"/>
      <c r="P25" s="4">
        <f>SUM(OSRRefP16x_0)</f>
        <v>685404.78999999992</v>
      </c>
      <c r="Q25" s="4"/>
      <c r="R25" s="12">
        <f t="shared" ref="R25:R27" si="8">IF(P$12=0,0,P25/P$12)</f>
        <v>0.32468122651412684</v>
      </c>
      <c r="S25" s="4"/>
      <c r="T25" s="4">
        <f>SUM(OSRRefT16x_0)</f>
        <v>682357.77</v>
      </c>
      <c r="U25" s="4"/>
      <c r="V25" s="12">
        <f t="shared" ref="V25:V27" si="9">IF(T$12=0,0,T25/T$12)</f>
        <v>0.30752170599228928</v>
      </c>
      <c r="W25" s="4"/>
      <c r="X25" s="4">
        <f t="shared" ref="X25:X27" si="10">+P25-T25</f>
        <v>3047.0199999999022</v>
      </c>
      <c r="Y25" s="4"/>
      <c r="Z25" s="12">
        <f t="shared" ref="Z25:Z27" si="11">IF(T25=0,0,X25/T25)</f>
        <v>4.4654287442200628E-3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275289.89999999997</v>
      </c>
      <c r="E26" s="2"/>
      <c r="F26" s="19">
        <f t="shared" si="4"/>
        <v>0.31601424855259186</v>
      </c>
      <c r="G26" s="2"/>
      <c r="H26" s="2">
        <v>280142.83999999997</v>
      </c>
      <c r="I26" s="2"/>
      <c r="J26" s="19">
        <f t="shared" si="5"/>
        <v>0.30862468916959318</v>
      </c>
      <c r="K26" s="2"/>
      <c r="L26" s="2">
        <f t="shared" si="6"/>
        <v>-4852.9400000000023</v>
      </c>
      <c r="M26" s="2"/>
      <c r="N26" s="19">
        <f t="shared" si="7"/>
        <v>-1.7323091320127985E-2</v>
      </c>
      <c r="O26" s="11"/>
      <c r="P26" s="2">
        <v>725056.94</v>
      </c>
      <c r="Q26" s="2"/>
      <c r="R26" s="19">
        <f t="shared" si="8"/>
        <v>0.34346473792775756</v>
      </c>
      <c r="S26" s="2"/>
      <c r="T26" s="2">
        <v>721887.56</v>
      </c>
      <c r="U26" s="2"/>
      <c r="V26" s="19">
        <f t="shared" si="9"/>
        <v>0.32533680093627587</v>
      </c>
      <c r="W26" s="2"/>
      <c r="X26" s="2">
        <f t="shared" si="10"/>
        <v>3169.3799999998882</v>
      </c>
      <c r="Y26" s="2"/>
      <c r="Z26" s="19">
        <f t="shared" si="11"/>
        <v>4.390406727607119E-3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-31796.04</v>
      </c>
      <c r="E27" s="2"/>
      <c r="F27" s="19">
        <f t="shared" si="4"/>
        <v>-3.6499710623412465E-2</v>
      </c>
      <c r="G27" s="2"/>
      <c r="H27" s="2">
        <v>-373.96</v>
      </c>
      <c r="I27" s="2"/>
      <c r="J27" s="19">
        <f t="shared" si="5"/>
        <v>-4.1198014827671864E-4</v>
      </c>
      <c r="K27" s="2"/>
      <c r="L27" s="2">
        <f t="shared" si="6"/>
        <v>-31422.080000000002</v>
      </c>
      <c r="M27" s="2"/>
      <c r="N27" s="19">
        <f t="shared" si="7"/>
        <v>84.025243341533866</v>
      </c>
      <c r="O27" s="11"/>
      <c r="P27" s="2">
        <v>-39652.15</v>
      </c>
      <c r="Q27" s="2"/>
      <c r="R27" s="19">
        <f t="shared" si="8"/>
        <v>-1.8783511413630678E-2</v>
      </c>
      <c r="S27" s="2"/>
      <c r="T27" s="2">
        <v>-39529.79</v>
      </c>
      <c r="U27" s="2"/>
      <c r="V27" s="19">
        <f t="shared" si="9"/>
        <v>-1.7815094943986549E-2</v>
      </c>
      <c r="W27" s="2"/>
      <c r="X27" s="2">
        <f t="shared" si="10"/>
        <v>-122.36000000000058</v>
      </c>
      <c r="Y27" s="2"/>
      <c r="Z27" s="19">
        <f t="shared" si="11"/>
        <v>3.0953870486031061E-3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6</v>
      </c>
      <c r="C29" s="28"/>
      <c r="D29" s="21">
        <f>D12-D25</f>
        <v>627637.42999999993</v>
      </c>
      <c r="E29" s="14"/>
      <c r="F29" s="22">
        <f>IF(D$12=0,0,D29/D$12)</f>
        <v>0.72048546207082054</v>
      </c>
      <c r="G29" s="14"/>
      <c r="H29" s="21">
        <f>H12-H25</f>
        <v>627944.76</v>
      </c>
      <c r="I29" s="14"/>
      <c r="J29" s="22">
        <f>IF(H$12=0,0,H29/H$12)</f>
        <v>0.69178729097868363</v>
      </c>
      <c r="K29" s="16"/>
      <c r="L29" s="21">
        <f>+D29-H29</f>
        <v>-307.33000000007451</v>
      </c>
      <c r="M29" s="16"/>
      <c r="N29" s="22">
        <f>IF(H29=0,0,L29/H29)</f>
        <v>-4.8942203132656839E-4</v>
      </c>
      <c r="O29" s="29"/>
      <c r="P29" s="21">
        <f>P12-P25</f>
        <v>1425603.5899999999</v>
      </c>
      <c r="Q29" s="14"/>
      <c r="R29" s="22">
        <f>IF(P$12=0,0,P29/P$12)</f>
        <v>0.6753187734858731</v>
      </c>
      <c r="S29" s="14"/>
      <c r="T29" s="21">
        <f>T12-T25</f>
        <v>1536535.2600000002</v>
      </c>
      <c r="U29" s="14"/>
      <c r="V29" s="22">
        <f>IF(T$12=0,0,T29/T$12)</f>
        <v>0.69247829400771066</v>
      </c>
      <c r="W29" s="16"/>
      <c r="X29" s="21">
        <f>+P29-T29</f>
        <v>-110931.67000000039</v>
      </c>
      <c r="Y29" s="16"/>
      <c r="Z29" s="22">
        <f>IF(T29=0,0,X29/T29)</f>
        <v>-7.2195980715730773E-2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9</v>
      </c>
      <c r="C31" s="10"/>
      <c r="D31" s="20">
        <f>SUM(OSRRefD22x_0)</f>
        <v>603646.81999999995</v>
      </c>
      <c r="E31" s="20"/>
      <c r="F31" s="35">
        <f t="shared" ref="F31:F41" si="12">IF(D$12=0,0,D31/D$12)</f>
        <v>0.69294585894165273</v>
      </c>
      <c r="G31" s="20"/>
      <c r="H31" s="20">
        <f>SUM(OSRRefH22x_0)</f>
        <v>567582.96</v>
      </c>
      <c r="I31" s="20"/>
      <c r="J31" s="35">
        <f t="shared" ref="J31:J41" si="13">IF(H$12=0,0,H31/H$12)</f>
        <v>0.62528856567584468</v>
      </c>
      <c r="K31" s="4"/>
      <c r="L31" s="20">
        <f t="shared" ref="L31:L41" si="14">+D31-H31</f>
        <v>36063.859999999986</v>
      </c>
      <c r="M31" s="4"/>
      <c r="N31" s="35">
        <f t="shared" ref="N31:N41" si="15">IF(H31=0,0,L31/H31)</f>
        <v>6.3539363479129099E-2</v>
      </c>
      <c r="O31" s="10"/>
      <c r="P31" s="20">
        <f>SUM(OSRRefP22x_0)</f>
        <v>1929839.2100000004</v>
      </c>
      <c r="Q31" s="20"/>
      <c r="R31" s="35">
        <f t="shared" ref="R31:R41" si="16">IF(P$12=0,0,P31/P$12)</f>
        <v>0.91417884849893416</v>
      </c>
      <c r="S31" s="20"/>
      <c r="T31" s="20">
        <f>SUM(OSRRefT22x_0)</f>
        <v>1794040.2300000002</v>
      </c>
      <c r="U31" s="20"/>
      <c r="V31" s="35">
        <f t="shared" ref="V31:V41" si="17">IF(T$12=0,0,T31/T$12)</f>
        <v>0.80852939089181786</v>
      </c>
      <c r="W31" s="4"/>
      <c r="X31" s="20">
        <f t="shared" ref="X31:X41" si="18">+P31-T31</f>
        <v>135798.98000000021</v>
      </c>
      <c r="Y31" s="4"/>
      <c r="Z31" s="35">
        <f t="shared" ref="Z31:Z41" si="19">IF(T31=0,0,X31/T31)</f>
        <v>7.5694501009043819E-2</v>
      </c>
    </row>
    <row r="32" spans="1:26" s="27" customFormat="1" outlineLevel="1" collapsed="1" x14ac:dyDescent="0.25">
      <c r="A32" s="25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73113.73</v>
      </c>
      <c r="E32" s="1"/>
      <c r="F32" s="5">
        <f t="shared" si="12"/>
        <v>8.3929633614698879E-2</v>
      </c>
      <c r="G32" s="1"/>
      <c r="H32" s="1">
        <f>SUM(OSRRefH22_0x_0)</f>
        <v>81473.12000000001</v>
      </c>
      <c r="I32" s="1"/>
      <c r="J32" s="5">
        <f t="shared" si="13"/>
        <v>8.9756412606072575E-2</v>
      </c>
      <c r="K32" s="1"/>
      <c r="L32" s="1">
        <f t="shared" si="14"/>
        <v>-8359.390000000014</v>
      </c>
      <c r="M32" s="1"/>
      <c r="N32" s="5">
        <f t="shared" si="15"/>
        <v>-0.10260304257404175</v>
      </c>
      <c r="O32" s="13"/>
      <c r="P32" s="1">
        <f>SUM(OSRRefP22_0x_0)</f>
        <v>275996.31999999995</v>
      </c>
      <c r="Q32" s="1"/>
      <c r="R32" s="5">
        <f t="shared" si="16"/>
        <v>0.13074146110211082</v>
      </c>
      <c r="S32" s="1"/>
      <c r="T32" s="1">
        <f>SUM(OSRRefT22_0x_0)</f>
        <v>248076.3</v>
      </c>
      <c r="U32" s="1"/>
      <c r="V32" s="5">
        <f t="shared" si="17"/>
        <v>0.11180182940139298</v>
      </c>
      <c r="W32" s="1"/>
      <c r="X32" s="1">
        <f t="shared" si="18"/>
        <v>27920.01999999996</v>
      </c>
      <c r="Y32" s="1"/>
      <c r="Z32" s="5">
        <f t="shared" si="19"/>
        <v>0.11254609972818831</v>
      </c>
    </row>
    <row r="33" spans="1:26" s="24" customFormat="1" hidden="1" outlineLevel="2" x14ac:dyDescent="0.25">
      <c r="A33" s="26"/>
      <c r="B33" s="11" t="str">
        <f>CONCATENATE("          ", "6111", " - ", "F.I.C.A.")</f>
        <v xml:space="preserve">          6111 - F.I.C.A.</v>
      </c>
      <c r="C33" s="11"/>
      <c r="D33" s="6">
        <v>23590.09</v>
      </c>
      <c r="E33" s="2"/>
      <c r="F33" s="7">
        <f t="shared" si="12"/>
        <v>2.7079833167282973E-2</v>
      </c>
      <c r="G33" s="2"/>
      <c r="H33" s="6">
        <v>20318.22</v>
      </c>
      <c r="I33" s="2"/>
      <c r="J33" s="7">
        <f t="shared" si="13"/>
        <v>2.2383953600168444E-2</v>
      </c>
      <c r="K33" s="2"/>
      <c r="L33" s="6">
        <f t="shared" si="14"/>
        <v>3271.869999999999</v>
      </c>
      <c r="M33" s="2"/>
      <c r="N33" s="7">
        <f t="shared" si="15"/>
        <v>0.16103133050040794</v>
      </c>
      <c r="O33" s="11"/>
      <c r="P33" s="6">
        <v>58001.82</v>
      </c>
      <c r="Q33" s="2"/>
      <c r="R33" s="7">
        <f t="shared" si="16"/>
        <v>2.7475883350117258E-2</v>
      </c>
      <c r="S33" s="2"/>
      <c r="T33" s="6">
        <v>51224.689999999995</v>
      </c>
      <c r="U33" s="2"/>
      <c r="V33" s="7">
        <f t="shared" si="17"/>
        <v>2.3085696023841216E-2</v>
      </c>
      <c r="W33" s="2"/>
      <c r="X33" s="6">
        <f t="shared" si="18"/>
        <v>6777.1300000000047</v>
      </c>
      <c r="Y33" s="2"/>
      <c r="Z33" s="7">
        <f t="shared" si="19"/>
        <v>0.13230202076381536</v>
      </c>
    </row>
    <row r="34" spans="1:26" s="24" customFormat="1" hidden="1" outlineLevel="2" x14ac:dyDescent="0.25">
      <c r="A34" s="26"/>
      <c r="B34" s="11" t="str">
        <f>CONCATENATE("          ", "6112", " - ", "COMPENSATION INSURANCE")</f>
        <v xml:space="preserve">          6112 - COMPENSATION INSURANCE</v>
      </c>
      <c r="C34" s="11"/>
      <c r="D34" s="6">
        <v>-1855.04</v>
      </c>
      <c r="E34" s="2"/>
      <c r="F34" s="7">
        <f t="shared" si="12"/>
        <v>-2.1294608760982518E-3</v>
      </c>
      <c r="G34" s="2"/>
      <c r="H34" s="6">
        <v>17665.73</v>
      </c>
      <c r="I34" s="2"/>
      <c r="J34" s="7">
        <f t="shared" si="13"/>
        <v>1.9461787530261197E-2</v>
      </c>
      <c r="K34" s="2"/>
      <c r="L34" s="6">
        <f t="shared" si="14"/>
        <v>-19520.77</v>
      </c>
      <c r="M34" s="2"/>
      <c r="N34" s="7">
        <f t="shared" si="15"/>
        <v>-1.1050078315472953</v>
      </c>
      <c r="O34" s="11"/>
      <c r="P34" s="6">
        <v>18117.550000000003</v>
      </c>
      <c r="Q34" s="2"/>
      <c r="R34" s="7">
        <f t="shared" si="16"/>
        <v>8.5824150068035277E-3</v>
      </c>
      <c r="S34" s="2"/>
      <c r="T34" s="6">
        <v>28961.649999999998</v>
      </c>
      <c r="U34" s="2"/>
      <c r="V34" s="7">
        <f t="shared" si="17"/>
        <v>1.305229662197821E-2</v>
      </c>
      <c r="W34" s="2"/>
      <c r="X34" s="6">
        <f t="shared" si="18"/>
        <v>-10844.099999999995</v>
      </c>
      <c r="Y34" s="2"/>
      <c r="Z34" s="7">
        <f t="shared" si="19"/>
        <v>-0.3744296336707334</v>
      </c>
    </row>
    <row r="35" spans="1:26" s="24" customFormat="1" hidden="1" outlineLevel="2" x14ac:dyDescent="0.25">
      <c r="A35" s="26"/>
      <c r="B35" s="11" t="str">
        <f>CONCATENATE("          ", "6113", " - ", "GROUP INSURANCE")</f>
        <v xml:space="preserve">          6113 - GROUP INSURANCE</v>
      </c>
      <c r="C35" s="11"/>
      <c r="D35" s="6">
        <v>20713.7</v>
      </c>
      <c r="E35" s="2"/>
      <c r="F35" s="7">
        <f t="shared" si="12"/>
        <v>2.377793133799614E-2</v>
      </c>
      <c r="G35" s="2"/>
      <c r="H35" s="6">
        <v>22766.38</v>
      </c>
      <c r="I35" s="2"/>
      <c r="J35" s="7">
        <f t="shared" si="13"/>
        <v>2.5081015638368068E-2</v>
      </c>
      <c r="K35" s="2"/>
      <c r="L35" s="6">
        <f t="shared" si="14"/>
        <v>-2052.6800000000003</v>
      </c>
      <c r="M35" s="2"/>
      <c r="N35" s="7">
        <f t="shared" si="15"/>
        <v>-9.0162775109613388E-2</v>
      </c>
      <c r="O35" s="11"/>
      <c r="P35" s="6">
        <v>82561.100000000006</v>
      </c>
      <c r="Q35" s="2"/>
      <c r="R35" s="7">
        <f t="shared" si="16"/>
        <v>3.9109792638530413E-2</v>
      </c>
      <c r="S35" s="2"/>
      <c r="T35" s="6">
        <v>77935.209999999992</v>
      </c>
      <c r="U35" s="2"/>
      <c r="V35" s="7">
        <f t="shared" si="17"/>
        <v>3.5123464243790058E-2</v>
      </c>
      <c r="W35" s="2"/>
      <c r="X35" s="6">
        <f t="shared" si="18"/>
        <v>4625.890000000014</v>
      </c>
      <c r="Y35" s="2"/>
      <c r="Z35" s="7">
        <f t="shared" si="19"/>
        <v>5.9355585235479756E-2</v>
      </c>
    </row>
    <row r="36" spans="1:26" s="24" customFormat="1" hidden="1" outlineLevel="2" x14ac:dyDescent="0.25">
      <c r="A36" s="26"/>
      <c r="B36" s="11" t="str">
        <f>CONCATENATE("          ", "6114", " - ", "STATE UNEMPLOYMENT INSURANCE")</f>
        <v xml:space="preserve">          6114 - STATE UNEMPLOYMENT INSURANCE</v>
      </c>
      <c r="C36" s="11"/>
      <c r="D36" s="6">
        <v>837.8</v>
      </c>
      <c r="E36" s="2"/>
      <c r="F36" s="7">
        <f t="shared" si="12"/>
        <v>9.6173792586419439E-4</v>
      </c>
      <c r="G36" s="2"/>
      <c r="H36" s="6">
        <v>763.33</v>
      </c>
      <c r="I36" s="2"/>
      <c r="J36" s="7">
        <f t="shared" si="13"/>
        <v>8.4093701621581899E-4</v>
      </c>
      <c r="K36" s="2"/>
      <c r="L36" s="6">
        <f t="shared" si="14"/>
        <v>74.469999999999914</v>
      </c>
      <c r="M36" s="2"/>
      <c r="N36" s="7">
        <f t="shared" si="15"/>
        <v>9.755937798855005E-2</v>
      </c>
      <c r="O36" s="11"/>
      <c r="P36" s="6">
        <v>2251.42</v>
      </c>
      <c r="Q36" s="2"/>
      <c r="R36" s="7">
        <f t="shared" si="16"/>
        <v>1.0665140040798892E-3</v>
      </c>
      <c r="S36" s="2"/>
      <c r="T36" s="6">
        <v>2201.7199999999998</v>
      </c>
      <c r="U36" s="2"/>
      <c r="V36" s="7">
        <f t="shared" si="17"/>
        <v>9.9226054173508281E-4</v>
      </c>
      <c r="W36" s="2"/>
      <c r="X36" s="6">
        <f t="shared" si="18"/>
        <v>49.700000000000273</v>
      </c>
      <c r="Y36" s="2"/>
      <c r="Z36" s="7">
        <f t="shared" si="19"/>
        <v>2.2573260905110675E-2</v>
      </c>
    </row>
    <row r="37" spans="1:26" s="24" customFormat="1" hidden="1" outlineLevel="2" x14ac:dyDescent="0.25">
      <c r="A37" s="26"/>
      <c r="B37" s="11" t="str">
        <f>CONCATENATE("          ", "6115", " - ", "P.E.R.S.")</f>
        <v xml:space="preserve">          6115 - P.E.R.S.</v>
      </c>
      <c r="C37" s="11"/>
      <c r="D37" s="6">
        <v>10986.56</v>
      </c>
      <c r="E37" s="2"/>
      <c r="F37" s="7">
        <f t="shared" si="12"/>
        <v>1.26118303017218E-2</v>
      </c>
      <c r="G37" s="2"/>
      <c r="H37" s="6">
        <v>9720.43</v>
      </c>
      <c r="I37" s="2"/>
      <c r="J37" s="7">
        <f t="shared" si="13"/>
        <v>1.0708696632563549E-2</v>
      </c>
      <c r="K37" s="2"/>
      <c r="L37" s="6">
        <f t="shared" si="14"/>
        <v>1266.1299999999992</v>
      </c>
      <c r="M37" s="2"/>
      <c r="N37" s="7">
        <f t="shared" si="15"/>
        <v>0.13025452577715174</v>
      </c>
      <c r="O37" s="11"/>
      <c r="P37" s="6">
        <v>28783.119999999999</v>
      </c>
      <c r="Q37" s="2"/>
      <c r="R37" s="7">
        <f t="shared" si="16"/>
        <v>1.3634772970441737E-2</v>
      </c>
      <c r="S37" s="2"/>
      <c r="T37" s="6">
        <v>29668.36</v>
      </c>
      <c r="U37" s="2"/>
      <c r="V37" s="7">
        <f t="shared" si="17"/>
        <v>1.3370793273436888E-2</v>
      </c>
      <c r="W37" s="2"/>
      <c r="X37" s="6">
        <f t="shared" si="18"/>
        <v>-885.2400000000016</v>
      </c>
      <c r="Y37" s="2"/>
      <c r="Z37" s="7">
        <f t="shared" si="19"/>
        <v>-2.9837847457695726E-2</v>
      </c>
    </row>
    <row r="38" spans="1:26" s="24" customFormat="1" hidden="1" outlineLevel="2" x14ac:dyDescent="0.25">
      <c r="A38" s="26"/>
      <c r="B38" s="11" t="str">
        <f>CONCATENATE("          ", "6117", " - ", "RETIREMENT STAFF HOURLY")</f>
        <v xml:space="preserve">          6117 - RETIREMENT STAFF HOURLY</v>
      </c>
      <c r="C38" s="11"/>
      <c r="D38" s="6">
        <v>56</v>
      </c>
      <c r="E38" s="2"/>
      <c r="F38" s="7">
        <f t="shared" si="12"/>
        <v>6.428422517115647E-5</v>
      </c>
      <c r="G38" s="2"/>
      <c r="H38" s="6">
        <v>56</v>
      </c>
      <c r="I38" s="2"/>
      <c r="J38" s="7">
        <f t="shared" si="13"/>
        <v>6.1693465353236299E-5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252</v>
      </c>
      <c r="Q38" s="2"/>
      <c r="R38" s="7">
        <f t="shared" si="16"/>
        <v>1.1937423005398018E-4</v>
      </c>
      <c r="S38" s="2"/>
      <c r="T38" s="6">
        <v>252</v>
      </c>
      <c r="U38" s="2"/>
      <c r="V38" s="7">
        <f t="shared" si="17"/>
        <v>1.1357014357740353E-4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6"/>
      <c r="B39" s="11" t="str">
        <f>CONCATENATE("          ", "6118", " - ", "VACATION")</f>
        <v xml:space="preserve">          6118 - VACATION</v>
      </c>
      <c r="C39" s="11"/>
      <c r="D39" s="6">
        <v>9256.32</v>
      </c>
      <c r="E39" s="2"/>
      <c r="F39" s="7">
        <f t="shared" si="12"/>
        <v>1.0625631413147841E-2</v>
      </c>
      <c r="G39" s="2"/>
      <c r="H39" s="6">
        <v>7330.85</v>
      </c>
      <c r="I39" s="2"/>
      <c r="J39" s="7">
        <f t="shared" si="13"/>
        <v>8.0761703657995058E-3</v>
      </c>
      <c r="K39" s="2"/>
      <c r="L39" s="6">
        <f t="shared" si="14"/>
        <v>1925.4699999999993</v>
      </c>
      <c r="M39" s="2"/>
      <c r="N39" s="7">
        <f t="shared" si="15"/>
        <v>0.26265303477768598</v>
      </c>
      <c r="O39" s="11"/>
      <c r="P39" s="6">
        <v>32741.84</v>
      </c>
      <c r="Q39" s="2"/>
      <c r="R39" s="7">
        <f t="shared" si="16"/>
        <v>1.5510047383137344E-2</v>
      </c>
      <c r="S39" s="2"/>
      <c r="T39" s="6">
        <v>25903.37</v>
      </c>
      <c r="U39" s="2"/>
      <c r="V39" s="7">
        <f t="shared" si="17"/>
        <v>1.1674005754121457E-2</v>
      </c>
      <c r="W39" s="2"/>
      <c r="X39" s="6">
        <f t="shared" si="18"/>
        <v>6838.4700000000012</v>
      </c>
      <c r="Y39" s="2"/>
      <c r="Z39" s="7">
        <f t="shared" si="19"/>
        <v>0.2639992402532953</v>
      </c>
    </row>
    <row r="40" spans="1:26" s="24" customFormat="1" hidden="1" outlineLevel="2" x14ac:dyDescent="0.25">
      <c r="A40" s="26"/>
      <c r="B40" s="11" t="str">
        <f>CONCATENATE("          ", "6119", " - ", "SICK LEAVE")</f>
        <v xml:space="preserve">          6119 - SICK LEAVE</v>
      </c>
      <c r="C40" s="11"/>
      <c r="D40" s="6">
        <v>7053.18</v>
      </c>
      <c r="E40" s="2"/>
      <c r="F40" s="7">
        <f t="shared" si="12"/>
        <v>8.0965752016553105E-3</v>
      </c>
      <c r="G40" s="2"/>
      <c r="H40" s="6">
        <v>194.32</v>
      </c>
      <c r="I40" s="2"/>
      <c r="J40" s="7">
        <f t="shared" si="13"/>
        <v>2.1407632477572994E-4</v>
      </c>
      <c r="K40" s="2"/>
      <c r="L40" s="6">
        <f t="shared" si="14"/>
        <v>6858.8600000000006</v>
      </c>
      <c r="M40" s="2"/>
      <c r="N40" s="7">
        <f t="shared" si="15"/>
        <v>35.296727048167973</v>
      </c>
      <c r="O40" s="11"/>
      <c r="P40" s="6">
        <v>43212</v>
      </c>
      <c r="Q40" s="2"/>
      <c r="R40" s="7">
        <f t="shared" si="16"/>
        <v>2.0469838210684887E-2</v>
      </c>
      <c r="S40" s="2"/>
      <c r="T40" s="6">
        <v>20455.809999999998</v>
      </c>
      <c r="U40" s="2"/>
      <c r="V40" s="7">
        <f t="shared" si="17"/>
        <v>9.2189257090955819E-3</v>
      </c>
      <c r="W40" s="2"/>
      <c r="X40" s="6">
        <f t="shared" si="18"/>
        <v>22756.190000000002</v>
      </c>
      <c r="Y40" s="2"/>
      <c r="Z40" s="7">
        <f t="shared" si="19"/>
        <v>1.1124560699380766</v>
      </c>
    </row>
    <row r="41" spans="1:26" s="24" customFormat="1" hidden="1" outlineLevel="2" x14ac:dyDescent="0.25">
      <c r="A41" s="26"/>
      <c r="B41" s="11" t="str">
        <f>CONCATENATE("          ", "6156", " - ", "EMPLOYEE MEALS")</f>
        <v xml:space="preserve">          6156 - EMPLOYEE MEALS</v>
      </c>
      <c r="C41" s="11"/>
      <c r="D41" s="6">
        <v>2475.12</v>
      </c>
      <c r="E41" s="2"/>
      <c r="F41" s="7">
        <f t="shared" si="12"/>
        <v>2.8412709179577284E-3</v>
      </c>
      <c r="G41" s="2"/>
      <c r="H41" s="6">
        <v>2657.86</v>
      </c>
      <c r="I41" s="2"/>
      <c r="J41" s="7">
        <f t="shared" si="13"/>
        <v>2.9280820325670114E-3</v>
      </c>
      <c r="K41" s="2"/>
      <c r="L41" s="6">
        <f t="shared" si="14"/>
        <v>-182.74000000000024</v>
      </c>
      <c r="M41" s="2"/>
      <c r="N41" s="7">
        <f t="shared" si="15"/>
        <v>-6.8754561940809603E-2</v>
      </c>
      <c r="O41" s="11"/>
      <c r="P41" s="6">
        <v>10075.469999999999</v>
      </c>
      <c r="Q41" s="2"/>
      <c r="R41" s="7">
        <f t="shared" si="16"/>
        <v>4.7728233082618083E-3</v>
      </c>
      <c r="S41" s="2"/>
      <c r="T41" s="6">
        <v>11473.49</v>
      </c>
      <c r="U41" s="2"/>
      <c r="V41" s="7">
        <f t="shared" si="17"/>
        <v>5.1708170898170777E-3</v>
      </c>
      <c r="W41" s="2"/>
      <c r="X41" s="6">
        <f t="shared" si="18"/>
        <v>-1398.0200000000004</v>
      </c>
      <c r="Y41" s="2"/>
      <c r="Z41" s="7">
        <f t="shared" si="19"/>
        <v>-0.12184784228687177</v>
      </c>
    </row>
    <row r="42" spans="1:26" s="27" customFormat="1" outlineLevel="1" collapsed="1" x14ac:dyDescent="0.25">
      <c r="A42" s="25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302215.24</v>
      </c>
      <c r="E42" s="1"/>
      <c r="F42" s="5">
        <f t="shared" ref="F42:F49" si="20">IF(D$12=0,0,D42/D$12)</f>
        <v>0.34692272389848378</v>
      </c>
      <c r="G42" s="1"/>
      <c r="H42" s="1">
        <f>SUM(OSRRefH22_1x_0)</f>
        <v>285773.55999999994</v>
      </c>
      <c r="I42" s="1"/>
      <c r="J42" s="5">
        <f t="shared" ref="J42:J49" si="21">IF(H$12=0,0,H42/H$12)</f>
        <v>0.3148278789773391</v>
      </c>
      <c r="K42" s="1"/>
      <c r="L42" s="1">
        <f t="shared" ref="L42:L49" si="22">+D42-H42</f>
        <v>16441.680000000051</v>
      </c>
      <c r="M42" s="1"/>
      <c r="N42" s="5">
        <f t="shared" ref="N42:N49" si="23">IF(H42=0,0,L42/H42)</f>
        <v>5.7533944007976297E-2</v>
      </c>
      <c r="O42" s="13"/>
      <c r="P42" s="1">
        <f>SUM(OSRRefP22_1x_0)</f>
        <v>888745.76</v>
      </c>
      <c r="Q42" s="1"/>
      <c r="R42" s="5">
        <f t="shared" ref="R42:R49" si="24">IF(P$12=0,0,P42/P$12)</f>
        <v>0.4210053206894423</v>
      </c>
      <c r="S42" s="1"/>
      <c r="T42" s="1">
        <f>SUM(OSRRefT22_1x_0)</f>
        <v>807463.69000000006</v>
      </c>
      <c r="U42" s="1"/>
      <c r="V42" s="5">
        <f t="shared" ref="V42:V49" si="25">IF(T$12=0,0,T42/T$12)</f>
        <v>0.3639038381223812</v>
      </c>
      <c r="W42" s="1"/>
      <c r="X42" s="1">
        <f t="shared" ref="X42:X49" si="26">+P42-T42</f>
        <v>81282.069999999949</v>
      </c>
      <c r="Y42" s="1"/>
      <c r="Z42" s="5">
        <f t="shared" ref="Z42:Z49" si="27">IF(T42=0,0,X42/T42)</f>
        <v>0.10066343664320057</v>
      </c>
    </row>
    <row r="43" spans="1:26" s="24" customFormat="1" hidden="1" outlineLevel="2" x14ac:dyDescent="0.25">
      <c r="A43" s="26"/>
      <c r="B43" s="11" t="str">
        <f>CONCATENATE("          ", "6001", " - ", "ADMINISTRATIVE SALARIES")</f>
        <v xml:space="preserve">          6001 - ADMINISTRATIVE SALARIES</v>
      </c>
      <c r="C43" s="11"/>
      <c r="D43" s="6">
        <v>18561.289999999997</v>
      </c>
      <c r="E43" s="2"/>
      <c r="F43" s="7">
        <f t="shared" si="20"/>
        <v>2.1307109746913119E-2</v>
      </c>
      <c r="G43" s="2"/>
      <c r="H43" s="6">
        <v>16979.289999999997</v>
      </c>
      <c r="I43" s="2"/>
      <c r="J43" s="7">
        <f t="shared" si="21"/>
        <v>1.8705557845313418E-2</v>
      </c>
      <c r="K43" s="2"/>
      <c r="L43" s="6">
        <f t="shared" si="22"/>
        <v>1582</v>
      </c>
      <c r="M43" s="2"/>
      <c r="N43" s="7">
        <f t="shared" si="23"/>
        <v>9.3172329349460445E-2</v>
      </c>
      <c r="O43" s="11"/>
      <c r="P43" s="6">
        <v>70256.06</v>
      </c>
      <c r="Q43" s="2"/>
      <c r="R43" s="7">
        <f t="shared" si="24"/>
        <v>3.3280805829866013E-2</v>
      </c>
      <c r="S43" s="2"/>
      <c r="T43" s="6">
        <v>66219.06</v>
      </c>
      <c r="U43" s="2"/>
      <c r="V43" s="7">
        <f t="shared" si="25"/>
        <v>2.984328631651071E-2</v>
      </c>
      <c r="W43" s="2"/>
      <c r="X43" s="6">
        <f t="shared" si="26"/>
        <v>4037</v>
      </c>
      <c r="Y43" s="2"/>
      <c r="Z43" s="7">
        <f t="shared" si="27"/>
        <v>6.0964320544568289E-2</v>
      </c>
    </row>
    <row r="44" spans="1:26" s="24" customFormat="1" hidden="1" outlineLevel="2" x14ac:dyDescent="0.25">
      <c r="A44" s="26"/>
      <c r="B44" s="11" t="str">
        <f>CONCATENATE("          ", "6002", " - ", "STAFF SALARIES")</f>
        <v xml:space="preserve">          6002 - STAFF SALARIES</v>
      </c>
      <c r="C44" s="11"/>
      <c r="D44" s="6">
        <v>76976.070000000007</v>
      </c>
      <c r="E44" s="2"/>
      <c r="F44" s="7">
        <f t="shared" si="20"/>
        <v>8.8363339583405406E-2</v>
      </c>
      <c r="G44" s="2"/>
      <c r="H44" s="6">
        <v>69892.81</v>
      </c>
      <c r="I44" s="2"/>
      <c r="J44" s="7">
        <f t="shared" si="21"/>
        <v>7.6998743788845136E-2</v>
      </c>
      <c r="K44" s="2"/>
      <c r="L44" s="6">
        <f t="shared" si="22"/>
        <v>7083.2600000000093</v>
      </c>
      <c r="M44" s="2"/>
      <c r="N44" s="7">
        <f t="shared" si="23"/>
        <v>0.10134461613433499</v>
      </c>
      <c r="O44" s="11"/>
      <c r="P44" s="6">
        <v>240490.38</v>
      </c>
      <c r="Q44" s="2"/>
      <c r="R44" s="7">
        <f t="shared" si="24"/>
        <v>0.11392203947575046</v>
      </c>
      <c r="S44" s="2"/>
      <c r="T44" s="6">
        <v>228864.28999999998</v>
      </c>
      <c r="U44" s="2"/>
      <c r="V44" s="7">
        <f t="shared" si="25"/>
        <v>0.103143453472383</v>
      </c>
      <c r="W44" s="2"/>
      <c r="X44" s="6">
        <f t="shared" si="26"/>
        <v>11626.090000000026</v>
      </c>
      <c r="Y44" s="2"/>
      <c r="Z44" s="7">
        <f t="shared" si="27"/>
        <v>5.0799056506369025E-2</v>
      </c>
    </row>
    <row r="45" spans="1:26" s="24" customFormat="1" hidden="1" outlineLevel="2" x14ac:dyDescent="0.25">
      <c r="A45" s="26"/>
      <c r="B45" s="11" t="str">
        <f>CONCATENATE("          ", "6004", " - ", "STAFF HOURLY")</f>
        <v xml:space="preserve">          6004 - STAFF HOURLY</v>
      </c>
      <c r="C45" s="11"/>
      <c r="D45" s="6">
        <v>30306.700000000004</v>
      </c>
      <c r="E45" s="2"/>
      <c r="F45" s="7">
        <f t="shared" si="20"/>
        <v>3.4790048696333717E-2</v>
      </c>
      <c r="G45" s="2"/>
      <c r="H45" s="6">
        <v>22048.929999999997</v>
      </c>
      <c r="I45" s="2"/>
      <c r="J45" s="7">
        <f t="shared" si="21"/>
        <v>2.4290623196980932E-2</v>
      </c>
      <c r="K45" s="2"/>
      <c r="L45" s="6">
        <f t="shared" si="22"/>
        <v>8257.7700000000077</v>
      </c>
      <c r="M45" s="2"/>
      <c r="N45" s="7">
        <f t="shared" si="23"/>
        <v>0.37452021481314551</v>
      </c>
      <c r="O45" s="11"/>
      <c r="P45" s="6">
        <v>82835.27</v>
      </c>
      <c r="Q45" s="2"/>
      <c r="R45" s="7">
        <f t="shared" si="24"/>
        <v>3.923966895858557E-2</v>
      </c>
      <c r="S45" s="2"/>
      <c r="T45" s="6">
        <v>56276.39</v>
      </c>
      <c r="U45" s="2"/>
      <c r="V45" s="7">
        <f t="shared" si="25"/>
        <v>2.5362371794912526E-2</v>
      </c>
      <c r="W45" s="2"/>
      <c r="X45" s="6">
        <f t="shared" si="26"/>
        <v>26558.880000000005</v>
      </c>
      <c r="Y45" s="2"/>
      <c r="Z45" s="7">
        <f t="shared" si="27"/>
        <v>0.47193645505690762</v>
      </c>
    </row>
    <row r="46" spans="1:26" s="24" customFormat="1" hidden="1" outlineLevel="2" x14ac:dyDescent="0.25">
      <c r="A46" s="26"/>
      <c r="B46" s="11" t="str">
        <f>CONCATENATE("          ", "6005", " - ", "TEMPORARY WAGES-HOURLY")</f>
        <v xml:space="preserve">          6005 - TEMPORARY WAGES-HOURLY</v>
      </c>
      <c r="C46" s="11"/>
      <c r="D46" s="6">
        <v>76586.58</v>
      </c>
      <c r="E46" s="2"/>
      <c r="F46" s="7">
        <f t="shared" si="20"/>
        <v>8.7916231318014085E-2</v>
      </c>
      <c r="G46" s="2"/>
      <c r="H46" s="6">
        <v>62259.01</v>
      </c>
      <c r="I46" s="2"/>
      <c r="J46" s="7">
        <f t="shared" si="21"/>
        <v>6.8588822792174861E-2</v>
      </c>
      <c r="K46" s="2"/>
      <c r="L46" s="6">
        <f t="shared" si="22"/>
        <v>14327.57</v>
      </c>
      <c r="M46" s="2"/>
      <c r="N46" s="7">
        <f t="shared" si="23"/>
        <v>0.23012845851548233</v>
      </c>
      <c r="O46" s="11"/>
      <c r="P46" s="6">
        <v>190484.81</v>
      </c>
      <c r="Q46" s="2"/>
      <c r="R46" s="7">
        <f t="shared" si="24"/>
        <v>9.0234037820351998E-2</v>
      </c>
      <c r="S46" s="2"/>
      <c r="T46" s="6">
        <v>156066.74</v>
      </c>
      <c r="U46" s="2"/>
      <c r="V46" s="7">
        <f t="shared" si="25"/>
        <v>7.0335405037528997E-2</v>
      </c>
      <c r="W46" s="2"/>
      <c r="X46" s="6">
        <f t="shared" si="26"/>
        <v>34418.070000000007</v>
      </c>
      <c r="Y46" s="2"/>
      <c r="Z46" s="7">
        <f t="shared" si="27"/>
        <v>0.22053430474680261</v>
      </c>
    </row>
    <row r="47" spans="1:26" s="24" customFormat="1" hidden="1" outlineLevel="2" x14ac:dyDescent="0.25">
      <c r="A47" s="26"/>
      <c r="B47" s="11" t="str">
        <f>CONCATENATE("          ", "6006", " - ", "TEMPORARY PART TIME")</f>
        <v xml:space="preserve">          6006 - TEMPORARY PART TIME</v>
      </c>
      <c r="C47" s="11"/>
      <c r="D47" s="6">
        <v>2572.38</v>
      </c>
      <c r="E47" s="2"/>
      <c r="F47" s="7">
        <f t="shared" si="20"/>
        <v>2.9529188418889194E-3</v>
      </c>
      <c r="G47" s="2"/>
      <c r="H47" s="6">
        <v>1282.8699999999999</v>
      </c>
      <c r="I47" s="2"/>
      <c r="J47" s="7">
        <f t="shared" si="21"/>
        <v>1.4132981410304687E-3</v>
      </c>
      <c r="K47" s="2"/>
      <c r="L47" s="6">
        <f t="shared" si="22"/>
        <v>1289.5100000000002</v>
      </c>
      <c r="M47" s="2"/>
      <c r="N47" s="7">
        <f t="shared" si="23"/>
        <v>1.0051758946736618</v>
      </c>
      <c r="O47" s="11"/>
      <c r="P47" s="6">
        <v>9462.9</v>
      </c>
      <c r="Q47" s="2"/>
      <c r="R47" s="7">
        <f t="shared" si="24"/>
        <v>4.4826444507055909E-3</v>
      </c>
      <c r="S47" s="2"/>
      <c r="T47" s="6">
        <v>3204.87</v>
      </c>
      <c r="U47" s="2"/>
      <c r="V47" s="7">
        <f t="shared" si="25"/>
        <v>1.444355341456005E-3</v>
      </c>
      <c r="W47" s="2"/>
      <c r="X47" s="6">
        <f t="shared" si="26"/>
        <v>6258.03</v>
      </c>
      <c r="Y47" s="2"/>
      <c r="Z47" s="7">
        <f t="shared" si="27"/>
        <v>1.9526626665044136</v>
      </c>
    </row>
    <row r="48" spans="1:26" s="24" customFormat="1" hidden="1" outlineLevel="2" x14ac:dyDescent="0.25">
      <c r="A48" s="26"/>
      <c r="B48" s="11" t="str">
        <f>CONCATENATE("          ", "6007", " - ", "STUDENT HOURLY")</f>
        <v xml:space="preserve">          6007 - STUDENT HOURLY</v>
      </c>
      <c r="C48" s="11"/>
      <c r="D48" s="6">
        <v>90282.72</v>
      </c>
      <c r="E48" s="2"/>
      <c r="F48" s="7">
        <f t="shared" si="20"/>
        <v>0.10363847681329413</v>
      </c>
      <c r="G48" s="2"/>
      <c r="H48" s="6">
        <v>100669.18000000001</v>
      </c>
      <c r="I48" s="2"/>
      <c r="J48" s="7">
        <f t="shared" si="21"/>
        <v>0.11090411729408409</v>
      </c>
      <c r="K48" s="2"/>
      <c r="L48" s="6">
        <f t="shared" si="22"/>
        <v>-10386.460000000006</v>
      </c>
      <c r="M48" s="2"/>
      <c r="N48" s="7">
        <f t="shared" si="23"/>
        <v>-0.10317417902877529</v>
      </c>
      <c r="O48" s="11"/>
      <c r="P48" s="6">
        <v>280869.37</v>
      </c>
      <c r="Q48" s="2"/>
      <c r="R48" s="7">
        <f t="shared" si="24"/>
        <v>0.13304986027577967</v>
      </c>
      <c r="S48" s="2"/>
      <c r="T48" s="6">
        <v>270399.65999999997</v>
      </c>
      <c r="U48" s="2"/>
      <c r="V48" s="7">
        <f t="shared" si="25"/>
        <v>0.12186241352968689</v>
      </c>
      <c r="W48" s="2"/>
      <c r="X48" s="6">
        <f t="shared" si="26"/>
        <v>10469.710000000021</v>
      </c>
      <c r="Y48" s="2"/>
      <c r="Z48" s="7">
        <f t="shared" si="27"/>
        <v>3.871939040160044E-2</v>
      </c>
    </row>
    <row r="49" spans="1:26" s="24" customFormat="1" hidden="1" outlineLevel="2" x14ac:dyDescent="0.25">
      <c r="A49" s="26"/>
      <c r="B49" s="11" t="str">
        <f>CONCATENATE("          ", "6008", " - ", "STUDENT HOURLY-FICA EXEMPT")</f>
        <v xml:space="preserve">          6008 - STUDENT HOURLY-FICA EXEMPT</v>
      </c>
      <c r="C49" s="11"/>
      <c r="D49" s="6">
        <v>6929.5</v>
      </c>
      <c r="E49" s="2"/>
      <c r="F49" s="7">
        <f t="shared" si="20"/>
        <v>7.9545988986344414E-3</v>
      </c>
      <c r="G49" s="2"/>
      <c r="H49" s="6">
        <v>12641.47</v>
      </c>
      <c r="I49" s="2"/>
      <c r="J49" s="7">
        <f t="shared" si="21"/>
        <v>1.3926715918910286E-2</v>
      </c>
      <c r="K49" s="2"/>
      <c r="L49" s="6">
        <f t="shared" si="22"/>
        <v>-5711.9699999999993</v>
      </c>
      <c r="M49" s="2"/>
      <c r="N49" s="7">
        <f t="shared" si="23"/>
        <v>-0.45184381246801197</v>
      </c>
      <c r="O49" s="11"/>
      <c r="P49" s="6">
        <v>14346.97</v>
      </c>
      <c r="Q49" s="2"/>
      <c r="R49" s="7">
        <f t="shared" si="24"/>
        <v>6.7962638784029843E-3</v>
      </c>
      <c r="S49" s="2"/>
      <c r="T49" s="6">
        <v>26432.68</v>
      </c>
      <c r="U49" s="2"/>
      <c r="V49" s="7">
        <f t="shared" si="25"/>
        <v>1.1912552629903027E-2</v>
      </c>
      <c r="W49" s="2"/>
      <c r="X49" s="6">
        <f t="shared" si="26"/>
        <v>-12085.710000000001</v>
      </c>
      <c r="Y49" s="2"/>
      <c r="Z49" s="7">
        <f t="shared" si="27"/>
        <v>-0.45722605501977104</v>
      </c>
    </row>
    <row r="50" spans="1:26" s="27" customFormat="1" outlineLevel="1" collapsed="1" x14ac:dyDescent="0.25">
      <c r="A50" s="25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6031.99</v>
      </c>
      <c r="E50" s="1"/>
      <c r="F50" s="5">
        <f t="shared" ref="F50:F59" si="28">IF(D$12=0,0,D50/D$12)</f>
        <v>6.9243179176815012E-3</v>
      </c>
      <c r="G50" s="1"/>
      <c r="H50" s="1">
        <f>SUM(OSRRefH22_2x_0)</f>
        <v>4379.4399999999996</v>
      </c>
      <c r="I50" s="1"/>
      <c r="J50" s="5">
        <f t="shared" ref="J50:J59" si="29">IF(H$12=0,0,H50/H$12)</f>
        <v>4.8246933911888779E-3</v>
      </c>
      <c r="K50" s="1"/>
      <c r="L50" s="1">
        <f t="shared" ref="L50:L59" si="30">+D50-H50</f>
        <v>1652.5500000000002</v>
      </c>
      <c r="M50" s="1"/>
      <c r="N50" s="5">
        <f t="shared" ref="N50:N59" si="31">IF(H50=0,0,L50/H50)</f>
        <v>0.37734276528505933</v>
      </c>
      <c r="O50" s="13"/>
      <c r="P50" s="1">
        <f>SUM(OSRRefP22_2x_0)</f>
        <v>12669.11</v>
      </c>
      <c r="Q50" s="1"/>
      <c r="R50" s="5">
        <f t="shared" ref="R50:R59" si="32">IF(P$12=0,0,P50/P$12)</f>
        <v>6.0014494115840514E-3</v>
      </c>
      <c r="S50" s="1"/>
      <c r="T50" s="1">
        <f>SUM(OSRRefT22_2x_0)</f>
        <v>10302.33</v>
      </c>
      <c r="U50" s="1"/>
      <c r="V50" s="5">
        <f t="shared" ref="V50:V59" si="33">IF(T$12=0,0,T50/T$12)</f>
        <v>4.6430043542928243E-3</v>
      </c>
      <c r="W50" s="1"/>
      <c r="X50" s="1">
        <f t="shared" ref="X50:X59" si="34">+P50-T50</f>
        <v>2366.7800000000007</v>
      </c>
      <c r="Y50" s="1"/>
      <c r="Z50" s="5">
        <f t="shared" ref="Z50:Z59" si="35">IF(T50=0,0,X50/T50)</f>
        <v>0.22973249740592669</v>
      </c>
    </row>
    <row r="51" spans="1:26" s="24" customFormat="1" hidden="1" outlineLevel="2" x14ac:dyDescent="0.25">
      <c r="A51" s="26"/>
      <c r="B51" s="11" t="str">
        <f>CONCATENATE("          ", "6362", " - ", "ADVERTISING EXPENSE")</f>
        <v xml:space="preserve">          6362 - ADVERTISING EXPENSE</v>
      </c>
      <c r="C51" s="11"/>
      <c r="D51" s="6">
        <v>6031.99</v>
      </c>
      <c r="E51" s="2"/>
      <c r="F51" s="7">
        <f t="shared" si="28"/>
        <v>6.9243179176815012E-3</v>
      </c>
      <c r="G51" s="2"/>
      <c r="H51" s="6">
        <v>4379.4399999999996</v>
      </c>
      <c r="I51" s="2"/>
      <c r="J51" s="7">
        <f t="shared" si="29"/>
        <v>4.8246933911888779E-3</v>
      </c>
      <c r="K51" s="2"/>
      <c r="L51" s="6">
        <f t="shared" si="30"/>
        <v>1652.5500000000002</v>
      </c>
      <c r="M51" s="2"/>
      <c r="N51" s="7">
        <f t="shared" si="31"/>
        <v>0.37734276528505933</v>
      </c>
      <c r="O51" s="11"/>
      <c r="P51" s="6">
        <v>12669.11</v>
      </c>
      <c r="Q51" s="2"/>
      <c r="R51" s="7">
        <f t="shared" si="32"/>
        <v>6.0014494115840514E-3</v>
      </c>
      <c r="S51" s="2"/>
      <c r="T51" s="6">
        <v>10302.33</v>
      </c>
      <c r="U51" s="2"/>
      <c r="V51" s="7">
        <f t="shared" si="33"/>
        <v>4.6430043542928243E-3</v>
      </c>
      <c r="W51" s="2"/>
      <c r="X51" s="6">
        <f t="shared" si="34"/>
        <v>2366.7800000000007</v>
      </c>
      <c r="Y51" s="2"/>
      <c r="Z51" s="7">
        <f t="shared" si="35"/>
        <v>0.22973249740592669</v>
      </c>
    </row>
    <row r="52" spans="1:26" s="27" customFormat="1" outlineLevel="1" collapsed="1" x14ac:dyDescent="0.25">
      <c r="A52" s="25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21.31</v>
      </c>
      <c r="E52" s="1"/>
      <c r="F52" s="5">
        <f t="shared" si="28"/>
        <v>2.446244354280972E-5</v>
      </c>
      <c r="G52" s="1"/>
      <c r="H52" s="1">
        <f>SUM(OSRRefH22_3x_0)</f>
        <v>-892.8</v>
      </c>
      <c r="I52" s="1"/>
      <c r="J52" s="5">
        <f t="shared" si="29"/>
        <v>-9.8357010477445302E-4</v>
      </c>
      <c r="K52" s="1"/>
      <c r="L52" s="1">
        <f t="shared" si="30"/>
        <v>914.1099999999999</v>
      </c>
      <c r="M52" s="1"/>
      <c r="N52" s="5">
        <f t="shared" si="31"/>
        <v>-1.0238687275985663</v>
      </c>
      <c r="O52" s="13"/>
      <c r="P52" s="1">
        <f>SUM(OSRRefP22_3x_0)</f>
        <v>-29.95</v>
      </c>
      <c r="Q52" s="1"/>
      <c r="R52" s="5">
        <f t="shared" si="32"/>
        <v>-1.418753250046312E-5</v>
      </c>
      <c r="S52" s="1"/>
      <c r="T52" s="1">
        <f>SUM(OSRRefT22_3x_0)</f>
        <v>-395.56</v>
      </c>
      <c r="U52" s="1"/>
      <c r="V52" s="5">
        <f t="shared" si="33"/>
        <v>-1.7826907140268945E-4</v>
      </c>
      <c r="W52" s="1"/>
      <c r="X52" s="1">
        <f t="shared" si="34"/>
        <v>365.61</v>
      </c>
      <c r="Y52" s="1"/>
      <c r="Z52" s="5">
        <f t="shared" si="35"/>
        <v>-0.92428455860046521</v>
      </c>
    </row>
    <row r="53" spans="1:26" s="24" customFormat="1" hidden="1" outlineLevel="2" x14ac:dyDescent="0.25">
      <c r="A53" s="26"/>
      <c r="B53" s="11" t="str">
        <f>CONCATENATE("          ", "6272", " - ", "CASH (OVER/SHORT)")</f>
        <v xml:space="preserve">          6272 - CASH (OVER/SHORT)</v>
      </c>
      <c r="C53" s="11"/>
      <c r="D53" s="6">
        <v>21.31</v>
      </c>
      <c r="E53" s="2"/>
      <c r="F53" s="7">
        <f t="shared" si="28"/>
        <v>2.446244354280972E-5</v>
      </c>
      <c r="G53" s="2"/>
      <c r="H53" s="6">
        <v>-892.8</v>
      </c>
      <c r="I53" s="2"/>
      <c r="J53" s="7">
        <f t="shared" si="29"/>
        <v>-9.8357010477445302E-4</v>
      </c>
      <c r="K53" s="2"/>
      <c r="L53" s="6">
        <f t="shared" si="30"/>
        <v>914.1099999999999</v>
      </c>
      <c r="M53" s="2"/>
      <c r="N53" s="7">
        <f t="shared" si="31"/>
        <v>-1.0238687275985663</v>
      </c>
      <c r="O53" s="11"/>
      <c r="P53" s="6">
        <v>-29.95</v>
      </c>
      <c r="Q53" s="2"/>
      <c r="R53" s="7">
        <f t="shared" si="32"/>
        <v>-1.418753250046312E-5</v>
      </c>
      <c r="S53" s="2"/>
      <c r="T53" s="6">
        <v>-395.56</v>
      </c>
      <c r="U53" s="2"/>
      <c r="V53" s="7">
        <f t="shared" si="33"/>
        <v>-1.7826907140268945E-4</v>
      </c>
      <c r="W53" s="2"/>
      <c r="X53" s="6">
        <f t="shared" si="34"/>
        <v>365.61</v>
      </c>
      <c r="Y53" s="2"/>
      <c r="Z53" s="7">
        <f t="shared" si="35"/>
        <v>-0.92428455860046521</v>
      </c>
    </row>
    <row r="54" spans="1:26" s="27" customFormat="1" outlineLevel="1" collapsed="1" x14ac:dyDescent="0.25">
      <c r="A54" s="25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28761.3</v>
      </c>
      <c r="E54" s="1"/>
      <c r="F54" s="5">
        <f t="shared" si="28"/>
        <v>3.3016033668128261E-2</v>
      </c>
      <c r="G54" s="1"/>
      <c r="H54" s="1">
        <f>SUM(OSRRefH22_4x_0)</f>
        <v>28691.279999999999</v>
      </c>
      <c r="I54" s="1"/>
      <c r="J54" s="5">
        <f t="shared" si="29"/>
        <v>3.1608294439642887E-2</v>
      </c>
      <c r="K54" s="1"/>
      <c r="L54" s="1">
        <f t="shared" si="30"/>
        <v>70.020000000000437</v>
      </c>
      <c r="M54" s="1"/>
      <c r="N54" s="5">
        <f t="shared" si="31"/>
        <v>2.4404627468694474E-3</v>
      </c>
      <c r="O54" s="13"/>
      <c r="P54" s="1">
        <f>SUM(OSRRefP22_4x_0)</f>
        <v>62906.47</v>
      </c>
      <c r="Q54" s="1"/>
      <c r="R54" s="5">
        <f t="shared" si="32"/>
        <v>2.9799251673269057E-2</v>
      </c>
      <c r="S54" s="1"/>
      <c r="T54" s="1">
        <f>SUM(OSRRefT22_4x_0)</f>
        <v>61544.729999999996</v>
      </c>
      <c r="U54" s="1"/>
      <c r="V54" s="5">
        <f t="shared" si="33"/>
        <v>2.7736681835446565E-2</v>
      </c>
      <c r="W54" s="1"/>
      <c r="X54" s="1">
        <f t="shared" si="34"/>
        <v>1361.7400000000052</v>
      </c>
      <c r="Y54" s="1"/>
      <c r="Z54" s="5">
        <f t="shared" si="35"/>
        <v>2.2126021188166808E-2</v>
      </c>
    </row>
    <row r="55" spans="1:26" s="24" customFormat="1" hidden="1" outlineLevel="2" x14ac:dyDescent="0.25">
      <c r="A55" s="26"/>
      <c r="B55" s="11" t="str">
        <f>CONCATENATE("          ", "6381", " - ", "BANK/CREDIT CARD FEES")</f>
        <v xml:space="preserve">          6381 - BANK/CREDIT CARD FEES</v>
      </c>
      <c r="C55" s="11"/>
      <c r="D55" s="6">
        <v>28761.3</v>
      </c>
      <c r="E55" s="2"/>
      <c r="F55" s="7">
        <f t="shared" si="28"/>
        <v>3.3016033668128261E-2</v>
      </c>
      <c r="G55" s="2"/>
      <c r="H55" s="6">
        <v>28691.279999999999</v>
      </c>
      <c r="I55" s="2"/>
      <c r="J55" s="7">
        <f t="shared" si="29"/>
        <v>3.1608294439642887E-2</v>
      </c>
      <c r="K55" s="2"/>
      <c r="L55" s="6">
        <f t="shared" si="30"/>
        <v>70.020000000000437</v>
      </c>
      <c r="M55" s="2"/>
      <c r="N55" s="7">
        <f t="shared" si="31"/>
        <v>2.4404627468694474E-3</v>
      </c>
      <c r="O55" s="11"/>
      <c r="P55" s="6">
        <v>62906.47</v>
      </c>
      <c r="Q55" s="2"/>
      <c r="R55" s="7">
        <f t="shared" si="32"/>
        <v>2.9799251673269057E-2</v>
      </c>
      <c r="S55" s="2"/>
      <c r="T55" s="6">
        <v>61544.729999999996</v>
      </c>
      <c r="U55" s="2"/>
      <c r="V55" s="7">
        <f t="shared" si="33"/>
        <v>2.7736681835446565E-2</v>
      </c>
      <c r="W55" s="2"/>
      <c r="X55" s="6">
        <f t="shared" si="34"/>
        <v>1361.7400000000052</v>
      </c>
      <c r="Y55" s="2"/>
      <c r="Z55" s="7">
        <f t="shared" si="35"/>
        <v>2.2126021188166808E-2</v>
      </c>
    </row>
    <row r="56" spans="1:26" s="27" customFormat="1" outlineLevel="1" collapsed="1" x14ac:dyDescent="0.25">
      <c r="A56" s="25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39571.050000000003</v>
      </c>
      <c r="E56" s="1"/>
      <c r="F56" s="5">
        <f t="shared" si="28"/>
        <v>4.5424898008198059E-2</v>
      </c>
      <c r="G56" s="1"/>
      <c r="H56" s="1">
        <f>SUM(OSRRefH22_5x_0)</f>
        <v>35444.590000000004</v>
      </c>
      <c r="I56" s="1"/>
      <c r="J56" s="5">
        <f t="shared" si="29"/>
        <v>3.9048206877226176E-2</v>
      </c>
      <c r="K56" s="1"/>
      <c r="L56" s="1">
        <f t="shared" si="30"/>
        <v>4126.4599999999991</v>
      </c>
      <c r="M56" s="1"/>
      <c r="N56" s="5">
        <f t="shared" si="31"/>
        <v>0.11642002347890042</v>
      </c>
      <c r="O56" s="13"/>
      <c r="P56" s="1">
        <f>SUM(OSRRefP22_5x_0)</f>
        <v>158284.20000000001</v>
      </c>
      <c r="Q56" s="1"/>
      <c r="R56" s="5">
        <f t="shared" si="32"/>
        <v>7.4980375018691314E-2</v>
      </c>
      <c r="S56" s="1"/>
      <c r="T56" s="1">
        <f>SUM(OSRRefT22_5x_0)</f>
        <v>160752.22</v>
      </c>
      <c r="U56" s="1"/>
      <c r="V56" s="5">
        <f t="shared" si="33"/>
        <v>7.2447034546771275E-2</v>
      </c>
      <c r="W56" s="1"/>
      <c r="X56" s="1">
        <f t="shared" si="34"/>
        <v>-2468.0199999999895</v>
      </c>
      <c r="Y56" s="1"/>
      <c r="Z56" s="5">
        <f t="shared" si="35"/>
        <v>-1.5352945047975011E-2</v>
      </c>
    </row>
    <row r="57" spans="1:26" s="24" customFormat="1" hidden="1" outlineLevel="2" x14ac:dyDescent="0.25">
      <c r="A57" s="26"/>
      <c r="B57" s="11" t="str">
        <f>CONCATENATE("          ", "6321", " - ", "BUILDING DEPRECIATION")</f>
        <v xml:space="preserve">          6321 - BUILDING DEPRECIATION</v>
      </c>
      <c r="C57" s="11"/>
      <c r="D57" s="6">
        <v>24042.959999999999</v>
      </c>
      <c r="E57" s="2"/>
      <c r="F57" s="7">
        <f t="shared" si="28"/>
        <v>2.7599697400376929E-2</v>
      </c>
      <c r="G57" s="2"/>
      <c r="H57" s="6">
        <v>21516.510000000002</v>
      </c>
      <c r="I57" s="2"/>
      <c r="J57" s="7">
        <f t="shared" si="29"/>
        <v>2.3704072575135043E-2</v>
      </c>
      <c r="K57" s="2"/>
      <c r="L57" s="6">
        <f t="shared" si="30"/>
        <v>2526.4499999999971</v>
      </c>
      <c r="M57" s="2"/>
      <c r="N57" s="7">
        <f t="shared" si="31"/>
        <v>0.11741913535234091</v>
      </c>
      <c r="O57" s="11"/>
      <c r="P57" s="6">
        <v>96171.839999999997</v>
      </c>
      <c r="Q57" s="2"/>
      <c r="R57" s="7">
        <f t="shared" si="32"/>
        <v>4.5557299019343543E-2</v>
      </c>
      <c r="S57" s="2"/>
      <c r="T57" s="6">
        <v>105039.90000000001</v>
      </c>
      <c r="U57" s="2"/>
      <c r="V57" s="7">
        <f t="shared" si="33"/>
        <v>4.7338875096651231E-2</v>
      </c>
      <c r="W57" s="2"/>
      <c r="X57" s="6">
        <f t="shared" si="34"/>
        <v>-8868.0600000000122</v>
      </c>
      <c r="Y57" s="2"/>
      <c r="Z57" s="7">
        <f t="shared" si="35"/>
        <v>-8.4425632545347157E-2</v>
      </c>
    </row>
    <row r="58" spans="1:26" s="24" customFormat="1" hidden="1" outlineLevel="2" x14ac:dyDescent="0.25">
      <c r="A58" s="26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15103.84</v>
      </c>
      <c r="E58" s="2"/>
      <c r="F58" s="7">
        <f t="shared" si="28"/>
        <v>1.733819020552E-2</v>
      </c>
      <c r="G58" s="2"/>
      <c r="H58" s="6">
        <v>13503.83</v>
      </c>
      <c r="I58" s="2"/>
      <c r="J58" s="7">
        <f t="shared" si="29"/>
        <v>1.4876751218589159E-2</v>
      </c>
      <c r="K58" s="2"/>
      <c r="L58" s="6">
        <f t="shared" si="30"/>
        <v>1600.0100000000002</v>
      </c>
      <c r="M58" s="2"/>
      <c r="N58" s="7">
        <f t="shared" si="31"/>
        <v>0.11848564444309505</v>
      </c>
      <c r="O58" s="11"/>
      <c r="P58" s="6">
        <v>60415.360000000001</v>
      </c>
      <c r="Q58" s="2"/>
      <c r="R58" s="7">
        <f t="shared" si="32"/>
        <v>2.8619194775531872E-2</v>
      </c>
      <c r="S58" s="2"/>
      <c r="T58" s="6">
        <v>54015.32</v>
      </c>
      <c r="U58" s="2"/>
      <c r="V58" s="7">
        <f t="shared" si="33"/>
        <v>2.4343363681664273E-2</v>
      </c>
      <c r="W58" s="2"/>
      <c r="X58" s="6">
        <f t="shared" si="34"/>
        <v>6400.0400000000009</v>
      </c>
      <c r="Y58" s="2"/>
      <c r="Z58" s="7">
        <f t="shared" si="35"/>
        <v>0.11848564444309505</v>
      </c>
    </row>
    <row r="59" spans="1:26" s="24" customFormat="1" hidden="1" outlineLevel="2" x14ac:dyDescent="0.25">
      <c r="A59" s="26"/>
      <c r="B59" s="11" t="str">
        <f>CONCATENATE("          ", "6326", " - ", "VEHICLES DEPRECIATION EXPENSE")</f>
        <v xml:space="preserve">          6326 - VEHICLES DEPRECIATION EXPENSE</v>
      </c>
      <c r="C59" s="11"/>
      <c r="D59" s="6">
        <v>424.25</v>
      </c>
      <c r="E59" s="2"/>
      <c r="F59" s="7">
        <f t="shared" si="28"/>
        <v>4.8701040230112738E-4</v>
      </c>
      <c r="G59" s="2"/>
      <c r="H59" s="6">
        <v>424.25</v>
      </c>
      <c r="I59" s="2"/>
      <c r="J59" s="7">
        <f t="shared" si="29"/>
        <v>4.6738308350197322E-4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1697</v>
      </c>
      <c r="Q59" s="2"/>
      <c r="R59" s="7">
        <f t="shared" si="32"/>
        <v>8.038812238158903E-4</v>
      </c>
      <c r="S59" s="2"/>
      <c r="T59" s="6">
        <v>1697</v>
      </c>
      <c r="U59" s="2"/>
      <c r="V59" s="7">
        <f t="shared" si="33"/>
        <v>7.6479576845576904E-4</v>
      </c>
      <c r="W59" s="2"/>
      <c r="X59" s="6">
        <f t="shared" si="34"/>
        <v>0</v>
      </c>
      <c r="Y59" s="2"/>
      <c r="Z59" s="7">
        <f t="shared" si="35"/>
        <v>0</v>
      </c>
    </row>
    <row r="60" spans="1:26" s="27" customFormat="1" outlineLevel="1" collapsed="1" x14ac:dyDescent="0.25">
      <c r="A60" s="25"/>
      <c r="B60" s="13" t="str">
        <f>CONCATENATE("     ","Donations                                         ")</f>
        <v xml:space="preserve">     Donations                                         </v>
      </c>
      <c r="C60" s="13"/>
      <c r="D60" s="1">
        <f>SUM(OSRRefD22_6x_0)</f>
        <v>163.68</v>
      </c>
      <c r="E60" s="1"/>
      <c r="F60" s="5">
        <f t="shared" ref="F60:F68" si="36">IF(D$12=0,0,D60/D$12)</f>
        <v>1.8789360671455163E-4</v>
      </c>
      <c r="G60" s="1"/>
      <c r="H60" s="1">
        <f>SUM(OSRRefH22_6x_0)</f>
        <v>188.24</v>
      </c>
      <c r="I60" s="1"/>
      <c r="J60" s="5">
        <f t="shared" ref="J60:J68" si="37">IF(H$12=0,0,H60/H$12)</f>
        <v>2.0737817710880717E-4</v>
      </c>
      <c r="K60" s="1"/>
      <c r="L60" s="1">
        <f t="shared" ref="L60:L68" si="38">+D60-H60</f>
        <v>-24.560000000000002</v>
      </c>
      <c r="M60" s="1"/>
      <c r="N60" s="5">
        <f t="shared" ref="N60:N68" si="39">IF(H60=0,0,L60/H60)</f>
        <v>-0.13047173820654484</v>
      </c>
      <c r="O60" s="13"/>
      <c r="P60" s="1">
        <f>SUM(OSRRefP22_6x_0)</f>
        <v>163.68</v>
      </c>
      <c r="Q60" s="1"/>
      <c r="R60" s="5">
        <f t="shared" ref="R60:R68" si="40">IF(P$12=0,0,P60/P$12)</f>
        <v>7.7536404663632841E-5</v>
      </c>
      <c r="S60" s="1"/>
      <c r="T60" s="1">
        <f>SUM(OSRRefT22_6x_0)</f>
        <v>688.24</v>
      </c>
      <c r="U60" s="1"/>
      <c r="V60" s="5">
        <f t="shared" ref="V60:V68" si="41">IF(T$12=0,0,T60/T$12)</f>
        <v>3.1017268101473099E-4</v>
      </c>
      <c r="W60" s="1"/>
      <c r="X60" s="1">
        <f t="shared" ref="X60:X68" si="42">+P60-T60</f>
        <v>-524.55999999999995</v>
      </c>
      <c r="Y60" s="1"/>
      <c r="Z60" s="5">
        <f t="shared" ref="Z60:Z68" si="43">IF(T60=0,0,X60/T60)</f>
        <v>-0.76217598512146911</v>
      </c>
    </row>
    <row r="61" spans="1:26" s="24" customFormat="1" hidden="1" outlineLevel="2" x14ac:dyDescent="0.25">
      <c r="A61" s="26"/>
      <c r="B61" s="11" t="str">
        <f>CONCATENATE("          ", "6399", " - ", "DONATION-ON CAMPUS")</f>
        <v xml:space="preserve">          6399 - DONATION-ON CAMPUS</v>
      </c>
      <c r="C61" s="11"/>
      <c r="D61" s="6">
        <v>163.68</v>
      </c>
      <c r="E61" s="2"/>
      <c r="F61" s="7">
        <f t="shared" si="36"/>
        <v>1.8789360671455163E-4</v>
      </c>
      <c r="G61" s="2"/>
      <c r="H61" s="6">
        <v>188.24</v>
      </c>
      <c r="I61" s="2"/>
      <c r="J61" s="7">
        <f t="shared" si="37"/>
        <v>2.0737817710880717E-4</v>
      </c>
      <c r="K61" s="2"/>
      <c r="L61" s="6">
        <f t="shared" si="38"/>
        <v>-24.560000000000002</v>
      </c>
      <c r="M61" s="2"/>
      <c r="N61" s="7">
        <f t="shared" si="39"/>
        <v>-0.13047173820654484</v>
      </c>
      <c r="O61" s="11"/>
      <c r="P61" s="6">
        <v>163.68</v>
      </c>
      <c r="Q61" s="2"/>
      <c r="R61" s="7">
        <f t="shared" si="40"/>
        <v>7.7536404663632841E-5</v>
      </c>
      <c r="S61" s="2"/>
      <c r="T61" s="6">
        <v>688.24</v>
      </c>
      <c r="U61" s="2"/>
      <c r="V61" s="7">
        <f t="shared" si="41"/>
        <v>3.1017268101473099E-4</v>
      </c>
      <c r="W61" s="2"/>
      <c r="X61" s="6">
        <f t="shared" si="42"/>
        <v>-524.55999999999995</v>
      </c>
      <c r="Y61" s="2"/>
      <c r="Z61" s="7">
        <f t="shared" si="43"/>
        <v>-0.76217598512146911</v>
      </c>
    </row>
    <row r="62" spans="1:26" s="27" customFormat="1" outlineLevel="1" collapsed="1" x14ac:dyDescent="0.25">
      <c r="A62" s="25"/>
      <c r="B62" s="13" t="str">
        <f>CONCATENATE("     ","Employees' Appreciation                           ")</f>
        <v xml:space="preserve">     Employees' Appreciation                           </v>
      </c>
      <c r="C62" s="13"/>
      <c r="D62" s="1">
        <f>SUM(OSRRefD22_7x_0)</f>
        <v>33.28</v>
      </c>
      <c r="E62" s="1"/>
      <c r="F62" s="5">
        <f t="shared" si="36"/>
        <v>3.8203196673144418E-5</v>
      </c>
      <c r="G62" s="1"/>
      <c r="H62" s="1">
        <f>SUM(OSRRefH22_7x_0)</f>
        <v>145.63</v>
      </c>
      <c r="I62" s="1"/>
      <c r="J62" s="5">
        <f t="shared" si="37"/>
        <v>1.6043605998913933E-4</v>
      </c>
      <c r="K62" s="1"/>
      <c r="L62" s="1">
        <f t="shared" si="38"/>
        <v>-112.35</v>
      </c>
      <c r="M62" s="1"/>
      <c r="N62" s="5">
        <f t="shared" si="39"/>
        <v>-0.77147565748815494</v>
      </c>
      <c r="O62" s="13"/>
      <c r="P62" s="1">
        <f>SUM(OSRRefP22_7x_0)</f>
        <v>452.84</v>
      </c>
      <c r="Q62" s="1"/>
      <c r="R62" s="5">
        <f t="shared" si="40"/>
        <v>2.1451359657795389E-4</v>
      </c>
      <c r="S62" s="1"/>
      <c r="T62" s="1">
        <f>SUM(OSRRefT22_7x_0)</f>
        <v>837.84</v>
      </c>
      <c r="U62" s="1"/>
      <c r="V62" s="5">
        <f t="shared" si="41"/>
        <v>3.775936868844912E-4</v>
      </c>
      <c r="W62" s="1"/>
      <c r="X62" s="1">
        <f t="shared" si="42"/>
        <v>-385.00000000000006</v>
      </c>
      <c r="Y62" s="1"/>
      <c r="Z62" s="5">
        <f t="shared" si="43"/>
        <v>-0.45951494318724345</v>
      </c>
    </row>
    <row r="63" spans="1:26" s="24" customFormat="1" hidden="1" outlineLevel="2" x14ac:dyDescent="0.25">
      <c r="A63" s="26"/>
      <c r="B63" s="11" t="str">
        <f>CONCATENATE("          ", "6277", " - ", "EMPLOYEE APPRECIATION")</f>
        <v xml:space="preserve">          6277 - EMPLOYEE APPRECIATION</v>
      </c>
      <c r="C63" s="11"/>
      <c r="D63" s="6">
        <v>33.28</v>
      </c>
      <c r="E63" s="2"/>
      <c r="F63" s="7">
        <f t="shared" si="36"/>
        <v>3.8203196673144418E-5</v>
      </c>
      <c r="G63" s="2"/>
      <c r="H63" s="6">
        <v>145.63</v>
      </c>
      <c r="I63" s="2"/>
      <c r="J63" s="7">
        <f t="shared" si="37"/>
        <v>1.6043605998913933E-4</v>
      </c>
      <c r="K63" s="2"/>
      <c r="L63" s="6">
        <f t="shared" si="38"/>
        <v>-112.35</v>
      </c>
      <c r="M63" s="2"/>
      <c r="N63" s="7">
        <f t="shared" si="39"/>
        <v>-0.77147565748815494</v>
      </c>
      <c r="O63" s="11"/>
      <c r="P63" s="6">
        <v>452.84</v>
      </c>
      <c r="Q63" s="2"/>
      <c r="R63" s="7">
        <f t="shared" si="40"/>
        <v>2.1451359657795389E-4</v>
      </c>
      <c r="S63" s="2"/>
      <c r="T63" s="6">
        <v>837.84</v>
      </c>
      <c r="U63" s="2"/>
      <c r="V63" s="7">
        <f t="shared" si="41"/>
        <v>3.775936868844912E-4</v>
      </c>
      <c r="W63" s="2"/>
      <c r="X63" s="6">
        <f t="shared" si="42"/>
        <v>-385.00000000000006</v>
      </c>
      <c r="Y63" s="2"/>
      <c r="Z63" s="7">
        <f t="shared" si="43"/>
        <v>-0.45951494318724345</v>
      </c>
    </row>
    <row r="64" spans="1:26" s="27" customFormat="1" outlineLevel="1" collapsed="1" x14ac:dyDescent="0.25">
      <c r="A64" s="25"/>
      <c r="B64" s="13" t="str">
        <f>CONCATENATE("     ","Equipment Rental                                  ")</f>
        <v xml:space="preserve">     Equipment Rental                                  </v>
      </c>
      <c r="C64" s="13"/>
      <c r="D64" s="1">
        <f>SUM(OSRRefD22_8x_0)</f>
        <v>3845.35</v>
      </c>
      <c r="E64" s="1"/>
      <c r="F64" s="5">
        <f t="shared" si="36"/>
        <v>4.4142025939626168E-3</v>
      </c>
      <c r="G64" s="1"/>
      <c r="H64" s="1">
        <f>SUM(OSRRefH22_8x_0)</f>
        <v>1434.5</v>
      </c>
      <c r="I64" s="1"/>
      <c r="J64" s="5">
        <f t="shared" si="37"/>
        <v>1.5803442151645977E-3</v>
      </c>
      <c r="K64" s="1"/>
      <c r="L64" s="1">
        <f t="shared" si="38"/>
        <v>2410.85</v>
      </c>
      <c r="M64" s="1"/>
      <c r="N64" s="5">
        <f t="shared" si="39"/>
        <v>1.6806204252352734</v>
      </c>
      <c r="O64" s="13"/>
      <c r="P64" s="1">
        <f>SUM(OSRRefP22_8x_0)</f>
        <v>10214.16</v>
      </c>
      <c r="Q64" s="1"/>
      <c r="R64" s="5">
        <f t="shared" si="40"/>
        <v>4.8385217684450881E-3</v>
      </c>
      <c r="S64" s="1"/>
      <c r="T64" s="1">
        <f>SUM(OSRRefT22_8x_0)</f>
        <v>5808.54</v>
      </c>
      <c r="U64" s="1"/>
      <c r="V64" s="5">
        <f t="shared" si="41"/>
        <v>2.617764768948776E-3</v>
      </c>
      <c r="W64" s="1"/>
      <c r="X64" s="1">
        <f t="shared" si="42"/>
        <v>4405.62</v>
      </c>
      <c r="Y64" s="1"/>
      <c r="Z64" s="5">
        <f t="shared" si="43"/>
        <v>0.75847286925802349</v>
      </c>
    </row>
    <row r="65" spans="1:26" s="24" customFormat="1" hidden="1" outlineLevel="2" x14ac:dyDescent="0.25">
      <c r="A65" s="26"/>
      <c r="B65" s="11" t="str">
        <f>CONCATENATE("          ", "6351", " - ", "EQUIPMENT RENTAL")</f>
        <v xml:space="preserve">          6351 - EQUIPMENT RENTAL</v>
      </c>
      <c r="C65" s="11"/>
      <c r="D65" s="6">
        <v>3845.35</v>
      </c>
      <c r="E65" s="2"/>
      <c r="F65" s="7">
        <f t="shared" si="36"/>
        <v>4.4142025939626168E-3</v>
      </c>
      <c r="G65" s="2"/>
      <c r="H65" s="6">
        <v>1434.5</v>
      </c>
      <c r="I65" s="2"/>
      <c r="J65" s="7">
        <f t="shared" si="37"/>
        <v>1.5803442151645977E-3</v>
      </c>
      <c r="K65" s="2"/>
      <c r="L65" s="6">
        <f t="shared" si="38"/>
        <v>2410.85</v>
      </c>
      <c r="M65" s="2"/>
      <c r="N65" s="7">
        <f t="shared" si="39"/>
        <v>1.6806204252352734</v>
      </c>
      <c r="O65" s="11"/>
      <c r="P65" s="6">
        <v>10214.16</v>
      </c>
      <c r="Q65" s="2"/>
      <c r="R65" s="7">
        <f t="shared" si="40"/>
        <v>4.8385217684450881E-3</v>
      </c>
      <c r="S65" s="2"/>
      <c r="T65" s="6">
        <v>5808.54</v>
      </c>
      <c r="U65" s="2"/>
      <c r="V65" s="7">
        <f t="shared" si="41"/>
        <v>2.617764768948776E-3</v>
      </c>
      <c r="W65" s="2"/>
      <c r="X65" s="6">
        <f t="shared" si="42"/>
        <v>4405.62</v>
      </c>
      <c r="Y65" s="2"/>
      <c r="Z65" s="7">
        <f t="shared" si="43"/>
        <v>0.75847286925802349</v>
      </c>
    </row>
    <row r="66" spans="1:26" s="27" customFormat="1" outlineLevel="1" collapsed="1" x14ac:dyDescent="0.25">
      <c r="A66" s="25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9600.36</v>
      </c>
      <c r="E66" s="1"/>
      <c r="F66" s="5">
        <f t="shared" si="36"/>
        <v>1.1020566142217209E-2</v>
      </c>
      <c r="G66" s="1"/>
      <c r="H66" s="1">
        <f>SUM(OSRRefH22_9x_0)</f>
        <v>3663.67</v>
      </c>
      <c r="I66" s="1"/>
      <c r="J66" s="5">
        <f t="shared" si="37"/>
        <v>4.0361517537623433E-3</v>
      </c>
      <c r="K66" s="1"/>
      <c r="L66" s="1">
        <f t="shared" si="38"/>
        <v>5936.6900000000005</v>
      </c>
      <c r="M66" s="1"/>
      <c r="N66" s="5">
        <f t="shared" si="39"/>
        <v>1.6204215991069066</v>
      </c>
      <c r="O66" s="13"/>
      <c r="P66" s="1">
        <f>SUM(OSRRefP22_9x_0)</f>
        <v>39118.49</v>
      </c>
      <c r="Q66" s="1"/>
      <c r="R66" s="5">
        <f t="shared" si="40"/>
        <v>1.8530712796128265E-2</v>
      </c>
      <c r="S66" s="1"/>
      <c r="T66" s="1">
        <f>SUM(OSRRefT22_9x_0)</f>
        <v>25433.66</v>
      </c>
      <c r="U66" s="1"/>
      <c r="V66" s="5">
        <f t="shared" si="41"/>
        <v>1.1462319118646291E-2</v>
      </c>
      <c r="W66" s="1"/>
      <c r="X66" s="1">
        <f t="shared" si="42"/>
        <v>13684.829999999998</v>
      </c>
      <c r="Y66" s="1"/>
      <c r="Z66" s="5">
        <f t="shared" si="43"/>
        <v>0.53805979949405625</v>
      </c>
    </row>
    <row r="67" spans="1:26" s="24" customFormat="1" hidden="1" outlineLevel="2" x14ac:dyDescent="0.25">
      <c r="A67" s="26"/>
      <c r="B67" s="11" t="str">
        <f>CONCATENATE("          ", "6269", " - ", "ENTERTAINMENT")</f>
        <v xml:space="preserve">          6269 - ENTERTAINMENT</v>
      </c>
      <c r="C67" s="11"/>
      <c r="D67" s="6">
        <v>1850</v>
      </c>
      <c r="E67" s="2"/>
      <c r="F67" s="7">
        <f t="shared" si="36"/>
        <v>2.1236752958328476E-3</v>
      </c>
      <c r="G67" s="2"/>
      <c r="H67" s="6">
        <v>960</v>
      </c>
      <c r="I67" s="2"/>
      <c r="J67" s="7">
        <f t="shared" si="37"/>
        <v>1.0576022631983365E-3</v>
      </c>
      <c r="K67" s="2"/>
      <c r="L67" s="6">
        <f t="shared" si="38"/>
        <v>890</v>
      </c>
      <c r="M67" s="2"/>
      <c r="N67" s="7">
        <f t="shared" si="39"/>
        <v>0.92708333333333337</v>
      </c>
      <c r="O67" s="11"/>
      <c r="P67" s="6">
        <v>5500</v>
      </c>
      <c r="Q67" s="2"/>
      <c r="R67" s="7">
        <f t="shared" si="40"/>
        <v>2.6053899416543292E-3</v>
      </c>
      <c r="S67" s="2"/>
      <c r="T67" s="6">
        <v>4060</v>
      </c>
      <c r="U67" s="2"/>
      <c r="V67" s="7">
        <f t="shared" si="41"/>
        <v>1.8297412020803904E-3</v>
      </c>
      <c r="W67" s="2"/>
      <c r="X67" s="6">
        <f t="shared" si="42"/>
        <v>1440</v>
      </c>
      <c r="Y67" s="2"/>
      <c r="Z67" s="7">
        <f t="shared" si="43"/>
        <v>0.35467980295566504</v>
      </c>
    </row>
    <row r="68" spans="1:26" s="24" customFormat="1" hidden="1" outlineLevel="2" x14ac:dyDescent="0.25">
      <c r="A68" s="26"/>
      <c r="B68" s="11" t="str">
        <f>CONCATENATE("          ", "6279", " - ", "GENERAL EXPENSE")</f>
        <v xml:space="preserve">          6279 - GENERAL EXPENSE</v>
      </c>
      <c r="C68" s="11"/>
      <c r="D68" s="6">
        <v>7750.36</v>
      </c>
      <c r="E68" s="2"/>
      <c r="F68" s="7">
        <f t="shared" si="36"/>
        <v>8.8968908463843612E-3</v>
      </c>
      <c r="G68" s="2"/>
      <c r="H68" s="6">
        <v>2703.67</v>
      </c>
      <c r="I68" s="2"/>
      <c r="J68" s="7">
        <f t="shared" si="37"/>
        <v>2.978549490564007E-3</v>
      </c>
      <c r="K68" s="2"/>
      <c r="L68" s="6">
        <f t="shared" si="38"/>
        <v>5046.6899999999996</v>
      </c>
      <c r="M68" s="2"/>
      <c r="N68" s="7">
        <f t="shared" si="39"/>
        <v>1.8666072412683499</v>
      </c>
      <c r="O68" s="11"/>
      <c r="P68" s="6">
        <v>33618.49</v>
      </c>
      <c r="Q68" s="2"/>
      <c r="R68" s="7">
        <f t="shared" si="40"/>
        <v>1.5925322854473935E-2</v>
      </c>
      <c r="S68" s="2"/>
      <c r="T68" s="6">
        <v>21373.66</v>
      </c>
      <c r="U68" s="2"/>
      <c r="V68" s="7">
        <f t="shared" si="41"/>
        <v>9.6325779165658994E-3</v>
      </c>
      <c r="W68" s="2"/>
      <c r="X68" s="6">
        <f t="shared" si="42"/>
        <v>12244.829999999998</v>
      </c>
      <c r="Y68" s="2"/>
      <c r="Z68" s="7">
        <f t="shared" si="43"/>
        <v>0.57289345858407026</v>
      </c>
    </row>
    <row r="69" spans="1:26" s="27" customFormat="1" outlineLevel="1" collapsed="1" x14ac:dyDescent="0.25">
      <c r="A69" s="25"/>
      <c r="B69" s="13" t="str">
        <f>CONCATENATE("     ","Insurance                                         ")</f>
        <v xml:space="preserve">     Insurance                                         </v>
      </c>
      <c r="C69" s="13"/>
      <c r="D69" s="1">
        <f>SUM(OSRRefD22_10x_0)</f>
        <v>4240.13</v>
      </c>
      <c r="E69" s="1"/>
      <c r="F69" s="5">
        <f t="shared" ref="F69:F80" si="44">IF(D$12=0,0,D69/D$12)</f>
        <v>4.8673834227674229E-3</v>
      </c>
      <c r="G69" s="1"/>
      <c r="H69" s="1">
        <f>SUM(OSRRefH22_10x_0)</f>
        <v>3993.18</v>
      </c>
      <c r="I69" s="1"/>
      <c r="J69" s="5">
        <f t="shared" ref="J69:J80" si="45">IF(H$12=0,0,H69/H$12)</f>
        <v>4.3991627139149305E-3</v>
      </c>
      <c r="K69" s="1"/>
      <c r="L69" s="1">
        <f t="shared" ref="L69:L80" si="46">+D69-H69</f>
        <v>246.95000000000027</v>
      </c>
      <c r="M69" s="1"/>
      <c r="N69" s="5">
        <f t="shared" ref="N69:N80" si="47">IF(H69=0,0,L69/H69)</f>
        <v>6.1842942216479166E-2</v>
      </c>
      <c r="O69" s="13"/>
      <c r="P69" s="1">
        <f>SUM(OSRRefP22_10x_0)</f>
        <v>16960.52</v>
      </c>
      <c r="Q69" s="1"/>
      <c r="R69" s="5">
        <f t="shared" ref="R69:R80" si="48">IF(P$12=0,0,P69/P$12)</f>
        <v>8.0343214933140152E-3</v>
      </c>
      <c r="S69" s="1"/>
      <c r="T69" s="1">
        <f>SUM(OSRRefT22_10x_0)</f>
        <v>20560.72</v>
      </c>
      <c r="U69" s="1"/>
      <c r="V69" s="5">
        <f t="shared" ref="V69:V80" si="49">IF(T$12=0,0,T69/T$12)</f>
        <v>9.2662060414872727E-3</v>
      </c>
      <c r="W69" s="1"/>
      <c r="X69" s="1">
        <f t="shared" ref="X69:X80" si="50">+P69-T69</f>
        <v>-3600.2000000000007</v>
      </c>
      <c r="Y69" s="1"/>
      <c r="Z69" s="5">
        <f t="shared" ref="Z69:Z80" si="51">IF(T69=0,0,X69/T69)</f>
        <v>-0.17510087195390048</v>
      </c>
    </row>
    <row r="70" spans="1:26" s="24" customFormat="1" hidden="1" outlineLevel="2" x14ac:dyDescent="0.25">
      <c r="A70" s="26"/>
      <c r="B70" s="11" t="str">
        <f>CONCATENATE("          ", "6314", " - ", "LIABILITY INSURANCE")</f>
        <v xml:space="preserve">          6314 - LIABILITY INSURANCE</v>
      </c>
      <c r="C70" s="11"/>
      <c r="D70" s="6">
        <v>4240.13</v>
      </c>
      <c r="E70" s="2"/>
      <c r="F70" s="7">
        <f t="shared" si="44"/>
        <v>4.8673834227674229E-3</v>
      </c>
      <c r="G70" s="2"/>
      <c r="H70" s="6">
        <v>3993.18</v>
      </c>
      <c r="I70" s="2"/>
      <c r="J70" s="7">
        <f t="shared" si="45"/>
        <v>4.3991627139149305E-3</v>
      </c>
      <c r="K70" s="2"/>
      <c r="L70" s="6">
        <f t="shared" si="46"/>
        <v>246.95000000000027</v>
      </c>
      <c r="M70" s="2"/>
      <c r="N70" s="7">
        <f t="shared" si="47"/>
        <v>6.1842942216479166E-2</v>
      </c>
      <c r="O70" s="11"/>
      <c r="P70" s="6">
        <v>16960.52</v>
      </c>
      <c r="Q70" s="2"/>
      <c r="R70" s="7">
        <f t="shared" si="48"/>
        <v>8.0343214933140152E-3</v>
      </c>
      <c r="S70" s="2"/>
      <c r="T70" s="6">
        <v>20560.72</v>
      </c>
      <c r="U70" s="2"/>
      <c r="V70" s="7">
        <f t="shared" si="49"/>
        <v>9.2662060414872727E-3</v>
      </c>
      <c r="W70" s="2"/>
      <c r="X70" s="6">
        <f t="shared" si="50"/>
        <v>-3600.2000000000007</v>
      </c>
      <c r="Y70" s="2"/>
      <c r="Z70" s="7">
        <f t="shared" si="51"/>
        <v>-0.17510087195390048</v>
      </c>
    </row>
    <row r="71" spans="1:26" s="27" customFormat="1" outlineLevel="1" collapsed="1" x14ac:dyDescent="0.25">
      <c r="A71" s="25"/>
      <c r="B71" s="13" t="str">
        <f>CONCATENATE("     ","Interest                                          ")</f>
        <v xml:space="preserve">     Interest                                          </v>
      </c>
      <c r="C71" s="13"/>
      <c r="D71" s="1">
        <f>SUM(OSRRefD22_11x_0)</f>
        <v>7733.05</v>
      </c>
      <c r="E71" s="1"/>
      <c r="F71" s="5">
        <f t="shared" si="44"/>
        <v>8.8770201332109208E-3</v>
      </c>
      <c r="G71" s="1"/>
      <c r="H71" s="1">
        <f>SUM(OSRRefH22_11x_0)</f>
        <v>7549.1</v>
      </c>
      <c r="I71" s="1"/>
      <c r="J71" s="5">
        <f t="shared" si="45"/>
        <v>8.3166096303235026E-3</v>
      </c>
      <c r="K71" s="1"/>
      <c r="L71" s="1">
        <f t="shared" si="46"/>
        <v>183.94999999999982</v>
      </c>
      <c r="M71" s="1"/>
      <c r="N71" s="5">
        <f t="shared" si="47"/>
        <v>2.4367143103151342E-2</v>
      </c>
      <c r="O71" s="13"/>
      <c r="P71" s="1">
        <f>SUM(OSRRefP22_11x_0)</f>
        <v>30623.05</v>
      </c>
      <c r="Q71" s="1"/>
      <c r="R71" s="5">
        <f t="shared" si="48"/>
        <v>1.4506361173232292E-2</v>
      </c>
      <c r="S71" s="1"/>
      <c r="T71" s="1">
        <f>SUM(OSRRefT22_11x_0)</f>
        <v>31396.099999999995</v>
      </c>
      <c r="U71" s="1"/>
      <c r="V71" s="5">
        <f t="shared" si="49"/>
        <v>1.4149442796708408E-2</v>
      </c>
      <c r="W71" s="1"/>
      <c r="X71" s="1">
        <f t="shared" si="50"/>
        <v>-773.04999999999563</v>
      </c>
      <c r="Y71" s="1"/>
      <c r="Z71" s="5">
        <f t="shared" si="51"/>
        <v>-2.4622484958322713E-2</v>
      </c>
    </row>
    <row r="72" spans="1:26" s="24" customFormat="1" hidden="1" outlineLevel="2" x14ac:dyDescent="0.25">
      <c r="A72" s="26"/>
      <c r="B72" s="11" t="str">
        <f>CONCATENATE("          ", "6401", " - ", "INTEREST EXPENSE")</f>
        <v xml:space="preserve">          6401 - INTEREST EXPENSE</v>
      </c>
      <c r="C72" s="11"/>
      <c r="D72" s="6">
        <v>7733.05</v>
      </c>
      <c r="E72" s="2"/>
      <c r="F72" s="7">
        <f t="shared" si="44"/>
        <v>8.8770201332109208E-3</v>
      </c>
      <c r="G72" s="2"/>
      <c r="H72" s="6">
        <v>7549.1</v>
      </c>
      <c r="I72" s="2"/>
      <c r="J72" s="7">
        <f t="shared" si="45"/>
        <v>8.3166096303235026E-3</v>
      </c>
      <c r="K72" s="2"/>
      <c r="L72" s="6">
        <f t="shared" si="46"/>
        <v>183.94999999999982</v>
      </c>
      <c r="M72" s="2"/>
      <c r="N72" s="7">
        <f t="shared" si="47"/>
        <v>2.4367143103151342E-2</v>
      </c>
      <c r="O72" s="11"/>
      <c r="P72" s="6">
        <v>30623.05</v>
      </c>
      <c r="Q72" s="2"/>
      <c r="R72" s="7">
        <f t="shared" si="48"/>
        <v>1.4506361173232292E-2</v>
      </c>
      <c r="S72" s="2"/>
      <c r="T72" s="6">
        <v>31396.099999999995</v>
      </c>
      <c r="U72" s="2"/>
      <c r="V72" s="7">
        <f t="shared" si="49"/>
        <v>1.4149442796708408E-2</v>
      </c>
      <c r="W72" s="2"/>
      <c r="X72" s="6">
        <f t="shared" si="50"/>
        <v>-773.04999999999563</v>
      </c>
      <c r="Y72" s="2"/>
      <c r="Z72" s="7">
        <f t="shared" si="51"/>
        <v>-2.4622484958322713E-2</v>
      </c>
    </row>
    <row r="73" spans="1:26" s="27" customFormat="1" outlineLevel="1" collapsed="1" x14ac:dyDescent="0.25">
      <c r="A73" s="25"/>
      <c r="B73" s="13" t="str">
        <f>CONCATENATE("     ","Professional Services                             ")</f>
        <v xml:space="preserve">     Professional Services                             </v>
      </c>
      <c r="C73" s="13"/>
      <c r="D73" s="1">
        <f>SUM(OSRRefD22_12x_0)</f>
        <v>0</v>
      </c>
      <c r="E73" s="1"/>
      <c r="F73" s="5">
        <f t="shared" si="44"/>
        <v>0</v>
      </c>
      <c r="G73" s="1"/>
      <c r="H73" s="1">
        <f>SUM(OSRRefH22_12x_0)</f>
        <v>0</v>
      </c>
      <c r="I73" s="1"/>
      <c r="J73" s="5">
        <f t="shared" si="45"/>
        <v>0</v>
      </c>
      <c r="K73" s="1"/>
      <c r="L73" s="1">
        <f t="shared" si="46"/>
        <v>0</v>
      </c>
      <c r="M73" s="1"/>
      <c r="N73" s="5">
        <f t="shared" si="47"/>
        <v>0</v>
      </c>
      <c r="O73" s="13"/>
      <c r="P73" s="1">
        <f>SUM(OSRRefP22_12x_0)</f>
        <v>125</v>
      </c>
      <c r="Q73" s="1"/>
      <c r="R73" s="5">
        <f t="shared" si="48"/>
        <v>5.9213407764871121E-5</v>
      </c>
      <c r="S73" s="1"/>
      <c r="T73" s="1">
        <f>SUM(OSRRefT22_12x_0)</f>
        <v>0</v>
      </c>
      <c r="U73" s="1"/>
      <c r="V73" s="5">
        <f t="shared" si="49"/>
        <v>0</v>
      </c>
      <c r="W73" s="1"/>
      <c r="X73" s="1">
        <f t="shared" si="50"/>
        <v>125</v>
      </c>
      <c r="Y73" s="1"/>
      <c r="Z73" s="5">
        <f t="shared" si="51"/>
        <v>0</v>
      </c>
    </row>
    <row r="74" spans="1:26" s="24" customFormat="1" hidden="1" outlineLevel="2" x14ac:dyDescent="0.25">
      <c r="A74" s="26"/>
      <c r="B74" s="11" t="str">
        <f>CONCATENATE("          ", "6336", " - ", "PROFESSIONAL SERVICES")</f>
        <v xml:space="preserve">          6336 - PROFESSIONAL SERVICES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125</v>
      </c>
      <c r="Q74" s="2"/>
      <c r="R74" s="7">
        <f t="shared" si="48"/>
        <v>5.9213407764871121E-5</v>
      </c>
      <c r="S74" s="2"/>
      <c r="T74" s="6"/>
      <c r="U74" s="2"/>
      <c r="V74" s="7">
        <f t="shared" si="49"/>
        <v>0</v>
      </c>
      <c r="W74" s="2"/>
      <c r="X74" s="6">
        <f t="shared" si="50"/>
        <v>125</v>
      </c>
      <c r="Y74" s="2"/>
      <c r="Z74" s="7">
        <f t="shared" si="51"/>
        <v>0</v>
      </c>
    </row>
    <row r="75" spans="1:26" s="27" customFormat="1" outlineLevel="1" collapsed="1" x14ac:dyDescent="0.25">
      <c r="A75" s="25"/>
      <c r="B75" s="13" t="str">
        <f>CONCATENATE("     ","Rent                                              ")</f>
        <v xml:space="preserve">     Rent                                              </v>
      </c>
      <c r="C75" s="13"/>
      <c r="D75" s="1">
        <f>SUM(OSRRefD22_13x_0)</f>
        <v>1850</v>
      </c>
      <c r="E75" s="1"/>
      <c r="F75" s="5">
        <f t="shared" si="44"/>
        <v>2.1236752958328476E-3</v>
      </c>
      <c r="G75" s="1"/>
      <c r="H75" s="1">
        <f>SUM(OSRRefH22_13x_0)</f>
        <v>1850</v>
      </c>
      <c r="I75" s="1"/>
      <c r="J75" s="5">
        <f t="shared" si="45"/>
        <v>2.0380876947051277E-3</v>
      </c>
      <c r="K75" s="1"/>
      <c r="L75" s="1">
        <f t="shared" si="46"/>
        <v>0</v>
      </c>
      <c r="M75" s="1"/>
      <c r="N75" s="5">
        <f t="shared" si="47"/>
        <v>0</v>
      </c>
      <c r="O75" s="13"/>
      <c r="P75" s="1">
        <f>SUM(OSRRefP22_13x_0)</f>
        <v>7400</v>
      </c>
      <c r="Q75" s="1"/>
      <c r="R75" s="5">
        <f t="shared" si="48"/>
        <v>3.5054337396803704E-3</v>
      </c>
      <c r="S75" s="1"/>
      <c r="T75" s="1">
        <f>SUM(OSRRefT22_13x_0)</f>
        <v>7400</v>
      </c>
      <c r="U75" s="1"/>
      <c r="V75" s="5">
        <f t="shared" si="49"/>
        <v>3.3349962796539135E-3</v>
      </c>
      <c r="W75" s="1"/>
      <c r="X75" s="1">
        <f t="shared" si="50"/>
        <v>0</v>
      </c>
      <c r="Y75" s="1"/>
      <c r="Z75" s="5">
        <f t="shared" si="51"/>
        <v>0</v>
      </c>
    </row>
    <row r="76" spans="1:26" s="24" customFormat="1" hidden="1" outlineLevel="2" x14ac:dyDescent="0.25">
      <c r="A76" s="26"/>
      <c r="B76" s="11" t="str">
        <f>CONCATENATE("          ", "6273", " - ", "RENT")</f>
        <v xml:space="preserve">          6273 - RENT</v>
      </c>
      <c r="C76" s="11"/>
      <c r="D76" s="6">
        <v>1850</v>
      </c>
      <c r="E76" s="2"/>
      <c r="F76" s="7">
        <f t="shared" si="44"/>
        <v>2.1236752958328476E-3</v>
      </c>
      <c r="G76" s="2"/>
      <c r="H76" s="6">
        <v>1850</v>
      </c>
      <c r="I76" s="2"/>
      <c r="J76" s="7">
        <f t="shared" si="45"/>
        <v>2.0380876947051277E-3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7400</v>
      </c>
      <c r="Q76" s="2"/>
      <c r="R76" s="7">
        <f t="shared" si="48"/>
        <v>3.5054337396803704E-3</v>
      </c>
      <c r="S76" s="2"/>
      <c r="T76" s="6">
        <v>7400</v>
      </c>
      <c r="U76" s="2"/>
      <c r="V76" s="7">
        <f t="shared" si="49"/>
        <v>3.3349962796539135E-3</v>
      </c>
      <c r="W76" s="2"/>
      <c r="X76" s="6">
        <f t="shared" si="50"/>
        <v>0</v>
      </c>
      <c r="Y76" s="2"/>
      <c r="Z76" s="7">
        <f t="shared" si="51"/>
        <v>0</v>
      </c>
    </row>
    <row r="77" spans="1:26" s="27" customFormat="1" outlineLevel="1" collapsed="1" x14ac:dyDescent="0.25">
      <c r="A77" s="25"/>
      <c r="B77" s="13" t="str">
        <f>CONCATENATE("     ","Repair and Maintenance                            ")</f>
        <v xml:space="preserve">     Repair and Maintenance                            </v>
      </c>
      <c r="C77" s="13"/>
      <c r="D77" s="1">
        <f>SUM(OSRRefD22_14x_0)</f>
        <v>26000.78</v>
      </c>
      <c r="E77" s="1"/>
      <c r="F77" s="5">
        <f t="shared" si="44"/>
        <v>2.98471427883161E-2</v>
      </c>
      <c r="G77" s="1"/>
      <c r="H77" s="1">
        <f>SUM(OSRRefH22_14x_0)</f>
        <v>34044.79</v>
      </c>
      <c r="I77" s="1"/>
      <c r="J77" s="5">
        <f t="shared" si="45"/>
        <v>3.7506090577200099E-2</v>
      </c>
      <c r="K77" s="1"/>
      <c r="L77" s="1">
        <f t="shared" si="46"/>
        <v>-8044.010000000002</v>
      </c>
      <c r="M77" s="1"/>
      <c r="N77" s="5">
        <f t="shared" si="47"/>
        <v>-0.23627726885670325</v>
      </c>
      <c r="O77" s="13"/>
      <c r="P77" s="1">
        <f>SUM(OSRRefP22_14x_0)</f>
        <v>106108.16</v>
      </c>
      <c r="Q77" s="1"/>
      <c r="R77" s="5">
        <f t="shared" si="48"/>
        <v>5.0264205962081497E-2</v>
      </c>
      <c r="S77" s="1"/>
      <c r="T77" s="1">
        <f>SUM(OSRRefT22_14x_0)</f>
        <v>99792.28</v>
      </c>
      <c r="U77" s="1"/>
      <c r="V77" s="5">
        <f t="shared" si="49"/>
        <v>4.4973903045700217E-2</v>
      </c>
      <c r="W77" s="1"/>
      <c r="X77" s="1">
        <f t="shared" si="50"/>
        <v>6315.8800000000047</v>
      </c>
      <c r="Y77" s="1"/>
      <c r="Z77" s="5">
        <f t="shared" si="51"/>
        <v>6.3290266541660381E-2</v>
      </c>
    </row>
    <row r="78" spans="1:26" s="24" customFormat="1" hidden="1" outlineLevel="2" x14ac:dyDescent="0.25">
      <c r="A78" s="26"/>
      <c r="B78" s="11" t="str">
        <f>CONCATENATE("          ", "6371", " - ", "COMPUTER SOFTWARE MAINTENANCE")</f>
        <v xml:space="preserve">          6371 - COMPUTER SOFTWARE MAINTENANCE</v>
      </c>
      <c r="C78" s="11"/>
      <c r="D78" s="6"/>
      <c r="E78" s="2"/>
      <c r="F78" s="7">
        <f t="shared" si="44"/>
        <v>0</v>
      </c>
      <c r="G78" s="2"/>
      <c r="H78" s="6">
        <v>12516.31</v>
      </c>
      <c r="I78" s="2"/>
      <c r="J78" s="7">
        <f t="shared" si="45"/>
        <v>1.3788831023845803E-2</v>
      </c>
      <c r="K78" s="2"/>
      <c r="L78" s="6">
        <f t="shared" si="46"/>
        <v>-12516.31</v>
      </c>
      <c r="M78" s="2"/>
      <c r="N78" s="7">
        <f t="shared" si="47"/>
        <v>-1</v>
      </c>
      <c r="O78" s="11"/>
      <c r="P78" s="6">
        <v>10932.69</v>
      </c>
      <c r="Q78" s="2"/>
      <c r="R78" s="7">
        <f t="shared" si="48"/>
        <v>5.1788946474954313E-3</v>
      </c>
      <c r="S78" s="2"/>
      <c r="T78" s="6">
        <v>12765.31</v>
      </c>
      <c r="U78" s="2"/>
      <c r="V78" s="7">
        <f t="shared" si="49"/>
        <v>5.7530082917066072E-3</v>
      </c>
      <c r="W78" s="2"/>
      <c r="X78" s="6">
        <f t="shared" si="50"/>
        <v>-1832.619999999999</v>
      </c>
      <c r="Y78" s="2"/>
      <c r="Z78" s="7">
        <f t="shared" si="51"/>
        <v>-0.14356251434551914</v>
      </c>
    </row>
    <row r="79" spans="1:26" s="24" customFormat="1" hidden="1" outlineLevel="2" x14ac:dyDescent="0.25">
      <c r="A79" s="26"/>
      <c r="B79" s="11" t="str">
        <f>CONCATENATE("          ", "6373", " - ", "MAINTENANCE CONTRACTS")</f>
        <v xml:space="preserve">          6373 - MAINTENANCE CONTRACTS</v>
      </c>
      <c r="C79" s="11"/>
      <c r="D79" s="6">
        <v>7636.87</v>
      </c>
      <c r="E79" s="2"/>
      <c r="F79" s="7">
        <f t="shared" si="44"/>
        <v>8.7666119764794586E-3</v>
      </c>
      <c r="G79" s="2"/>
      <c r="H79" s="6">
        <v>6974.54</v>
      </c>
      <c r="I79" s="2"/>
      <c r="J79" s="7">
        <f t="shared" si="45"/>
        <v>7.6836346757992984E-3</v>
      </c>
      <c r="K79" s="2"/>
      <c r="L79" s="6">
        <f t="shared" si="46"/>
        <v>662.32999999999993</v>
      </c>
      <c r="M79" s="2"/>
      <c r="N79" s="7">
        <f t="shared" si="47"/>
        <v>9.4963968949923566E-2</v>
      </c>
      <c r="O79" s="11"/>
      <c r="P79" s="6">
        <v>32445.379999999997</v>
      </c>
      <c r="Q79" s="2"/>
      <c r="R79" s="7">
        <f t="shared" si="48"/>
        <v>1.5369612128209552E-2</v>
      </c>
      <c r="S79" s="2"/>
      <c r="T79" s="6">
        <v>36925.990000000005</v>
      </c>
      <c r="U79" s="2"/>
      <c r="V79" s="7">
        <f t="shared" si="49"/>
        <v>1.6641626928721301E-2</v>
      </c>
      <c r="W79" s="2"/>
      <c r="X79" s="6">
        <f t="shared" si="50"/>
        <v>-4480.6100000000079</v>
      </c>
      <c r="Y79" s="2"/>
      <c r="Z79" s="7">
        <f t="shared" si="51"/>
        <v>-0.12134028092408645</v>
      </c>
    </row>
    <row r="80" spans="1:26" s="24" customFormat="1" hidden="1" outlineLevel="2" x14ac:dyDescent="0.25">
      <c r="A80" s="26"/>
      <c r="B80" s="11" t="str">
        <f>CONCATENATE("          ", "6375", " - ", "OUTSIDE REPAIRS &amp; MAINTENANCE")</f>
        <v xml:space="preserve">          6375 - OUTSIDE REPAIRS &amp; MAINTENANCE</v>
      </c>
      <c r="C80" s="11"/>
      <c r="D80" s="6">
        <v>18363.91</v>
      </c>
      <c r="E80" s="2"/>
      <c r="F80" s="7">
        <f t="shared" si="44"/>
        <v>2.1080530811836643E-2</v>
      </c>
      <c r="G80" s="2"/>
      <c r="H80" s="6">
        <v>14553.94</v>
      </c>
      <c r="I80" s="2"/>
      <c r="J80" s="7">
        <f t="shared" si="45"/>
        <v>1.6033624877554997E-2</v>
      </c>
      <c r="K80" s="2"/>
      <c r="L80" s="6">
        <f t="shared" si="46"/>
        <v>3809.9699999999993</v>
      </c>
      <c r="M80" s="2"/>
      <c r="N80" s="7">
        <f t="shared" si="47"/>
        <v>0.26178272000571662</v>
      </c>
      <c r="O80" s="11"/>
      <c r="P80" s="6">
        <v>62730.09</v>
      </c>
      <c r="Q80" s="2"/>
      <c r="R80" s="7">
        <f t="shared" si="48"/>
        <v>2.9715699186376513E-2</v>
      </c>
      <c r="S80" s="2"/>
      <c r="T80" s="6">
        <v>50100.979999999996</v>
      </c>
      <c r="U80" s="2"/>
      <c r="V80" s="7">
        <f t="shared" si="49"/>
        <v>2.2579267825272312E-2</v>
      </c>
      <c r="W80" s="2"/>
      <c r="X80" s="6">
        <f t="shared" si="50"/>
        <v>12629.11</v>
      </c>
      <c r="Y80" s="2"/>
      <c r="Z80" s="7">
        <f t="shared" si="51"/>
        <v>0.25207311314070108</v>
      </c>
    </row>
    <row r="81" spans="1:26" s="27" customFormat="1" outlineLevel="1" collapsed="1" x14ac:dyDescent="0.25">
      <c r="A81" s="25"/>
      <c r="B81" s="13" t="str">
        <f>CONCATENATE("     ","Royalty &amp; Commissions                             ")</f>
        <v xml:space="preserve">     Royalty &amp; Commissions                             </v>
      </c>
      <c r="C81" s="13"/>
      <c r="D81" s="1">
        <f>SUM(OSRRefD22_15x_0)</f>
        <v>32085.1</v>
      </c>
      <c r="E81" s="1"/>
      <c r="F81" s="5">
        <f t="shared" ref="F81:F83" si="52">IF(D$12=0,0,D81/D$12)</f>
        <v>3.6831532018554866E-2</v>
      </c>
      <c r="G81" s="1"/>
      <c r="H81" s="1">
        <f>SUM(OSRRefH22_15x_0)</f>
        <v>30731.690000000002</v>
      </c>
      <c r="I81" s="1"/>
      <c r="J81" s="5">
        <f t="shared" ref="J81:J83" si="53">IF(H$12=0,0,H81/H$12)</f>
        <v>3.3856150933239258E-2</v>
      </c>
      <c r="K81" s="1"/>
      <c r="L81" s="1">
        <f t="shared" ref="L81:L83" si="54">+D81-H81</f>
        <v>1353.4099999999962</v>
      </c>
      <c r="M81" s="1"/>
      <c r="N81" s="5">
        <f t="shared" ref="N81:N83" si="55">IF(H81=0,0,L81/H81)</f>
        <v>4.4039556561972219E-2</v>
      </c>
      <c r="O81" s="13"/>
      <c r="P81" s="1">
        <f>SUM(OSRRefP22_15x_0)</f>
        <v>92348.87</v>
      </c>
      <c r="Q81" s="1"/>
      <c r="R81" s="5">
        <f t="shared" ref="R81:R83" si="56">IF(P$12=0,0,P81/P$12)</f>
        <v>4.3746330367480588E-2</v>
      </c>
      <c r="S81" s="1"/>
      <c r="T81" s="1">
        <f>SUM(OSRRefT22_15x_0)</f>
        <v>96699.459999999992</v>
      </c>
      <c r="U81" s="1"/>
      <c r="V81" s="5">
        <f t="shared" ref="V81:V83" si="57">IF(T$12=0,0,T81/T$12)</f>
        <v>4.3580045857370589E-2</v>
      </c>
      <c r="W81" s="1"/>
      <c r="X81" s="1">
        <f t="shared" ref="X81:X83" si="58">+P81-T81</f>
        <v>-4350.5899999999965</v>
      </c>
      <c r="Y81" s="1"/>
      <c r="Z81" s="5">
        <f t="shared" ref="Z81:Z83" si="59">IF(T81=0,0,X81/T81)</f>
        <v>-4.4990840693422664E-2</v>
      </c>
    </row>
    <row r="82" spans="1:26" s="24" customFormat="1" hidden="1" outlineLevel="2" x14ac:dyDescent="0.25">
      <c r="A82" s="26"/>
      <c r="B82" s="11" t="str">
        <f>CONCATENATE("          ", "6254", " - ", "ROYALTY &amp; COMMISSIONS")</f>
        <v xml:space="preserve">          6254 - ROYALTY &amp; COMMISSIONS</v>
      </c>
      <c r="C82" s="11"/>
      <c r="D82" s="6">
        <v>10321.9</v>
      </c>
      <c r="E82" s="2"/>
      <c r="F82" s="7">
        <f t="shared" si="52"/>
        <v>1.1848845424895713E-2</v>
      </c>
      <c r="G82" s="2"/>
      <c r="H82" s="6">
        <v>8935.3700000000008</v>
      </c>
      <c r="I82" s="2"/>
      <c r="J82" s="7">
        <f t="shared" si="53"/>
        <v>9.8438203484526258E-3</v>
      </c>
      <c r="K82" s="2"/>
      <c r="L82" s="6">
        <f t="shared" si="54"/>
        <v>1386.5299999999988</v>
      </c>
      <c r="M82" s="2"/>
      <c r="N82" s="7">
        <f t="shared" si="55"/>
        <v>0.15517320491484948</v>
      </c>
      <c r="O82" s="11"/>
      <c r="P82" s="6">
        <v>44979.51</v>
      </c>
      <c r="Q82" s="2"/>
      <c r="R82" s="7">
        <f t="shared" si="56"/>
        <v>2.1307120533552788E-2</v>
      </c>
      <c r="S82" s="2"/>
      <c r="T82" s="6">
        <v>49080.82</v>
      </c>
      <c r="U82" s="2"/>
      <c r="V82" s="7">
        <f t="shared" si="57"/>
        <v>2.2119507040859916E-2</v>
      </c>
      <c r="W82" s="2"/>
      <c r="X82" s="6">
        <f t="shared" si="58"/>
        <v>-4101.3099999999977</v>
      </c>
      <c r="Y82" s="2"/>
      <c r="Z82" s="7">
        <f t="shared" si="59"/>
        <v>-8.3562377319694292E-2</v>
      </c>
    </row>
    <row r="83" spans="1:26" s="24" customFormat="1" hidden="1" outlineLevel="2" x14ac:dyDescent="0.25">
      <c r="A83" s="26"/>
      <c r="B83" s="11" t="str">
        <f>CONCATENATE("          ", "6259", " - ", "ROYALTY &amp; COMMISSIONS")</f>
        <v xml:space="preserve">          6259 - ROYALTY &amp; COMMISSIONS</v>
      </c>
      <c r="C83" s="11"/>
      <c r="D83" s="6">
        <v>21763.200000000001</v>
      </c>
      <c r="E83" s="2"/>
      <c r="F83" s="7">
        <f t="shared" si="52"/>
        <v>2.498268659365915E-2</v>
      </c>
      <c r="G83" s="2"/>
      <c r="H83" s="6">
        <v>21796.32</v>
      </c>
      <c r="I83" s="2"/>
      <c r="J83" s="7">
        <f t="shared" si="53"/>
        <v>2.4012330584786631E-2</v>
      </c>
      <c r="K83" s="2"/>
      <c r="L83" s="6">
        <f t="shared" si="54"/>
        <v>-33.119999999998981</v>
      </c>
      <c r="M83" s="2"/>
      <c r="N83" s="7">
        <f t="shared" si="55"/>
        <v>-1.5195225616066832E-3</v>
      </c>
      <c r="O83" s="11"/>
      <c r="P83" s="6">
        <v>47369.36</v>
      </c>
      <c r="Q83" s="2"/>
      <c r="R83" s="7">
        <f t="shared" si="56"/>
        <v>2.2439209833927803E-2</v>
      </c>
      <c r="S83" s="2"/>
      <c r="T83" s="6">
        <v>47618.64</v>
      </c>
      <c r="U83" s="2"/>
      <c r="V83" s="7">
        <f t="shared" si="57"/>
        <v>2.146053881651068E-2</v>
      </c>
      <c r="W83" s="2"/>
      <c r="X83" s="6">
        <f t="shared" si="58"/>
        <v>-249.27999999999884</v>
      </c>
      <c r="Y83" s="2"/>
      <c r="Z83" s="7">
        <f t="shared" si="59"/>
        <v>-5.2349248109563578E-3</v>
      </c>
    </row>
    <row r="84" spans="1:26" s="27" customFormat="1" outlineLevel="1" collapsed="1" x14ac:dyDescent="0.25">
      <c r="A84" s="25"/>
      <c r="B84" s="13" t="str">
        <f>CONCATENATE("     ","Services                                          ")</f>
        <v xml:space="preserve">     Services                                          </v>
      </c>
      <c r="C84" s="13"/>
      <c r="D84" s="1">
        <f>SUM(OSRRefD22_16x_0)</f>
        <v>23526.43</v>
      </c>
      <c r="E84" s="1"/>
      <c r="F84" s="5">
        <f t="shared" ref="F84:F89" si="60">IF(D$12=0,0,D84/D$12)</f>
        <v>2.7006755778454478E-2</v>
      </c>
      <c r="G84" s="1"/>
      <c r="H84" s="1">
        <f>SUM(OSRRefH22_16x_0)</f>
        <v>35936.050000000003</v>
      </c>
      <c r="I84" s="1"/>
      <c r="J84" s="5">
        <f t="shared" ref="J84:J89" si="61">IF(H$12=0,0,H84/H$12)</f>
        <v>3.9589633135842274E-2</v>
      </c>
      <c r="K84" s="1"/>
      <c r="L84" s="1">
        <f t="shared" ref="L84:L89" si="62">+D84-H84</f>
        <v>-12409.620000000003</v>
      </c>
      <c r="M84" s="1"/>
      <c r="N84" s="5">
        <f t="shared" ref="N84:N89" si="63">IF(H84=0,0,L84/H84)</f>
        <v>-0.34532509833440239</v>
      </c>
      <c r="O84" s="13"/>
      <c r="P84" s="1">
        <f>SUM(OSRRefP22_16x_0)</f>
        <v>82053.969999999987</v>
      </c>
      <c r="Q84" s="1"/>
      <c r="R84" s="5">
        <f t="shared" ref="R84:R89" si="64">IF(P$12=0,0,P84/P$12)</f>
        <v>3.8869561474692012E-2</v>
      </c>
      <c r="S84" s="1"/>
      <c r="T84" s="1">
        <f>SUM(OSRRefT22_16x_0)</f>
        <v>99346.72</v>
      </c>
      <c r="U84" s="1"/>
      <c r="V84" s="5">
        <f t="shared" ref="V84:V89" si="65">IF(T$12=0,0,T84/T$12)</f>
        <v>4.4773100215651222E-2</v>
      </c>
      <c r="W84" s="1"/>
      <c r="X84" s="1">
        <f t="shared" ref="X84:X89" si="66">+P84-T84</f>
        <v>-17292.750000000015</v>
      </c>
      <c r="Y84" s="1"/>
      <c r="Z84" s="5">
        <f t="shared" ref="Z84:Z89" si="67">IF(T84=0,0,X84/T84)</f>
        <v>-0.17406462941101644</v>
      </c>
    </row>
    <row r="85" spans="1:26" s="24" customFormat="1" hidden="1" outlineLevel="2" x14ac:dyDescent="0.25">
      <c r="A85" s="26"/>
      <c r="B85" s="11" t="str">
        <f>CONCATENATE("          ", "6282", " - ", "JANITORIAL/EXTERMINATOR EXPENS")</f>
        <v xml:space="preserve">          6282 - JANITORIAL/EXTERMINATOR EXPENS</v>
      </c>
      <c r="C85" s="11"/>
      <c r="D85" s="6">
        <v>1277.57</v>
      </c>
      <c r="E85" s="2"/>
      <c r="F85" s="7">
        <f t="shared" si="60"/>
        <v>1.4665642419984708E-3</v>
      </c>
      <c r="G85" s="2"/>
      <c r="H85" s="6">
        <v>1277.57</v>
      </c>
      <c r="I85" s="2"/>
      <c r="J85" s="7">
        <f t="shared" si="61"/>
        <v>1.4074592952023944E-3</v>
      </c>
      <c r="K85" s="2"/>
      <c r="L85" s="6">
        <f t="shared" si="62"/>
        <v>0</v>
      </c>
      <c r="M85" s="2"/>
      <c r="N85" s="7">
        <f t="shared" si="63"/>
        <v>0</v>
      </c>
      <c r="O85" s="11"/>
      <c r="P85" s="6">
        <v>5110.28</v>
      </c>
      <c r="Q85" s="2"/>
      <c r="R85" s="7">
        <f t="shared" si="64"/>
        <v>2.4207767474613245E-3</v>
      </c>
      <c r="S85" s="2"/>
      <c r="T85" s="6">
        <v>4916.3599999999997</v>
      </c>
      <c r="U85" s="2"/>
      <c r="V85" s="7">
        <f t="shared" si="65"/>
        <v>2.2156813931674744E-3</v>
      </c>
      <c r="W85" s="2"/>
      <c r="X85" s="6">
        <f t="shared" si="66"/>
        <v>193.92000000000007</v>
      </c>
      <c r="Y85" s="2"/>
      <c r="Z85" s="7">
        <f t="shared" si="67"/>
        <v>3.9443816156668775E-2</v>
      </c>
    </row>
    <row r="86" spans="1:26" s="24" customFormat="1" hidden="1" outlineLevel="2" x14ac:dyDescent="0.25">
      <c r="A86" s="26"/>
      <c r="B86" s="11" t="str">
        <f>CONCATENATE("          ", "6283", " - ", "PLANT SERVICE")</f>
        <v xml:space="preserve">          6283 - PLANT SERVICE</v>
      </c>
      <c r="C86" s="11"/>
      <c r="D86" s="6"/>
      <c r="E86" s="2"/>
      <c r="F86" s="7">
        <f t="shared" si="60"/>
        <v>0</v>
      </c>
      <c r="G86" s="2"/>
      <c r="H86" s="6">
        <v>176</v>
      </c>
      <c r="I86" s="2"/>
      <c r="J86" s="7">
        <f t="shared" si="61"/>
        <v>1.9389374825302838E-4</v>
      </c>
      <c r="K86" s="2"/>
      <c r="L86" s="6">
        <f t="shared" si="62"/>
        <v>-176</v>
      </c>
      <c r="M86" s="2"/>
      <c r="N86" s="7">
        <f t="shared" si="63"/>
        <v>-1</v>
      </c>
      <c r="O86" s="11"/>
      <c r="P86" s="6">
        <v>599.34</v>
      </c>
      <c r="Q86" s="2"/>
      <c r="R86" s="7">
        <f t="shared" si="64"/>
        <v>2.8391171047838286E-4</v>
      </c>
      <c r="S86" s="2"/>
      <c r="T86" s="6">
        <v>704</v>
      </c>
      <c r="U86" s="2"/>
      <c r="V86" s="7">
        <f t="shared" si="65"/>
        <v>3.1727532174004796E-4</v>
      </c>
      <c r="W86" s="2"/>
      <c r="X86" s="6">
        <f t="shared" si="66"/>
        <v>-104.65999999999997</v>
      </c>
      <c r="Y86" s="2"/>
      <c r="Z86" s="7">
        <f t="shared" si="67"/>
        <v>-0.14866477272727269</v>
      </c>
    </row>
    <row r="87" spans="1:26" s="24" customFormat="1" hidden="1" outlineLevel="2" x14ac:dyDescent="0.25">
      <c r="A87" s="26"/>
      <c r="B87" s="11" t="str">
        <f>CONCATENATE("          ", "6284", " - ", "TRASH REMOVAL EXPENSE")</f>
        <v xml:space="preserve">          6284 - TRASH REMOVAL EXPENSE</v>
      </c>
      <c r="C87" s="11"/>
      <c r="D87" s="6">
        <v>4199</v>
      </c>
      <c r="E87" s="2"/>
      <c r="F87" s="7">
        <f t="shared" si="60"/>
        <v>4.8201689552443928E-3</v>
      </c>
      <c r="G87" s="2"/>
      <c r="H87" s="6">
        <v>14328.27</v>
      </c>
      <c r="I87" s="2"/>
      <c r="J87" s="7">
        <f t="shared" si="61"/>
        <v>1.5785011228871697E-2</v>
      </c>
      <c r="K87" s="2"/>
      <c r="L87" s="6">
        <f t="shared" si="62"/>
        <v>-10129.27</v>
      </c>
      <c r="M87" s="2"/>
      <c r="N87" s="7">
        <f t="shared" si="63"/>
        <v>-0.70694298753443363</v>
      </c>
      <c r="O87" s="11"/>
      <c r="P87" s="6">
        <v>9021</v>
      </c>
      <c r="Q87" s="2"/>
      <c r="R87" s="7">
        <f t="shared" si="64"/>
        <v>4.2733132115752191E-3</v>
      </c>
      <c r="S87" s="2"/>
      <c r="T87" s="6">
        <v>26302.27</v>
      </c>
      <c r="U87" s="2"/>
      <c r="V87" s="7">
        <f t="shared" si="65"/>
        <v>1.1853780080601721E-2</v>
      </c>
      <c r="W87" s="2"/>
      <c r="X87" s="6">
        <f t="shared" si="66"/>
        <v>-17281.27</v>
      </c>
      <c r="Y87" s="2"/>
      <c r="Z87" s="7">
        <f t="shared" si="67"/>
        <v>-0.65702580043471537</v>
      </c>
    </row>
    <row r="88" spans="1:26" s="24" customFormat="1" hidden="1" outlineLevel="2" x14ac:dyDescent="0.25">
      <c r="A88" s="26"/>
      <c r="B88" s="11" t="str">
        <f>CONCATENATE("          ", "6285", " - ", "JANITORIAL SERVICES")</f>
        <v xml:space="preserve">          6285 - JANITORIAL SERVICES</v>
      </c>
      <c r="C88" s="11"/>
      <c r="D88" s="6">
        <v>13194.46</v>
      </c>
      <c r="E88" s="2"/>
      <c r="F88" s="7">
        <f t="shared" si="60"/>
        <v>1.5146350672353877E-2</v>
      </c>
      <c r="G88" s="2"/>
      <c r="H88" s="6">
        <v>15947.87</v>
      </c>
      <c r="I88" s="2"/>
      <c r="J88" s="7">
        <f t="shared" si="61"/>
        <v>1.7569274380409224E-2</v>
      </c>
      <c r="K88" s="2"/>
      <c r="L88" s="6">
        <f t="shared" si="62"/>
        <v>-2753.4100000000017</v>
      </c>
      <c r="M88" s="2"/>
      <c r="N88" s="7">
        <f t="shared" si="63"/>
        <v>-0.17265064237418548</v>
      </c>
      <c r="O88" s="11"/>
      <c r="P88" s="6">
        <v>53007.839999999997</v>
      </c>
      <c r="Q88" s="2"/>
      <c r="R88" s="7">
        <f t="shared" si="64"/>
        <v>2.5110198757240368E-2</v>
      </c>
      <c r="S88" s="2"/>
      <c r="T88" s="6">
        <v>53309.83</v>
      </c>
      <c r="U88" s="2"/>
      <c r="V88" s="7">
        <f t="shared" si="65"/>
        <v>2.4025416853916567E-2</v>
      </c>
      <c r="W88" s="2"/>
      <c r="X88" s="6">
        <f t="shared" si="66"/>
        <v>-301.99000000000524</v>
      </c>
      <c r="Y88" s="2"/>
      <c r="Z88" s="7">
        <f t="shared" si="67"/>
        <v>-5.664808910476834E-3</v>
      </c>
    </row>
    <row r="89" spans="1:26" s="24" customFormat="1" hidden="1" outlineLevel="2" x14ac:dyDescent="0.25">
      <c r="A89" s="26"/>
      <c r="B89" s="11" t="str">
        <f>CONCATENATE("          ", "6286", " - ", "LAUNDRY EXPENSE")</f>
        <v xml:space="preserve">          6286 - LAUNDRY EXPENSE</v>
      </c>
      <c r="C89" s="11"/>
      <c r="D89" s="6">
        <v>4855.3999999999996</v>
      </c>
      <c r="E89" s="2"/>
      <c r="F89" s="7">
        <f t="shared" si="60"/>
        <v>5.5736719088577335E-3</v>
      </c>
      <c r="G89" s="2"/>
      <c r="H89" s="6">
        <v>4206.34</v>
      </c>
      <c r="I89" s="2"/>
      <c r="J89" s="7">
        <f t="shared" si="61"/>
        <v>4.6339944831059283E-3</v>
      </c>
      <c r="K89" s="2"/>
      <c r="L89" s="6">
        <f t="shared" si="62"/>
        <v>649.05999999999949</v>
      </c>
      <c r="M89" s="2"/>
      <c r="N89" s="7">
        <f t="shared" si="63"/>
        <v>0.15430516791319757</v>
      </c>
      <c r="O89" s="11"/>
      <c r="P89" s="6">
        <v>14315.51</v>
      </c>
      <c r="Q89" s="2"/>
      <c r="R89" s="7">
        <f t="shared" si="64"/>
        <v>6.7813610479367219E-3</v>
      </c>
      <c r="S89" s="2"/>
      <c r="T89" s="6">
        <v>14114.26</v>
      </c>
      <c r="U89" s="2"/>
      <c r="V89" s="7">
        <f t="shared" si="65"/>
        <v>6.3609465662254113E-3</v>
      </c>
      <c r="W89" s="2"/>
      <c r="X89" s="6">
        <f t="shared" si="66"/>
        <v>201.25</v>
      </c>
      <c r="Y89" s="2"/>
      <c r="Z89" s="7">
        <f t="shared" si="67"/>
        <v>1.4258629216126101E-2</v>
      </c>
    </row>
    <row r="90" spans="1:26" s="27" customFormat="1" outlineLevel="1" collapsed="1" x14ac:dyDescent="0.25">
      <c r="A90" s="25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SUM(OSRRefD22_17x_0)</f>
        <v>393.42</v>
      </c>
      <c r="E90" s="1"/>
      <c r="F90" s="5">
        <f t="shared" ref="F90:F100" si="68">IF(D$12=0,0,D90/D$12)</f>
        <v>4.5161964047922104E-4</v>
      </c>
      <c r="G90" s="1"/>
      <c r="H90" s="1">
        <f>SUM(OSRRefH22_17x_0)</f>
        <v>387.42</v>
      </c>
      <c r="I90" s="1"/>
      <c r="J90" s="5">
        <f t="shared" ref="J90:J100" si="69">IF(H$12=0,0,H90/H$12)</f>
        <v>4.268086133419787E-4</v>
      </c>
      <c r="K90" s="1"/>
      <c r="L90" s="1">
        <f t="shared" ref="L90:L100" si="70">+D90-H90</f>
        <v>6</v>
      </c>
      <c r="M90" s="1"/>
      <c r="N90" s="5">
        <f t="shared" ref="N90:N100" si="71">IF(H90=0,0,L90/H90)</f>
        <v>1.5487068297971194E-2</v>
      </c>
      <c r="O90" s="13"/>
      <c r="P90" s="1">
        <f>SUM(OSRRefP22_17x_0)</f>
        <v>1696.4</v>
      </c>
      <c r="Q90" s="1"/>
      <c r="R90" s="5">
        <f t="shared" ref="R90:R100" si="72">IF(P$12=0,0,P90/P$12)</f>
        <v>8.0359699945861901E-4</v>
      </c>
      <c r="S90" s="1"/>
      <c r="T90" s="1">
        <f>SUM(OSRRefT22_17x_0)</f>
        <v>1120.5899999999999</v>
      </c>
      <c r="U90" s="1"/>
      <c r="V90" s="5">
        <f t="shared" ref="V90:V100" si="73">IF(T$12=0,0,T90/T$12)</f>
        <v>5.0502209202937548E-4</v>
      </c>
      <c r="W90" s="1"/>
      <c r="X90" s="1">
        <f t="shared" ref="X90:X100" si="74">+P90-T90</f>
        <v>575.81000000000017</v>
      </c>
      <c r="Y90" s="1"/>
      <c r="Z90" s="5">
        <f t="shared" ref="Z90:Z100" si="75">IF(T90=0,0,X90/T90)</f>
        <v>0.51384538502039123</v>
      </c>
    </row>
    <row r="91" spans="1:26" s="24" customFormat="1" hidden="1" outlineLevel="2" x14ac:dyDescent="0.25">
      <c r="A91" s="26"/>
      <c r="B91" s="11" t="str">
        <f>CONCATENATE("          ", "6275", " - ", "SUBSCRIPTIONS")</f>
        <v xml:space="preserve">          6275 - SUBSCRIPTIONS</v>
      </c>
      <c r="C91" s="11"/>
      <c r="D91" s="6">
        <v>393.42</v>
      </c>
      <c r="E91" s="2"/>
      <c r="F91" s="7">
        <f t="shared" si="68"/>
        <v>4.5161964047922104E-4</v>
      </c>
      <c r="G91" s="2"/>
      <c r="H91" s="6">
        <v>387.42</v>
      </c>
      <c r="I91" s="2"/>
      <c r="J91" s="7">
        <f t="shared" si="69"/>
        <v>4.268086133419787E-4</v>
      </c>
      <c r="K91" s="2"/>
      <c r="L91" s="6">
        <f t="shared" si="70"/>
        <v>6</v>
      </c>
      <c r="M91" s="2"/>
      <c r="N91" s="7">
        <f t="shared" si="71"/>
        <v>1.5487068297971194E-2</v>
      </c>
      <c r="O91" s="11"/>
      <c r="P91" s="6">
        <v>1696.4</v>
      </c>
      <c r="Q91" s="2"/>
      <c r="R91" s="7">
        <f t="shared" si="72"/>
        <v>8.0359699945861901E-4</v>
      </c>
      <c r="S91" s="2"/>
      <c r="T91" s="6">
        <v>1120.5899999999999</v>
      </c>
      <c r="U91" s="2"/>
      <c r="V91" s="7">
        <f t="shared" si="73"/>
        <v>5.0502209202937548E-4</v>
      </c>
      <c r="W91" s="2"/>
      <c r="X91" s="6">
        <f t="shared" si="74"/>
        <v>575.81000000000017</v>
      </c>
      <c r="Y91" s="2"/>
      <c r="Z91" s="7">
        <f t="shared" si="75"/>
        <v>0.51384538502039123</v>
      </c>
    </row>
    <row r="92" spans="1:26" s="27" customFormat="1" outlineLevel="1" collapsed="1" x14ac:dyDescent="0.25">
      <c r="A92" s="25"/>
      <c r="B92" s="13" t="str">
        <f>CONCATENATE("     ","Supplies                                          ")</f>
        <v xml:space="preserve">     Supplies                                          </v>
      </c>
      <c r="C92" s="13"/>
      <c r="D92" s="1">
        <f>SUM(OSRRefD22_18x_0)</f>
        <v>28173.599999999999</v>
      </c>
      <c r="E92" s="1"/>
      <c r="F92" s="5">
        <f t="shared" si="68"/>
        <v>3.2341393683608818E-2</v>
      </c>
      <c r="G92" s="1"/>
      <c r="H92" s="1">
        <f>SUM(OSRRefH22_18x_0)</f>
        <v>21255.210000000003</v>
      </c>
      <c r="I92" s="1"/>
      <c r="J92" s="5">
        <f t="shared" si="69"/>
        <v>2.3416206459120747E-2</v>
      </c>
      <c r="K92" s="1"/>
      <c r="L92" s="1">
        <f t="shared" si="70"/>
        <v>6918.3899999999958</v>
      </c>
      <c r="M92" s="1"/>
      <c r="N92" s="5">
        <f t="shared" si="71"/>
        <v>0.32549149126261256</v>
      </c>
      <c r="O92" s="13"/>
      <c r="P92" s="1">
        <f>SUM(OSRRefP22_18x_0)</f>
        <v>89543.52</v>
      </c>
      <c r="Q92" s="1"/>
      <c r="R92" s="5">
        <f t="shared" si="72"/>
        <v>4.2417415699695142E-2</v>
      </c>
      <c r="S92" s="1"/>
      <c r="T92" s="1">
        <f>SUM(OSRRefT22_18x_0)</f>
        <v>75888.19</v>
      </c>
      <c r="U92" s="1"/>
      <c r="V92" s="5">
        <f t="shared" si="73"/>
        <v>3.4200923151306663E-2</v>
      </c>
      <c r="W92" s="1"/>
      <c r="X92" s="1">
        <f t="shared" si="74"/>
        <v>13655.330000000002</v>
      </c>
      <c r="Y92" s="1"/>
      <c r="Z92" s="5">
        <f t="shared" si="75"/>
        <v>0.17994011979993199</v>
      </c>
    </row>
    <row r="93" spans="1:26" s="24" customFormat="1" hidden="1" outlineLevel="2" x14ac:dyDescent="0.25">
      <c r="A93" s="26"/>
      <c r="B93" s="11" t="str">
        <f>CONCATENATE("          ", "6234", " - ", "EXPENDABLE SUPPLIES &amp; EQUIPMEN")</f>
        <v xml:space="preserve">          6234 - EXPENDABLE SUPPLIES &amp; EQUIPMEN</v>
      </c>
      <c r="C93" s="11"/>
      <c r="D93" s="6">
        <v>3976.8</v>
      </c>
      <c r="E93" s="2"/>
      <c r="F93" s="7">
        <f t="shared" si="68"/>
        <v>4.5650983332259833E-3</v>
      </c>
      <c r="G93" s="2"/>
      <c r="H93" s="6">
        <v>670.89</v>
      </c>
      <c r="I93" s="2"/>
      <c r="J93" s="7">
        <f t="shared" si="69"/>
        <v>7.3909873162201253E-4</v>
      </c>
      <c r="K93" s="2"/>
      <c r="L93" s="6">
        <f t="shared" si="70"/>
        <v>3305.9100000000003</v>
      </c>
      <c r="M93" s="2"/>
      <c r="N93" s="7">
        <f t="shared" si="71"/>
        <v>4.9276483477172119</v>
      </c>
      <c r="O93" s="11"/>
      <c r="P93" s="6">
        <v>11646.89</v>
      </c>
      <c r="Q93" s="2"/>
      <c r="R93" s="7">
        <f t="shared" si="72"/>
        <v>5.5172163741007982E-3</v>
      </c>
      <c r="S93" s="2"/>
      <c r="T93" s="6">
        <v>6137.26</v>
      </c>
      <c r="U93" s="2"/>
      <c r="V93" s="7">
        <f t="shared" si="73"/>
        <v>2.7659107117930779E-3</v>
      </c>
      <c r="W93" s="2"/>
      <c r="X93" s="6">
        <f t="shared" si="74"/>
        <v>5509.6299999999992</v>
      </c>
      <c r="Y93" s="2"/>
      <c r="Z93" s="7">
        <f t="shared" si="75"/>
        <v>0.89773449389466942</v>
      </c>
    </row>
    <row r="94" spans="1:26" s="24" customFormat="1" hidden="1" outlineLevel="2" x14ac:dyDescent="0.25">
      <c r="A94" s="26"/>
      <c r="B94" s="11" t="str">
        <f>CONCATENATE("          ", "6237", " - ", "JANITORIAL SUPPLIES")</f>
        <v xml:space="preserve">          6237 - JANITORIAL SUPPLIES</v>
      </c>
      <c r="C94" s="11"/>
      <c r="D94" s="6">
        <v>7833.23</v>
      </c>
      <c r="E94" s="2"/>
      <c r="F94" s="7">
        <f t="shared" si="68"/>
        <v>8.9920200203117487E-3</v>
      </c>
      <c r="G94" s="2"/>
      <c r="H94" s="6">
        <v>5739.12</v>
      </c>
      <c r="I94" s="2"/>
      <c r="J94" s="7">
        <f t="shared" si="69"/>
        <v>6.3226107299654555E-3</v>
      </c>
      <c r="K94" s="2"/>
      <c r="L94" s="6">
        <f t="shared" si="70"/>
        <v>2094.1099999999997</v>
      </c>
      <c r="M94" s="2"/>
      <c r="N94" s="7">
        <f t="shared" si="71"/>
        <v>0.36488346645478742</v>
      </c>
      <c r="O94" s="11"/>
      <c r="P94" s="6">
        <v>19196.099999999999</v>
      </c>
      <c r="Q94" s="2"/>
      <c r="R94" s="7">
        <f t="shared" si="72"/>
        <v>9.0933319743619397E-3</v>
      </c>
      <c r="S94" s="2"/>
      <c r="T94" s="6">
        <v>19201.230000000003</v>
      </c>
      <c r="U94" s="2"/>
      <c r="V94" s="7">
        <f t="shared" si="73"/>
        <v>8.6535176506458266E-3</v>
      </c>
      <c r="W94" s="2"/>
      <c r="X94" s="6">
        <f t="shared" si="74"/>
        <v>-5.1300000000046566</v>
      </c>
      <c r="Y94" s="2"/>
      <c r="Z94" s="7">
        <f t="shared" si="75"/>
        <v>-2.6717038439749203E-4</v>
      </c>
    </row>
    <row r="95" spans="1:26" s="24" customFormat="1" hidden="1" outlineLevel="2" x14ac:dyDescent="0.25">
      <c r="A95" s="26"/>
      <c r="B95" s="11" t="str">
        <f>CONCATENATE("          ", "6239", " - ", "KITCHEN SUPPLIES")</f>
        <v xml:space="preserve">          6239 - KITCHEN SUPPLIES</v>
      </c>
      <c r="C95" s="11"/>
      <c r="D95" s="6">
        <v>9909.17</v>
      </c>
      <c r="E95" s="2"/>
      <c r="F95" s="7">
        <f t="shared" si="68"/>
        <v>1.1375059206058366E-2</v>
      </c>
      <c r="G95" s="2"/>
      <c r="H95" s="6">
        <v>4259.08</v>
      </c>
      <c r="I95" s="2"/>
      <c r="J95" s="7">
        <f t="shared" si="69"/>
        <v>4.6920965074403864E-3</v>
      </c>
      <c r="K95" s="2"/>
      <c r="L95" s="6">
        <f t="shared" si="70"/>
        <v>5650.09</v>
      </c>
      <c r="M95" s="2"/>
      <c r="N95" s="7">
        <f t="shared" si="71"/>
        <v>1.3265987020671131</v>
      </c>
      <c r="O95" s="11"/>
      <c r="P95" s="6">
        <v>27903.53</v>
      </c>
      <c r="Q95" s="2"/>
      <c r="R95" s="7">
        <f t="shared" si="72"/>
        <v>1.3218104799754514E-2</v>
      </c>
      <c r="S95" s="2"/>
      <c r="T95" s="6">
        <v>11791.82</v>
      </c>
      <c r="U95" s="2"/>
      <c r="V95" s="7">
        <f t="shared" si="73"/>
        <v>5.314280517614677E-3</v>
      </c>
      <c r="W95" s="2"/>
      <c r="X95" s="6">
        <f t="shared" si="74"/>
        <v>16111.71</v>
      </c>
      <c r="Y95" s="2"/>
      <c r="Z95" s="7">
        <f t="shared" si="75"/>
        <v>1.3663463316095394</v>
      </c>
    </row>
    <row r="96" spans="1:26" s="24" customFormat="1" hidden="1" outlineLevel="2" x14ac:dyDescent="0.25">
      <c r="A96" s="26"/>
      <c r="B96" s="11" t="str">
        <f>CONCATENATE("          ", "6241", " - ", "OFFICE EXPENSE")</f>
        <v xml:space="preserve">          6241 - OFFICE EXPENSE</v>
      </c>
      <c r="C96" s="11"/>
      <c r="D96" s="6">
        <v>2255.5500000000002</v>
      </c>
      <c r="E96" s="2"/>
      <c r="F96" s="7">
        <f t="shared" si="68"/>
        <v>2.5892193586571784E-3</v>
      </c>
      <c r="G96" s="2"/>
      <c r="H96" s="6">
        <v>2499.39</v>
      </c>
      <c r="I96" s="2"/>
      <c r="J96" s="7">
        <f t="shared" si="69"/>
        <v>2.7535005423075941E-3</v>
      </c>
      <c r="K96" s="2"/>
      <c r="L96" s="6">
        <f t="shared" si="70"/>
        <v>-243.83999999999969</v>
      </c>
      <c r="M96" s="2"/>
      <c r="N96" s="7">
        <f t="shared" si="71"/>
        <v>-9.7559804592320401E-2</v>
      </c>
      <c r="O96" s="11"/>
      <c r="P96" s="6">
        <v>11021.24</v>
      </c>
      <c r="Q96" s="2"/>
      <c r="R96" s="7">
        <f t="shared" si="72"/>
        <v>5.2208414255560656E-3</v>
      </c>
      <c r="S96" s="2"/>
      <c r="T96" s="6">
        <v>7967.53</v>
      </c>
      <c r="U96" s="2"/>
      <c r="V96" s="7">
        <f t="shared" si="73"/>
        <v>3.5907679605447222E-3</v>
      </c>
      <c r="W96" s="2"/>
      <c r="X96" s="6">
        <f t="shared" si="74"/>
        <v>3053.71</v>
      </c>
      <c r="Y96" s="2"/>
      <c r="Z96" s="7">
        <f t="shared" si="75"/>
        <v>0.38326934445179373</v>
      </c>
    </row>
    <row r="97" spans="1:26" s="24" customFormat="1" hidden="1" outlineLevel="2" x14ac:dyDescent="0.25">
      <c r="A97" s="26"/>
      <c r="B97" s="11" t="str">
        <f>CONCATENATE("          ", "6243", " - ", "PAPER SUPPLIES")</f>
        <v xml:space="preserve">          6243 - PAPER SUPPLIES</v>
      </c>
      <c r="C97" s="11"/>
      <c r="D97" s="6">
        <v>3899.07</v>
      </c>
      <c r="E97" s="2"/>
      <c r="F97" s="7">
        <f t="shared" si="68"/>
        <v>4.475869532823233E-3</v>
      </c>
      <c r="G97" s="2"/>
      <c r="H97" s="6">
        <v>7572.6</v>
      </c>
      <c r="I97" s="2"/>
      <c r="J97" s="7">
        <f t="shared" si="69"/>
        <v>8.3424988523913782E-3</v>
      </c>
      <c r="K97" s="2"/>
      <c r="L97" s="6">
        <f t="shared" si="70"/>
        <v>-3673.53</v>
      </c>
      <c r="M97" s="2"/>
      <c r="N97" s="7">
        <f t="shared" si="71"/>
        <v>-0.48510815307820299</v>
      </c>
      <c r="O97" s="11"/>
      <c r="P97" s="6">
        <v>14239.81</v>
      </c>
      <c r="Q97" s="2"/>
      <c r="R97" s="7">
        <f t="shared" si="72"/>
        <v>6.7455014081943153E-3</v>
      </c>
      <c r="S97" s="2"/>
      <c r="T97" s="6">
        <v>18815.550000000003</v>
      </c>
      <c r="U97" s="2"/>
      <c r="V97" s="7">
        <f t="shared" si="73"/>
        <v>8.4797012499516489E-3</v>
      </c>
      <c r="W97" s="2"/>
      <c r="X97" s="6">
        <f t="shared" si="74"/>
        <v>-4575.7400000000034</v>
      </c>
      <c r="Y97" s="2"/>
      <c r="Z97" s="7">
        <f t="shared" si="75"/>
        <v>-0.2431892769544341</v>
      </c>
    </row>
    <row r="98" spans="1:26" s="24" customFormat="1" hidden="1" outlineLevel="2" x14ac:dyDescent="0.25">
      <c r="A98" s="26"/>
      <c r="B98" s="11" t="str">
        <f>CONCATENATE("          ", "6245", " - ", "PRINTING")</f>
        <v xml:space="preserve">          6245 - PRINTING</v>
      </c>
      <c r="C98" s="11"/>
      <c r="D98" s="6">
        <v>55.72</v>
      </c>
      <c r="E98" s="2"/>
      <c r="F98" s="7">
        <f t="shared" si="68"/>
        <v>6.3962804045300685E-5</v>
      </c>
      <c r="G98" s="2"/>
      <c r="H98" s="6"/>
      <c r="I98" s="2"/>
      <c r="J98" s="7">
        <f t="shared" si="69"/>
        <v>0</v>
      </c>
      <c r="K98" s="2"/>
      <c r="L98" s="6">
        <f t="shared" si="70"/>
        <v>55.72</v>
      </c>
      <c r="M98" s="2"/>
      <c r="N98" s="7">
        <f t="shared" si="71"/>
        <v>0</v>
      </c>
      <c r="O98" s="11"/>
      <c r="P98" s="6">
        <v>254.91</v>
      </c>
      <c r="Q98" s="2"/>
      <c r="R98" s="7">
        <f t="shared" si="72"/>
        <v>1.2075271818674637E-4</v>
      </c>
      <c r="S98" s="2"/>
      <c r="T98" s="6"/>
      <c r="U98" s="2"/>
      <c r="V98" s="7">
        <f t="shared" si="73"/>
        <v>0</v>
      </c>
      <c r="W98" s="2"/>
      <c r="X98" s="6">
        <f t="shared" si="74"/>
        <v>254.91</v>
      </c>
      <c r="Y98" s="2"/>
      <c r="Z98" s="7">
        <f t="shared" si="75"/>
        <v>0</v>
      </c>
    </row>
    <row r="99" spans="1:26" s="24" customFormat="1" hidden="1" outlineLevel="2" x14ac:dyDescent="0.25">
      <c r="A99" s="26"/>
      <c r="B99" s="11" t="str">
        <f>CONCATENATE("          ", "6247", " - ", "STORE SUPPLIES")</f>
        <v xml:space="preserve">          6247 - STORE SUPPLIES</v>
      </c>
      <c r="C99" s="11"/>
      <c r="D99" s="6">
        <v>104.65</v>
      </c>
      <c r="E99" s="2"/>
      <c r="F99" s="7">
        <f t="shared" si="68"/>
        <v>1.2013114578859866E-4</v>
      </c>
      <c r="G99" s="2"/>
      <c r="H99" s="6">
        <v>485.84</v>
      </c>
      <c r="I99" s="2"/>
      <c r="J99" s="7">
        <f t="shared" si="69"/>
        <v>5.3523487870029145E-4</v>
      </c>
      <c r="K99" s="2"/>
      <c r="L99" s="6">
        <f t="shared" si="70"/>
        <v>-381.18999999999994</v>
      </c>
      <c r="M99" s="2"/>
      <c r="N99" s="7">
        <f t="shared" si="71"/>
        <v>-0.78459986826938899</v>
      </c>
      <c r="O99" s="11"/>
      <c r="P99" s="6">
        <v>1797.8</v>
      </c>
      <c r="Q99" s="2"/>
      <c r="R99" s="7">
        <f t="shared" si="72"/>
        <v>8.5163091583748238E-4</v>
      </c>
      <c r="S99" s="2"/>
      <c r="T99" s="6">
        <v>5174.82</v>
      </c>
      <c r="U99" s="2"/>
      <c r="V99" s="7">
        <f t="shared" si="73"/>
        <v>2.3321628983619816E-3</v>
      </c>
      <c r="W99" s="2"/>
      <c r="X99" s="6">
        <f t="shared" si="74"/>
        <v>-3377.0199999999995</v>
      </c>
      <c r="Y99" s="2"/>
      <c r="Z99" s="7">
        <f t="shared" si="75"/>
        <v>-0.65258694988424715</v>
      </c>
    </row>
    <row r="100" spans="1:26" s="24" customFormat="1" hidden="1" outlineLevel="2" x14ac:dyDescent="0.25">
      <c r="A100" s="26"/>
      <c r="B100" s="11" t="str">
        <f>CONCATENATE("          ", "6248", " - ", "UNIFORMS")</f>
        <v xml:space="preserve">          6248 - UNIFORMS</v>
      </c>
      <c r="C100" s="11"/>
      <c r="D100" s="6">
        <v>139.41</v>
      </c>
      <c r="E100" s="2"/>
      <c r="F100" s="7">
        <f t="shared" si="68"/>
        <v>1.6003328269840935E-4</v>
      </c>
      <c r="G100" s="2"/>
      <c r="H100" s="6">
        <v>28.29</v>
      </c>
      <c r="I100" s="2"/>
      <c r="J100" s="7">
        <f t="shared" si="69"/>
        <v>3.116621669362598E-5</v>
      </c>
      <c r="K100" s="2"/>
      <c r="L100" s="6">
        <f t="shared" si="70"/>
        <v>111.12</v>
      </c>
      <c r="M100" s="2"/>
      <c r="N100" s="7">
        <f t="shared" si="71"/>
        <v>3.9278897136797459</v>
      </c>
      <c r="O100" s="11"/>
      <c r="P100" s="6">
        <v>3483.24</v>
      </c>
      <c r="Q100" s="2"/>
      <c r="R100" s="7">
        <f t="shared" si="72"/>
        <v>1.6500360837032773E-3</v>
      </c>
      <c r="S100" s="2"/>
      <c r="T100" s="6">
        <v>6799.98</v>
      </c>
      <c r="U100" s="2"/>
      <c r="V100" s="7">
        <f t="shared" si="73"/>
        <v>3.0645821623947319E-3</v>
      </c>
      <c r="W100" s="2"/>
      <c r="X100" s="6">
        <f t="shared" si="74"/>
        <v>-3316.74</v>
      </c>
      <c r="Y100" s="2"/>
      <c r="Z100" s="7">
        <f t="shared" si="75"/>
        <v>-0.48775731693328511</v>
      </c>
    </row>
    <row r="101" spans="1:26" s="27" customFormat="1" outlineLevel="1" collapsed="1" x14ac:dyDescent="0.25">
      <c r="A101" s="25"/>
      <c r="B101" s="13" t="str">
        <f>CONCATENATE("     ","Telephone/Data Lines                              ")</f>
        <v xml:space="preserve">     Telephone/Data Lines                              </v>
      </c>
      <c r="C101" s="13"/>
      <c r="D101" s="1">
        <f>SUM(OSRRefD22_19x_0)</f>
        <v>2407.0700000000002</v>
      </c>
      <c r="E101" s="1"/>
      <c r="F101" s="5">
        <f t="shared" ref="F101:F108" si="76">IF(D$12=0,0,D101/D$12)</f>
        <v>2.7631541050488501E-3</v>
      </c>
      <c r="G101" s="1"/>
      <c r="H101" s="1">
        <f>SUM(OSRRefH22_19x_0)</f>
        <v>1955.78</v>
      </c>
      <c r="I101" s="1"/>
      <c r="J101" s="5">
        <f t="shared" ref="J101:J108" si="77">IF(H$12=0,0,H101/H$12)</f>
        <v>2.1546222440812944E-3</v>
      </c>
      <c r="K101" s="1"/>
      <c r="L101" s="1">
        <f t="shared" ref="L101:L108" si="78">+D101-H101</f>
        <v>451.29000000000019</v>
      </c>
      <c r="M101" s="1"/>
      <c r="N101" s="5">
        <f t="shared" ref="N101:N108" si="79">IF(H101=0,0,L101/H101)</f>
        <v>0.23074681201362127</v>
      </c>
      <c r="O101" s="13"/>
      <c r="P101" s="1">
        <f>SUM(OSRRefP22_19x_0)</f>
        <v>7140.96</v>
      </c>
      <c r="Q101" s="1"/>
      <c r="R101" s="5">
        <f t="shared" ref="R101:R108" si="80">IF(P$12=0,0,P101/P$12)</f>
        <v>3.3827246105010726E-3</v>
      </c>
      <c r="S101" s="1"/>
      <c r="T101" s="1">
        <f>SUM(OSRRefT22_19x_0)</f>
        <v>7753.67</v>
      </c>
      <c r="U101" s="1"/>
      <c r="V101" s="5">
        <f t="shared" ref="V101:V108" si="81">IF(T$12=0,0,T101/T$12)</f>
        <v>3.494386568062724E-3</v>
      </c>
      <c r="W101" s="1"/>
      <c r="X101" s="1">
        <f t="shared" ref="X101:X108" si="82">+P101-T101</f>
        <v>-612.71</v>
      </c>
      <c r="Y101" s="1"/>
      <c r="Z101" s="5">
        <f t="shared" ref="Z101:Z108" si="83">IF(T101=0,0,X101/T101)</f>
        <v>-7.9021934129257509E-2</v>
      </c>
    </row>
    <row r="102" spans="1:26" s="24" customFormat="1" hidden="1" outlineLevel="2" x14ac:dyDescent="0.25">
      <c r="A102" s="26"/>
      <c r="B102" s="11" t="str">
        <f>CONCATENATE("          ", "6309", " - ", "TELEPHONE")</f>
        <v xml:space="preserve">          6309 - TELEPHONE</v>
      </c>
      <c r="C102" s="11"/>
      <c r="D102" s="6">
        <v>2407.0700000000002</v>
      </c>
      <c r="E102" s="2"/>
      <c r="F102" s="7">
        <f t="shared" si="76"/>
        <v>2.7631541050488501E-3</v>
      </c>
      <c r="G102" s="2"/>
      <c r="H102" s="6">
        <v>1955.78</v>
      </c>
      <c r="I102" s="2"/>
      <c r="J102" s="7">
        <f t="shared" si="77"/>
        <v>2.1546222440812944E-3</v>
      </c>
      <c r="K102" s="2"/>
      <c r="L102" s="6">
        <f t="shared" si="78"/>
        <v>451.29000000000019</v>
      </c>
      <c r="M102" s="2"/>
      <c r="N102" s="7">
        <f t="shared" si="79"/>
        <v>0.23074681201362127</v>
      </c>
      <c r="O102" s="11"/>
      <c r="P102" s="6">
        <v>7140.96</v>
      </c>
      <c r="Q102" s="2"/>
      <c r="R102" s="7">
        <f t="shared" si="80"/>
        <v>3.3827246105010726E-3</v>
      </c>
      <c r="S102" s="2"/>
      <c r="T102" s="6">
        <v>7753.67</v>
      </c>
      <c r="U102" s="2"/>
      <c r="V102" s="7">
        <f t="shared" si="81"/>
        <v>3.494386568062724E-3</v>
      </c>
      <c r="W102" s="2"/>
      <c r="X102" s="6">
        <f t="shared" si="82"/>
        <v>-612.71</v>
      </c>
      <c r="Y102" s="2"/>
      <c r="Z102" s="7">
        <f t="shared" si="83"/>
        <v>-7.9021934129257509E-2</v>
      </c>
    </row>
    <row r="103" spans="1:26" s="27" customFormat="1" outlineLevel="1" collapsed="1" x14ac:dyDescent="0.25">
      <c r="A103" s="25"/>
      <c r="B103" s="13" t="str">
        <f>CONCATENATE("     ","Training                                          ")</f>
        <v xml:space="preserve">     Training                                          </v>
      </c>
      <c r="C103" s="13"/>
      <c r="D103" s="1">
        <f>SUM(OSRRefD22_20x_0)</f>
        <v>188.95</v>
      </c>
      <c r="E103" s="1"/>
      <c r="F103" s="5">
        <f t="shared" si="76"/>
        <v>2.1690186332303597E-4</v>
      </c>
      <c r="G103" s="1"/>
      <c r="H103" s="1">
        <f>SUM(OSRRefH22_20x_0)</f>
        <v>62.5</v>
      </c>
      <c r="I103" s="1"/>
      <c r="J103" s="5">
        <f t="shared" si="77"/>
        <v>6.8854314010308371E-5</v>
      </c>
      <c r="K103" s="1"/>
      <c r="L103" s="1">
        <f t="shared" si="78"/>
        <v>126.44999999999999</v>
      </c>
      <c r="M103" s="1"/>
      <c r="N103" s="5">
        <f t="shared" si="79"/>
        <v>2.0231999999999997</v>
      </c>
      <c r="O103" s="13"/>
      <c r="P103" s="1">
        <f>SUM(OSRRefP22_20x_0)</f>
        <v>1567.5</v>
      </c>
      <c r="Q103" s="1"/>
      <c r="R103" s="5">
        <f t="shared" si="80"/>
        <v>7.4253613337148391E-4</v>
      </c>
      <c r="S103" s="1"/>
      <c r="T103" s="1">
        <f>SUM(OSRRefT22_20x_0)</f>
        <v>690.48</v>
      </c>
      <c r="U103" s="1"/>
      <c r="V103" s="5">
        <f t="shared" si="81"/>
        <v>3.111821934020857E-4</v>
      </c>
      <c r="W103" s="1"/>
      <c r="X103" s="1">
        <f t="shared" si="82"/>
        <v>877.02</v>
      </c>
      <c r="Y103" s="1"/>
      <c r="Z103" s="5">
        <f t="shared" si="83"/>
        <v>1.2701598887730274</v>
      </c>
    </row>
    <row r="104" spans="1:26" s="24" customFormat="1" hidden="1" outlineLevel="2" x14ac:dyDescent="0.25">
      <c r="A104" s="26"/>
      <c r="B104" s="11" t="str">
        <f>CONCATENATE("          ", "6376", " - ", "TRAINING")</f>
        <v xml:space="preserve">          6376 - TRAINING</v>
      </c>
      <c r="C104" s="11"/>
      <c r="D104" s="6">
        <v>188.95</v>
      </c>
      <c r="E104" s="2"/>
      <c r="F104" s="7">
        <f t="shared" si="76"/>
        <v>2.1690186332303597E-4</v>
      </c>
      <c r="G104" s="2"/>
      <c r="H104" s="6">
        <v>62.5</v>
      </c>
      <c r="I104" s="2"/>
      <c r="J104" s="7">
        <f t="shared" si="77"/>
        <v>6.8854314010308371E-5</v>
      </c>
      <c r="K104" s="2"/>
      <c r="L104" s="6">
        <f t="shared" si="78"/>
        <v>126.44999999999999</v>
      </c>
      <c r="M104" s="2"/>
      <c r="N104" s="7">
        <f t="shared" si="79"/>
        <v>2.0231999999999997</v>
      </c>
      <c r="O104" s="11"/>
      <c r="P104" s="6">
        <v>1567.5</v>
      </c>
      <c r="Q104" s="2"/>
      <c r="R104" s="7">
        <f t="shared" si="80"/>
        <v>7.4253613337148391E-4</v>
      </c>
      <c r="S104" s="2"/>
      <c r="T104" s="6">
        <v>690.48</v>
      </c>
      <c r="U104" s="2"/>
      <c r="V104" s="7">
        <f t="shared" si="81"/>
        <v>3.111821934020857E-4</v>
      </c>
      <c r="W104" s="2"/>
      <c r="X104" s="6">
        <f t="shared" si="82"/>
        <v>877.02</v>
      </c>
      <c r="Y104" s="2"/>
      <c r="Z104" s="7">
        <f t="shared" si="83"/>
        <v>1.2701598887730274</v>
      </c>
    </row>
    <row r="105" spans="1:26" s="27" customFormat="1" outlineLevel="1" collapsed="1" x14ac:dyDescent="0.25">
      <c r="A105" s="25"/>
      <c r="B105" s="13" t="str">
        <f>CONCATENATE("     ","Travel                                            ")</f>
        <v xml:space="preserve">     Travel                                            </v>
      </c>
      <c r="C105" s="13"/>
      <c r="D105" s="1">
        <f>SUM(OSRRefD22_21x_0)</f>
        <v>0</v>
      </c>
      <c r="E105" s="1"/>
      <c r="F105" s="5">
        <f t="shared" si="76"/>
        <v>0</v>
      </c>
      <c r="G105" s="1"/>
      <c r="H105" s="1">
        <f>SUM(OSRRefH22_21x_0)</f>
        <v>249.39</v>
      </c>
      <c r="I105" s="1"/>
      <c r="J105" s="5">
        <f t="shared" si="77"/>
        <v>2.7474523793649284E-4</v>
      </c>
      <c r="K105" s="1"/>
      <c r="L105" s="1">
        <f t="shared" si="78"/>
        <v>-249.39</v>
      </c>
      <c r="M105" s="1"/>
      <c r="N105" s="5">
        <f t="shared" si="79"/>
        <v>-1</v>
      </c>
      <c r="O105" s="13"/>
      <c r="P105" s="1">
        <f>SUM(OSRRefP22_21x_0)</f>
        <v>1101.18</v>
      </c>
      <c r="Q105" s="1"/>
      <c r="R105" s="5">
        <f t="shared" si="80"/>
        <v>5.216369629001663E-4</v>
      </c>
      <c r="S105" s="1"/>
      <c r="T105" s="1">
        <f>SUM(OSRRefT22_21x_0)</f>
        <v>1917.41</v>
      </c>
      <c r="U105" s="1"/>
      <c r="V105" s="5">
        <f t="shared" si="81"/>
        <v>8.6412908332043382E-4</v>
      </c>
      <c r="W105" s="1"/>
      <c r="X105" s="1">
        <f t="shared" si="82"/>
        <v>-816.23</v>
      </c>
      <c r="Y105" s="1"/>
      <c r="Z105" s="5">
        <f t="shared" si="83"/>
        <v>-0.42569403518287691</v>
      </c>
    </row>
    <row r="106" spans="1:26" s="24" customFormat="1" hidden="1" outlineLevel="2" x14ac:dyDescent="0.25">
      <c r="A106" s="26"/>
      <c r="B106" s="11" t="str">
        <f>CONCATENATE("          ", "6292", " - ", "TRAVEL/CONFERENCE")</f>
        <v xml:space="preserve">          6292 - TRAVEL/CONFERENCE</v>
      </c>
      <c r="C106" s="11"/>
      <c r="D106" s="6"/>
      <c r="E106" s="2"/>
      <c r="F106" s="7">
        <f t="shared" si="76"/>
        <v>0</v>
      </c>
      <c r="G106" s="2"/>
      <c r="H106" s="6">
        <v>122.66</v>
      </c>
      <c r="I106" s="2"/>
      <c r="J106" s="7">
        <f t="shared" si="77"/>
        <v>1.351307225040708E-4</v>
      </c>
      <c r="K106" s="2"/>
      <c r="L106" s="6">
        <f t="shared" si="78"/>
        <v>-122.66</v>
      </c>
      <c r="M106" s="2"/>
      <c r="N106" s="7">
        <f t="shared" si="79"/>
        <v>-1</v>
      </c>
      <c r="O106" s="11"/>
      <c r="P106" s="6">
        <v>545.69000000000005</v>
      </c>
      <c r="Q106" s="2"/>
      <c r="R106" s="7">
        <f t="shared" si="80"/>
        <v>2.5849731586570019E-4</v>
      </c>
      <c r="S106" s="2"/>
      <c r="T106" s="6">
        <v>312.74</v>
      </c>
      <c r="U106" s="2"/>
      <c r="V106" s="7">
        <f t="shared" si="81"/>
        <v>1.409441535809412E-4</v>
      </c>
      <c r="W106" s="2"/>
      <c r="X106" s="6">
        <f t="shared" si="82"/>
        <v>232.95000000000005</v>
      </c>
      <c r="Y106" s="2"/>
      <c r="Z106" s="7">
        <f t="shared" si="83"/>
        <v>0.74486794142098878</v>
      </c>
    </row>
    <row r="107" spans="1:26" s="24" customFormat="1" hidden="1" outlineLevel="2" x14ac:dyDescent="0.25">
      <c r="A107" s="26"/>
      <c r="B107" s="11" t="str">
        <f>CONCATENATE("          ", "6294", " - ", "TRAVEL OPERATIONAL")</f>
        <v xml:space="preserve">          6294 - TRAVEL OPERATIONAL</v>
      </c>
      <c r="C107" s="11"/>
      <c r="D107" s="6"/>
      <c r="E107" s="2"/>
      <c r="F107" s="7">
        <f t="shared" si="76"/>
        <v>0</v>
      </c>
      <c r="G107" s="2"/>
      <c r="H107" s="6"/>
      <c r="I107" s="2"/>
      <c r="J107" s="7">
        <f t="shared" si="77"/>
        <v>0</v>
      </c>
      <c r="K107" s="2"/>
      <c r="L107" s="6">
        <f t="shared" si="78"/>
        <v>0</v>
      </c>
      <c r="M107" s="2"/>
      <c r="N107" s="7">
        <f t="shared" si="79"/>
        <v>0</v>
      </c>
      <c r="O107" s="11"/>
      <c r="P107" s="6">
        <v>45.49</v>
      </c>
      <c r="Q107" s="2"/>
      <c r="R107" s="7">
        <f t="shared" si="80"/>
        <v>2.15489433537919E-5</v>
      </c>
      <c r="S107" s="2"/>
      <c r="T107" s="6">
        <v>1258.9000000000001</v>
      </c>
      <c r="U107" s="2"/>
      <c r="V107" s="7">
        <f t="shared" si="81"/>
        <v>5.6735497519679891E-4</v>
      </c>
      <c r="W107" s="2"/>
      <c r="X107" s="6">
        <f t="shared" si="82"/>
        <v>-1213.4100000000001</v>
      </c>
      <c r="Y107" s="2"/>
      <c r="Z107" s="7">
        <f t="shared" si="83"/>
        <v>-0.96386527921201048</v>
      </c>
    </row>
    <row r="108" spans="1:26" s="24" customFormat="1" hidden="1" outlineLevel="2" x14ac:dyDescent="0.25">
      <c r="A108" s="26"/>
      <c r="B108" s="11" t="str">
        <f>CONCATENATE("          ", "6298", " - ", "VEHICLE MILEAGE")</f>
        <v xml:space="preserve">          6298 - VEHICLE MILEAGE</v>
      </c>
      <c r="C108" s="11"/>
      <c r="D108" s="6"/>
      <c r="E108" s="2"/>
      <c r="F108" s="7">
        <f t="shared" si="76"/>
        <v>0</v>
      </c>
      <c r="G108" s="2"/>
      <c r="H108" s="6">
        <v>126.73</v>
      </c>
      <c r="I108" s="2"/>
      <c r="J108" s="7">
        <f t="shared" si="77"/>
        <v>1.3961451543242207E-4</v>
      </c>
      <c r="K108" s="2"/>
      <c r="L108" s="6">
        <f t="shared" si="78"/>
        <v>-126.73</v>
      </c>
      <c r="M108" s="2"/>
      <c r="N108" s="7">
        <f t="shared" si="79"/>
        <v>-1</v>
      </c>
      <c r="O108" s="11"/>
      <c r="P108" s="6">
        <v>510</v>
      </c>
      <c r="Q108" s="2"/>
      <c r="R108" s="7">
        <f t="shared" si="80"/>
        <v>2.4159070368067416E-4</v>
      </c>
      <c r="S108" s="2"/>
      <c r="T108" s="6">
        <v>345.77</v>
      </c>
      <c r="U108" s="2"/>
      <c r="V108" s="7">
        <f t="shared" si="81"/>
        <v>1.5582995454269374E-4</v>
      </c>
      <c r="W108" s="2"/>
      <c r="X108" s="6">
        <f t="shared" si="82"/>
        <v>164.23000000000002</v>
      </c>
      <c r="Y108" s="2"/>
      <c r="Z108" s="7">
        <f t="shared" si="83"/>
        <v>0.47496890996905466</v>
      </c>
    </row>
    <row r="109" spans="1:26" s="27" customFormat="1" outlineLevel="1" collapsed="1" x14ac:dyDescent="0.25">
      <c r="A109" s="25"/>
      <c r="B109" s="13" t="str">
        <f>CONCATENATE("     ","Utilities                                         ")</f>
        <v xml:space="preserve">     Utilities                                         </v>
      </c>
      <c r="C109" s="13"/>
      <c r="D109" s="1">
        <f>SUM(OSRRefD22_22x_0)</f>
        <v>13691</v>
      </c>
      <c r="E109" s="1"/>
      <c r="F109" s="5">
        <f t="shared" ref="F109:F110" si="84">IF(D$12=0,0,D109/D$12)</f>
        <v>1.5716345121755414E-2</v>
      </c>
      <c r="G109" s="1"/>
      <c r="H109" s="1">
        <f>SUM(OSRRefH22_22x_0)</f>
        <v>-10733.38</v>
      </c>
      <c r="I109" s="1"/>
      <c r="J109" s="5">
        <f t="shared" ref="J109:J110" si="85">IF(H$12=0,0,H109/H$12)</f>
        <v>-1.1824632270591417E-2</v>
      </c>
      <c r="K109" s="1"/>
      <c r="L109" s="1">
        <f t="shared" ref="L109:L110" si="86">+D109-H109</f>
        <v>24424.379999999997</v>
      </c>
      <c r="M109" s="1"/>
      <c r="N109" s="5">
        <f t="shared" ref="N109:N110" si="87">IF(H109=0,0,L109/H109)</f>
        <v>-2.2755534603265701</v>
      </c>
      <c r="O109" s="13"/>
      <c r="P109" s="1">
        <f>SUM(OSRRefP22_22x_0)</f>
        <v>44649</v>
      </c>
      <c r="Q109" s="1"/>
      <c r="R109" s="5">
        <f t="shared" ref="R109:R110" si="88">IF(P$12=0,0,P109/P$12)</f>
        <v>2.1150555546349845E-2</v>
      </c>
      <c r="S109" s="1"/>
      <c r="T109" s="1">
        <f>SUM(OSRRefT22_22x_0)</f>
        <v>30962.620000000003</v>
      </c>
      <c r="U109" s="1"/>
      <c r="V109" s="5">
        <f t="shared" ref="V109:V110" si="89">IF(T$12=0,0,T109/T$12)</f>
        <v>1.3954084122748359E-2</v>
      </c>
      <c r="W109" s="1"/>
      <c r="X109" s="1">
        <f t="shared" ref="X109:X110" si="90">+P109-T109</f>
        <v>13686.379999999997</v>
      </c>
      <c r="Y109" s="1"/>
      <c r="Z109" s="5">
        <f t="shared" ref="Z109:Z110" si="91">IF(T109=0,0,X109/T109)</f>
        <v>0.44202913060974802</v>
      </c>
    </row>
    <row r="110" spans="1:26" s="24" customFormat="1" hidden="1" outlineLevel="2" x14ac:dyDescent="0.25">
      <c r="A110" s="26"/>
      <c r="B110" s="11" t="str">
        <f>CONCATENATE("          ", "6274", " - ", "UTILITIES")</f>
        <v xml:space="preserve">          6274 - UTILITIES</v>
      </c>
      <c r="C110" s="11"/>
      <c r="D110" s="6">
        <v>13691</v>
      </c>
      <c r="E110" s="2"/>
      <c r="F110" s="7">
        <f t="shared" si="84"/>
        <v>1.5716345121755414E-2</v>
      </c>
      <c r="G110" s="2"/>
      <c r="H110" s="6">
        <v>-10733.38</v>
      </c>
      <c r="I110" s="2"/>
      <c r="J110" s="7">
        <f t="shared" si="85"/>
        <v>-1.1824632270591417E-2</v>
      </c>
      <c r="K110" s="2"/>
      <c r="L110" s="6">
        <f t="shared" si="86"/>
        <v>24424.379999999997</v>
      </c>
      <c r="M110" s="2"/>
      <c r="N110" s="7">
        <f t="shared" si="87"/>
        <v>-2.2755534603265701</v>
      </c>
      <c r="O110" s="11"/>
      <c r="P110" s="6">
        <v>44649</v>
      </c>
      <c r="Q110" s="2"/>
      <c r="R110" s="7">
        <f t="shared" si="88"/>
        <v>2.1150555546349845E-2</v>
      </c>
      <c r="S110" s="2"/>
      <c r="T110" s="6">
        <v>30962.620000000003</v>
      </c>
      <c r="U110" s="2"/>
      <c r="V110" s="7">
        <f t="shared" si="89"/>
        <v>1.3954084122748359E-2</v>
      </c>
      <c r="W110" s="2"/>
      <c r="X110" s="6">
        <f t="shared" si="90"/>
        <v>13686.379999999997</v>
      </c>
      <c r="Y110" s="2"/>
      <c r="Z110" s="7">
        <f t="shared" si="91"/>
        <v>0.44202913060974802</v>
      </c>
    </row>
    <row r="111" spans="1:26" s="55" customFormat="1" x14ac:dyDescent="0.25">
      <c r="A111" s="37"/>
      <c r="B111" s="37"/>
      <c r="C111" s="37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7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collapsed="1" x14ac:dyDescent="0.25">
      <c r="A112" s="10"/>
      <c r="B112" s="29" t="s">
        <v>0</v>
      </c>
      <c r="C112" s="10"/>
      <c r="D112" s="4">
        <f>SUM(OSRRefD25x_0)</f>
        <v>123863.64</v>
      </c>
      <c r="E112" s="4"/>
      <c r="F112" s="12">
        <f t="shared" ref="F112:F115" si="92">IF(D$12=0,0,D112/D$12)</f>
        <v>0.14218710936212614</v>
      </c>
      <c r="G112" s="4"/>
      <c r="H112" s="4">
        <f>SUM(OSRRefH25x_0)</f>
        <v>63929.899999999994</v>
      </c>
      <c r="I112" s="4"/>
      <c r="J112" s="12">
        <f t="shared" ref="J112:J115" si="93">IF(H$12=0,0,H112/H$12)</f>
        <v>7.0429590547961801E-2</v>
      </c>
      <c r="K112" s="4"/>
      <c r="L112" s="4">
        <f t="shared" ref="L112:L115" si="94">+D112-H112</f>
        <v>59933.740000000005</v>
      </c>
      <c r="M112" s="4"/>
      <c r="N112" s="12">
        <f t="shared" ref="N112:N115" si="95">IF(H112=0,0,L112/H112)</f>
        <v>0.93749153369550098</v>
      </c>
      <c r="O112" s="10"/>
      <c r="P112" s="4">
        <f>SUM(OSRRefP25x_0)</f>
        <v>426524.63</v>
      </c>
      <c r="Q112" s="4"/>
      <c r="R112" s="12">
        <f t="shared" ref="R112:R115" si="96">IF(P$12=0,0,P112/P$12)</f>
        <v>0.20204781470360625</v>
      </c>
      <c r="S112" s="4"/>
      <c r="T112" s="4">
        <f>SUM(OSRRefT25x_0)</f>
        <v>332923.26</v>
      </c>
      <c r="U112" s="4"/>
      <c r="V112" s="12">
        <f t="shared" ref="V112:V115" si="97">IF(T$12=0,0,T112/T$12)</f>
        <v>0.15004024777165575</v>
      </c>
      <c r="W112" s="4"/>
      <c r="X112" s="4">
        <f t="shared" ref="X112:X115" si="98">+P112-T112</f>
        <v>93601.37</v>
      </c>
      <c r="Y112" s="4"/>
      <c r="Z112" s="12">
        <f t="shared" ref="Z112:Z115" si="99">IF(T112=0,0,X112/T112)</f>
        <v>0.28114998633619048</v>
      </c>
    </row>
    <row r="113" spans="1:26" s="24" customFormat="1" hidden="1" outlineLevel="1" x14ac:dyDescent="0.25">
      <c r="A113" s="44"/>
      <c r="B113" s="11" t="str">
        <f>CONCATENATE("          ", "9150", " - ", "MISC. INCOME")</f>
        <v xml:space="preserve">          9150 - MISC. INCOME</v>
      </c>
      <c r="C113" s="11"/>
      <c r="D113" s="2">
        <f>--50769.74</f>
        <v>50769.74</v>
      </c>
      <c r="E113" s="2"/>
      <c r="F113" s="19">
        <f t="shared" si="92"/>
        <v>5.8280239250733383E-2</v>
      </c>
      <c r="G113" s="2"/>
      <c r="H113" s="2">
        <f>--46010.97</f>
        <v>46010.97</v>
      </c>
      <c r="I113" s="2"/>
      <c r="J113" s="19">
        <f t="shared" si="93"/>
        <v>5.068886042078205E-2</v>
      </c>
      <c r="K113" s="2"/>
      <c r="L113" s="2">
        <f t="shared" si="94"/>
        <v>4758.7699999999968</v>
      </c>
      <c r="M113" s="2"/>
      <c r="N113" s="19">
        <f t="shared" si="95"/>
        <v>0.10342685668222158</v>
      </c>
      <c r="O113" s="11"/>
      <c r="P113" s="2">
        <f>--117296.68</f>
        <v>117296.68</v>
      </c>
      <c r="Q113" s="2"/>
      <c r="R113" s="19">
        <f t="shared" si="96"/>
        <v>5.5564289138444821E-2</v>
      </c>
      <c r="S113" s="2"/>
      <c r="T113" s="2">
        <f>--76307.48</f>
        <v>76307.48</v>
      </c>
      <c r="U113" s="2"/>
      <c r="V113" s="19">
        <f t="shared" si="97"/>
        <v>3.4389886744562892E-2</v>
      </c>
      <c r="W113" s="2"/>
      <c r="X113" s="2">
        <f t="shared" si="98"/>
        <v>40989.199999999997</v>
      </c>
      <c r="Y113" s="2"/>
      <c r="Z113" s="19">
        <f t="shared" si="99"/>
        <v>0.53715834935185902</v>
      </c>
    </row>
    <row r="114" spans="1:26" s="24" customFormat="1" hidden="1" outlineLevel="1" x14ac:dyDescent="0.25">
      <c r="A114" s="44"/>
      <c r="B114" s="11" t="str">
        <f>CONCATENATE("          ", "9160", " - ", "MISC. INCOME")</f>
        <v xml:space="preserve">          9160 - MISC. INCOME</v>
      </c>
      <c r="C114" s="11"/>
      <c r="D114" s="2">
        <f>--65384.61</f>
        <v>65384.61</v>
      </c>
      <c r="E114" s="2"/>
      <c r="F114" s="19">
        <f t="shared" si="92"/>
        <v>7.5057124856575869E-2</v>
      </c>
      <c r="G114" s="2"/>
      <c r="H114" s="2">
        <f>--9962.34</f>
        <v>9962.34</v>
      </c>
      <c r="I114" s="2"/>
      <c r="J114" s="19">
        <f t="shared" si="93"/>
        <v>1.0975201386199288E-2</v>
      </c>
      <c r="K114" s="2"/>
      <c r="L114" s="2">
        <f t="shared" si="94"/>
        <v>55422.270000000004</v>
      </c>
      <c r="M114" s="2"/>
      <c r="N114" s="19">
        <f t="shared" si="95"/>
        <v>5.5631779280771392</v>
      </c>
      <c r="O114" s="11"/>
      <c r="P114" s="2">
        <f>--96357.88</f>
        <v>96357.88</v>
      </c>
      <c r="Q114" s="2"/>
      <c r="R114" s="19">
        <f t="shared" si="96"/>
        <v>4.5645427518388161E-2</v>
      </c>
      <c r="S114" s="2"/>
      <c r="T114" s="2">
        <f>--45404.5</f>
        <v>45404.5</v>
      </c>
      <c r="U114" s="2"/>
      <c r="V114" s="19">
        <f t="shared" si="97"/>
        <v>2.0462680889127852E-2</v>
      </c>
      <c r="W114" s="2"/>
      <c r="X114" s="2">
        <f t="shared" si="98"/>
        <v>50953.380000000005</v>
      </c>
      <c r="Y114" s="2"/>
      <c r="Z114" s="19">
        <f t="shared" si="99"/>
        <v>1.122209913114339</v>
      </c>
    </row>
    <row r="115" spans="1:26" s="24" customFormat="1" hidden="1" outlineLevel="1" x14ac:dyDescent="0.25">
      <c r="A115" s="44"/>
      <c r="B115" s="11" t="str">
        <f>CONCATENATE("          ", "9165", " - ", "OTHER INCOME")</f>
        <v xml:space="preserve">          9165 - OTHER INCOME</v>
      </c>
      <c r="C115" s="11"/>
      <c r="D115" s="2">
        <f>--7709.29</f>
        <v>7709.29</v>
      </c>
      <c r="E115" s="2"/>
      <c r="F115" s="19">
        <f t="shared" si="92"/>
        <v>8.8497452548168716E-3</v>
      </c>
      <c r="G115" s="2"/>
      <c r="H115" s="2">
        <f>--7956.59</f>
        <v>7956.59</v>
      </c>
      <c r="I115" s="2"/>
      <c r="J115" s="19">
        <f t="shared" si="93"/>
        <v>8.7655287409804713E-3</v>
      </c>
      <c r="K115" s="2"/>
      <c r="L115" s="2">
        <f t="shared" si="94"/>
        <v>-247.30000000000018</v>
      </c>
      <c r="M115" s="2"/>
      <c r="N115" s="19">
        <f t="shared" si="95"/>
        <v>-3.1081154112502993E-2</v>
      </c>
      <c r="O115" s="11"/>
      <c r="P115" s="2">
        <f>--212870.07</f>
        <v>212870.07</v>
      </c>
      <c r="Q115" s="2"/>
      <c r="R115" s="19">
        <f t="shared" si="96"/>
        <v>0.10083809804677328</v>
      </c>
      <c r="S115" s="2"/>
      <c r="T115" s="2">
        <f>--211211.28</f>
        <v>211211.28</v>
      </c>
      <c r="U115" s="2"/>
      <c r="V115" s="19">
        <f t="shared" si="97"/>
        <v>9.5187680137964997E-2</v>
      </c>
      <c r="W115" s="2"/>
      <c r="X115" s="2">
        <f t="shared" si="98"/>
        <v>1658.7900000000081</v>
      </c>
      <c r="Y115" s="2"/>
      <c r="Z115" s="19">
        <f t="shared" si="99"/>
        <v>7.853699859212103E-3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8" t="s">
        <v>3</v>
      </c>
      <c r="C117" s="28"/>
      <c r="D117" s="21">
        <f>+D29-D31+D112</f>
        <v>147854.25</v>
      </c>
      <c r="E117" s="14"/>
      <c r="F117" s="22">
        <f>IF(D$12=0,0,D117/D$12)</f>
        <v>0.16972671249129395</v>
      </c>
      <c r="G117" s="14"/>
      <c r="H117" s="21">
        <f>+H29-H31+H112</f>
        <v>124291.70000000004</v>
      </c>
      <c r="I117" s="14"/>
      <c r="J117" s="22">
        <f>IF(H$12=0,0,H117/H$12)</f>
        <v>0.13692831585080076</v>
      </c>
      <c r="K117" s="16"/>
      <c r="L117" s="21">
        <f>+D117-H117</f>
        <v>23562.549999999959</v>
      </c>
      <c r="M117" s="16"/>
      <c r="N117" s="22">
        <f>IF(H117=0,0,L117/H117)</f>
        <v>0.189574605544859</v>
      </c>
      <c r="O117" s="29"/>
      <c r="P117" s="21">
        <f>+P29-P31+P112</f>
        <v>-77710.990000000573</v>
      </c>
      <c r="Q117" s="14"/>
      <c r="R117" s="22">
        <f>IF(P$12=0,0,P117/P$12)</f>
        <v>-3.681226030945485E-2</v>
      </c>
      <c r="S117" s="14"/>
      <c r="T117" s="21">
        <f>+T29-T31+T112</f>
        <v>75418.290000000037</v>
      </c>
      <c r="U117" s="14"/>
      <c r="V117" s="22">
        <f>IF(T$12=0,0,T117/T$12)</f>
        <v>3.3989150887548655E-2</v>
      </c>
      <c r="W117" s="16"/>
      <c r="X117" s="21">
        <f>+P117-T117</f>
        <v>-153129.28000000061</v>
      </c>
      <c r="Y117" s="16"/>
      <c r="Z117" s="22">
        <f>IF(T117=0,0,X117/T117)</f>
        <v>-2.0303997876377271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1"/>
      <c r="B119" s="10" t="s">
        <v>13</v>
      </c>
      <c r="C119" s="10"/>
      <c r="D119" s="4">
        <v>79320.259999999995</v>
      </c>
      <c r="E119" s="4"/>
      <c r="F119" s="12">
        <f>IF(D$12=0,0,D119/D$12)</f>
        <v>9.1054311687047779E-2</v>
      </c>
      <c r="G119" s="4"/>
      <c r="H119" s="4">
        <v>87288.16</v>
      </c>
      <c r="I119" s="4"/>
      <c r="J119" s="12">
        <f>IF(H$12=0,0,H119/H$12)</f>
        <v>9.6162662048352623E-2</v>
      </c>
      <c r="K119" s="4"/>
      <c r="L119" s="4">
        <f>+D119-H119</f>
        <v>-7967.9000000000087</v>
      </c>
      <c r="M119" s="4"/>
      <c r="N119" s="12">
        <f>IF(H119=0,0,L119/H119)</f>
        <v>-9.1282712340367902E-2</v>
      </c>
      <c r="O119" s="10"/>
      <c r="P119" s="4">
        <v>212499.49</v>
      </c>
      <c r="Q119" s="4"/>
      <c r="R119" s="12">
        <f>IF(P$12=0,0,P119/P$12)</f>
        <v>0.10066255160957722</v>
      </c>
      <c r="S119" s="4"/>
      <c r="T119" s="4">
        <v>203782.66</v>
      </c>
      <c r="U119" s="4"/>
      <c r="V119" s="12">
        <f>IF(T$12=0,0,T119/T$12)</f>
        <v>9.183978553486194E-2</v>
      </c>
      <c r="W119" s="4"/>
      <c r="X119" s="4">
        <f>+P119-T119</f>
        <v>8716.8299999999872</v>
      </c>
      <c r="Y119" s="4"/>
      <c r="Z119" s="12">
        <f>IF(T119=0,0,X119/T119)</f>
        <v>4.2775131112725621E-2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8" t="s">
        <v>4</v>
      </c>
      <c r="C121" s="28"/>
      <c r="D121" s="31">
        <f>+D117-D119</f>
        <v>68533.990000000005</v>
      </c>
      <c r="E121" s="14"/>
      <c r="F121" s="34">
        <f>IF(D$12=0,0,D121/D$12)</f>
        <v>7.8672400804246173E-2</v>
      </c>
      <c r="G121" s="14"/>
      <c r="H121" s="31">
        <f>+H117-H119</f>
        <v>37003.540000000037</v>
      </c>
      <c r="I121" s="14"/>
      <c r="J121" s="34">
        <f>IF(H$12=0,0,H121/H$12)</f>
        <v>4.0765653802448142E-2</v>
      </c>
      <c r="K121" s="16"/>
      <c r="L121" s="31">
        <f>D121-H121</f>
        <v>31530.449999999968</v>
      </c>
      <c r="M121" s="16"/>
      <c r="N121" s="34">
        <f>IF(H121=0,0,L121/H121)</f>
        <v>0.85209279976996621</v>
      </c>
      <c r="O121" s="29"/>
      <c r="P121" s="31">
        <f>+P117-P119</f>
        <v>-290210.48000000056</v>
      </c>
      <c r="Q121" s="14"/>
      <c r="R121" s="34">
        <f>IF(P$12=0,0,P121/P$12)</f>
        <v>-0.13747481191903207</v>
      </c>
      <c r="S121" s="14"/>
      <c r="T121" s="31">
        <f>+T117-T119</f>
        <v>-128364.36999999997</v>
      </c>
      <c r="U121" s="14"/>
      <c r="V121" s="34">
        <f>IF(T$12=0,0,T121/T$12)</f>
        <v>-5.7850634647313284E-2</v>
      </c>
      <c r="W121" s="16"/>
      <c r="X121" s="31">
        <f>P121-T121</f>
        <v>-161846.1100000006</v>
      </c>
      <c r="Y121" s="16"/>
      <c r="Z121" s="34">
        <f>IF(T121=0,0,X121/T121)</f>
        <v>1.2608335942442646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5</v>
      </c>
      <c r="C124" s="28"/>
      <c r="D124" s="36">
        <f>SUM(D121:D123)</f>
        <v>68533.990000000005</v>
      </c>
      <c r="E124" s="14"/>
      <c r="F124" s="33">
        <f>IF(D$12=0,0,D124/D$12)</f>
        <v>7.8672400804246173E-2</v>
      </c>
      <c r="G124" s="14"/>
      <c r="H124" s="36">
        <f>SUM(H121:H123)</f>
        <v>37003.540000000037</v>
      </c>
      <c r="I124" s="14"/>
      <c r="J124" s="33">
        <f>IF(H$12=0,0,H124/H$12)</f>
        <v>4.0765653802448142E-2</v>
      </c>
      <c r="K124" s="16"/>
      <c r="L124" s="36">
        <f>+D124-H124</f>
        <v>31530.449999999968</v>
      </c>
      <c r="M124" s="16"/>
      <c r="N124" s="33">
        <f>IF(H124=0,0,L124/H124)</f>
        <v>0.85209279976996621</v>
      </c>
      <c r="O124" s="29"/>
      <c r="P124" s="36">
        <f>SUM(P121:P123)</f>
        <v>-290210.48000000056</v>
      </c>
      <c r="Q124" s="14"/>
      <c r="R124" s="33">
        <f>IF(P$12=0,0,P124/P$12)</f>
        <v>-0.13747481191903207</v>
      </c>
      <c r="S124" s="14"/>
      <c r="T124" s="36">
        <f>SUM(T121:T123)</f>
        <v>-128364.36999999997</v>
      </c>
      <c r="U124" s="14"/>
      <c r="V124" s="33">
        <f>IF(T$12=0,0,T124/T$12)</f>
        <v>-5.7850634647313284E-2</v>
      </c>
      <c r="W124" s="16"/>
      <c r="X124" s="36">
        <f>+P124-T124</f>
        <v>-161846.1100000006</v>
      </c>
      <c r="Y124" s="16"/>
      <c r="Z124" s="33">
        <f>IF(T124=0,0,X124/T124)</f>
        <v>1.2608335942442646</v>
      </c>
    </row>
    <row r="125" spans="1:26" ht="15.75" thickTop="1" x14ac:dyDescent="0.25">
      <c r="A125" s="9"/>
      <c r="C125" s="9"/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61">
        <v>43791.354946562496</v>
      </c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A127" s="9"/>
      <c r="B127" s="56" t="s">
        <v>313</v>
      </c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A128" s="9"/>
      <c r="B128" s="57"/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4:24" x14ac:dyDescent="0.25"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","405", " - ", "Library Starbucks")</f>
        <v>Department 405 - Library Starbucks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154711.46000000002</v>
      </c>
      <c r="E12" s="4"/>
      <c r="F12" s="12"/>
      <c r="G12" s="4"/>
      <c r="H12" s="4">
        <f>SUM(OSRRefH13x_0)</f>
        <v>154086.12</v>
      </c>
      <c r="I12" s="4"/>
      <c r="J12" s="12"/>
      <c r="K12" s="4"/>
      <c r="L12" s="4">
        <f t="shared" ref="L12:L14" si="0">+D12-H12</f>
        <v>625.34000000002561</v>
      </c>
      <c r="M12" s="4"/>
      <c r="N12" s="12">
        <f t="shared" ref="N12:N14" si="1">IF(H12=0,0,L12/H12)</f>
        <v>4.0583798203240214E-3</v>
      </c>
      <c r="O12" s="10"/>
      <c r="P12" s="4">
        <f>SUM(OSRRefP13x_0)</f>
        <v>325833.23</v>
      </c>
      <c r="Q12" s="4"/>
      <c r="R12" s="12"/>
      <c r="S12" s="4"/>
      <c r="T12" s="4">
        <f>SUM(OSRRefT13x_0)</f>
        <v>288149.17</v>
      </c>
      <c r="U12" s="4"/>
      <c r="V12" s="12"/>
      <c r="W12" s="4"/>
      <c r="X12" s="4">
        <f t="shared" ref="X12:X14" si="2">+P12-T12</f>
        <v>37684.06</v>
      </c>
      <c r="Y12" s="4"/>
      <c r="Z12" s="12">
        <f t="shared" ref="Z12:Z14" si="3">IF(T12=0,0,X12/T12)</f>
        <v>0.13077969303191123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--31084.39</f>
        <v>31084.39</v>
      </c>
      <c r="E13" s="2"/>
      <c r="F13" s="19"/>
      <c r="G13" s="2"/>
      <c r="H13" s="2">
        <f>--28560.19</f>
        <v>28560.19</v>
      </c>
      <c r="I13" s="2"/>
      <c r="J13" s="19"/>
      <c r="K13" s="2"/>
      <c r="L13" s="2">
        <f t="shared" si="0"/>
        <v>2524.2000000000007</v>
      </c>
      <c r="M13" s="2"/>
      <c r="N13" s="19">
        <f t="shared" si="1"/>
        <v>8.8381764967249893E-2</v>
      </c>
      <c r="O13" s="11"/>
      <c r="P13" s="2">
        <f>--74412.79</f>
        <v>74412.789999999994</v>
      </c>
      <c r="Q13" s="2"/>
      <c r="R13" s="19"/>
      <c r="S13" s="2"/>
      <c r="T13" s="2">
        <f>--54288.48</f>
        <v>54288.480000000003</v>
      </c>
      <c r="U13" s="2"/>
      <c r="V13" s="19"/>
      <c r="W13" s="2"/>
      <c r="X13" s="2">
        <f t="shared" si="2"/>
        <v>20124.30999999999</v>
      </c>
      <c r="Y13" s="2"/>
      <c r="Z13" s="19">
        <f t="shared" si="3"/>
        <v>0.37069208789783742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--123627.07</f>
        <v>123627.07</v>
      </c>
      <c r="E14" s="2"/>
      <c r="F14" s="19"/>
      <c r="G14" s="2"/>
      <c r="H14" s="2">
        <f>--125525.93</f>
        <v>125525.93</v>
      </c>
      <c r="I14" s="2"/>
      <c r="J14" s="19"/>
      <c r="K14" s="2"/>
      <c r="L14" s="2">
        <f t="shared" si="0"/>
        <v>-1898.859999999986</v>
      </c>
      <c r="M14" s="2"/>
      <c r="N14" s="19">
        <f t="shared" si="1"/>
        <v>-1.5127233074473029E-2</v>
      </c>
      <c r="O14" s="11"/>
      <c r="P14" s="2">
        <f>--251420.44</f>
        <v>251420.44</v>
      </c>
      <c r="Q14" s="2"/>
      <c r="R14" s="19"/>
      <c r="S14" s="2"/>
      <c r="T14" s="2">
        <f>--233860.69</f>
        <v>233860.69</v>
      </c>
      <c r="U14" s="2"/>
      <c r="V14" s="19"/>
      <c r="W14" s="2"/>
      <c r="X14" s="2">
        <f t="shared" si="2"/>
        <v>17559.75</v>
      </c>
      <c r="Y14" s="2"/>
      <c r="Z14" s="19">
        <f t="shared" si="3"/>
        <v>7.508636872661241E-2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44043.07</v>
      </c>
      <c r="E16" s="4"/>
      <c r="F16" s="12">
        <f t="shared" ref="F16:F18" si="4">IF(D$12=0,0,D16/D$12)</f>
        <v>0.28467878203721941</v>
      </c>
      <c r="G16" s="4"/>
      <c r="H16" s="4">
        <f>SUM(OSRRefH16x_0)</f>
        <v>51310.54</v>
      </c>
      <c r="I16" s="4"/>
      <c r="J16" s="12">
        <f t="shared" ref="J16:J18" si="5">IF(H$12=0,0,H16/H$12)</f>
        <v>0.33299910465653881</v>
      </c>
      <c r="K16" s="4"/>
      <c r="L16" s="4">
        <f t="shared" ref="L16:L18" si="6">+D16-H16</f>
        <v>-7267.4700000000012</v>
      </c>
      <c r="M16" s="4"/>
      <c r="N16" s="12">
        <f t="shared" ref="N16:N18" si="7">IF(H16=0,0,L16/H16)</f>
        <v>-0.1416369814077186</v>
      </c>
      <c r="O16" s="10"/>
      <c r="P16" s="4">
        <f>SUM(OSRRefP16x_0)</f>
        <v>125040.73999999999</v>
      </c>
      <c r="Q16" s="4"/>
      <c r="R16" s="12">
        <f t="shared" ref="R16:R18" si="8">IF(P$12=0,0,P16/P$12)</f>
        <v>0.38375686850601454</v>
      </c>
      <c r="S16" s="4"/>
      <c r="T16" s="4">
        <f>SUM(OSRRefT16x_0)</f>
        <v>92580.87</v>
      </c>
      <c r="U16" s="4"/>
      <c r="V16" s="12">
        <f t="shared" ref="V16:V18" si="9">IF(T$12=0,0,T16/T$12)</f>
        <v>0.32129493900676515</v>
      </c>
      <c r="W16" s="4"/>
      <c r="X16" s="4">
        <f t="shared" ref="X16:X18" si="10">+P16-T16</f>
        <v>32459.869999999995</v>
      </c>
      <c r="Y16" s="4"/>
      <c r="Z16" s="12">
        <f t="shared" ref="Z16:Z18" si="11">IF(T16=0,0,X16/T16)</f>
        <v>0.35061098475311364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49158.07</v>
      </c>
      <c r="E17" s="2"/>
      <c r="F17" s="19">
        <f t="shared" si="4"/>
        <v>0.31774032770423077</v>
      </c>
      <c r="G17" s="2"/>
      <c r="H17" s="2">
        <v>51338.54</v>
      </c>
      <c r="I17" s="2"/>
      <c r="J17" s="19">
        <f t="shared" si="5"/>
        <v>0.33318082121867953</v>
      </c>
      <c r="K17" s="2"/>
      <c r="L17" s="2">
        <f t="shared" si="6"/>
        <v>-2180.4700000000012</v>
      </c>
      <c r="M17" s="2"/>
      <c r="N17" s="19">
        <f t="shared" si="7"/>
        <v>-4.2472380398819308E-2</v>
      </c>
      <c r="O17" s="11"/>
      <c r="P17" s="2">
        <v>133839.74</v>
      </c>
      <c r="Q17" s="2"/>
      <c r="R17" s="19">
        <f t="shared" si="8"/>
        <v>0.41076148065069973</v>
      </c>
      <c r="S17" s="2"/>
      <c r="T17" s="2">
        <v>117567.87</v>
      </c>
      <c r="U17" s="2"/>
      <c r="V17" s="19">
        <f t="shared" si="9"/>
        <v>0.40801044125860225</v>
      </c>
      <c r="W17" s="2"/>
      <c r="X17" s="2">
        <f t="shared" si="10"/>
        <v>16271.869999999995</v>
      </c>
      <c r="Y17" s="2"/>
      <c r="Z17" s="19">
        <f t="shared" si="11"/>
        <v>0.13840405546175155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-5115</v>
      </c>
      <c r="E18" s="2"/>
      <c r="F18" s="19">
        <f t="shared" si="4"/>
        <v>-3.3061545667011347E-2</v>
      </c>
      <c r="G18" s="2"/>
      <c r="H18" s="2">
        <v>-28</v>
      </c>
      <c r="I18" s="2"/>
      <c r="J18" s="19">
        <f t="shared" si="5"/>
        <v>-1.8171656214070419E-4</v>
      </c>
      <c r="K18" s="2"/>
      <c r="L18" s="2">
        <f t="shared" si="6"/>
        <v>-5087</v>
      </c>
      <c r="M18" s="2"/>
      <c r="N18" s="19">
        <f t="shared" si="7"/>
        <v>181.67857142857142</v>
      </c>
      <c r="O18" s="11"/>
      <c r="P18" s="2">
        <v>-8799</v>
      </c>
      <c r="Q18" s="2"/>
      <c r="R18" s="19">
        <f t="shared" si="8"/>
        <v>-2.7004612144685181E-2</v>
      </c>
      <c r="S18" s="2"/>
      <c r="T18" s="2">
        <v>-24987</v>
      </c>
      <c r="U18" s="2"/>
      <c r="V18" s="19">
        <f t="shared" si="9"/>
        <v>-8.6715502251837134E-2</v>
      </c>
      <c r="W18" s="2"/>
      <c r="X18" s="2">
        <f t="shared" si="10"/>
        <v>16188</v>
      </c>
      <c r="Y18" s="2"/>
      <c r="Z18" s="19">
        <f t="shared" si="11"/>
        <v>-0.64785688558050181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110668.39000000001</v>
      </c>
      <c r="E20" s="14"/>
      <c r="F20" s="22">
        <f>IF(D$12=0,0,D20/D$12)</f>
        <v>0.71532121796278048</v>
      </c>
      <c r="G20" s="14"/>
      <c r="H20" s="21">
        <f>H12-H16</f>
        <v>102775.57999999999</v>
      </c>
      <c r="I20" s="14"/>
      <c r="J20" s="22">
        <f>IF(H$12=0,0,H20/H$12)</f>
        <v>0.66700089534346108</v>
      </c>
      <c r="K20" s="16"/>
      <c r="L20" s="21">
        <f>+D20-H20</f>
        <v>7892.8100000000268</v>
      </c>
      <c r="M20" s="16"/>
      <c r="N20" s="22">
        <f>IF(H20=0,0,L20/H20)</f>
        <v>7.6796550308935521E-2</v>
      </c>
      <c r="O20" s="29"/>
      <c r="P20" s="21">
        <f>P12-P16</f>
        <v>200792.49</v>
      </c>
      <c r="Q20" s="14"/>
      <c r="R20" s="22">
        <f>IF(P$12=0,0,P20/P$12)</f>
        <v>0.61624313149398546</v>
      </c>
      <c r="S20" s="14"/>
      <c r="T20" s="21">
        <f>T12-T16</f>
        <v>195568.3</v>
      </c>
      <c r="U20" s="14"/>
      <c r="V20" s="22">
        <f>IF(T$12=0,0,T20/T$12)</f>
        <v>0.67870506099323491</v>
      </c>
      <c r="W20" s="16"/>
      <c r="X20" s="21">
        <f>+P20-T20</f>
        <v>5224.1900000000023</v>
      </c>
      <c r="Y20" s="16"/>
      <c r="Z20" s="22">
        <f>IF(T20=0,0,X20/T20)</f>
        <v>2.6712867064856639E-2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77056.529999999941</v>
      </c>
      <c r="E22" s="20"/>
      <c r="F22" s="35">
        <f t="shared" ref="F22:F31" si="12">IF(D$12=0,0,D22/D$12)</f>
        <v>0.49806607732872493</v>
      </c>
      <c r="G22" s="20"/>
      <c r="H22" s="20">
        <f>SUM(OSRRefH22x_0)</f>
        <v>70177.190000000031</v>
      </c>
      <c r="I22" s="20"/>
      <c r="J22" s="35">
        <f t="shared" ref="J22:J31" si="13">IF(H$12=0,0,H22/H$12)</f>
        <v>0.45544134669625036</v>
      </c>
      <c r="K22" s="4"/>
      <c r="L22" s="20">
        <f t="shared" ref="L22:L31" si="14">+D22-H22</f>
        <v>6879.3399999999092</v>
      </c>
      <c r="M22" s="4"/>
      <c r="N22" s="35">
        <f t="shared" ref="N22:N31" si="15">IF(H22=0,0,L22/H22)</f>
        <v>9.8028148462483408E-2</v>
      </c>
      <c r="O22" s="10"/>
      <c r="P22" s="20">
        <f>SUM(OSRRefP22x_0)</f>
        <v>226244.30999999994</v>
      </c>
      <c r="Q22" s="20"/>
      <c r="R22" s="35">
        <f t="shared" ref="R22:R31" si="16">IF(P$12=0,0,P22/P$12)</f>
        <v>0.69435615882394797</v>
      </c>
      <c r="S22" s="20"/>
      <c r="T22" s="20">
        <f>SUM(OSRRefT22x_0)</f>
        <v>174861.75</v>
      </c>
      <c r="U22" s="20"/>
      <c r="V22" s="35">
        <f t="shared" ref="V22:V31" si="17">IF(T$12=0,0,T22/T$12)</f>
        <v>0.60684453819526885</v>
      </c>
      <c r="W22" s="4"/>
      <c r="X22" s="20">
        <f t="shared" ref="X22:X31" si="18">+P22-T22</f>
        <v>51382.559999999939</v>
      </c>
      <c r="Y22" s="4"/>
      <c r="Z22" s="35">
        <f t="shared" ref="Z22:Z31" si="19">IF(T22=0,0,X22/T22)</f>
        <v>0.29384676751776728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5253.35</v>
      </c>
      <c r="E23" s="1"/>
      <c r="F23" s="5">
        <f t="shared" si="12"/>
        <v>3.3955790993117123E-2</v>
      </c>
      <c r="G23" s="1"/>
      <c r="H23" s="1">
        <f>SUM(OSRRefH22_0x_0)</f>
        <v>-973.75</v>
      </c>
      <c r="I23" s="1"/>
      <c r="J23" s="5">
        <f t="shared" si="13"/>
        <v>-6.3195179423039529E-3</v>
      </c>
      <c r="K23" s="1"/>
      <c r="L23" s="1">
        <f t="shared" si="14"/>
        <v>6227.1</v>
      </c>
      <c r="M23" s="1"/>
      <c r="N23" s="5">
        <f t="shared" si="15"/>
        <v>-6.3949679075738128</v>
      </c>
      <c r="O23" s="13"/>
      <c r="P23" s="1">
        <f>SUM(OSRRefP22_0x_0)</f>
        <v>20525.8</v>
      </c>
      <c r="Q23" s="1"/>
      <c r="R23" s="5">
        <f t="shared" si="16"/>
        <v>6.2994802586587018E-2</v>
      </c>
      <c r="S23" s="1"/>
      <c r="T23" s="1">
        <f>SUM(OSRRefT22_0x_0)</f>
        <v>9592.5499999999993</v>
      </c>
      <c r="U23" s="1"/>
      <c r="V23" s="5">
        <f t="shared" si="17"/>
        <v>3.3290222560766011E-2</v>
      </c>
      <c r="W23" s="1"/>
      <c r="X23" s="1">
        <f t="shared" si="18"/>
        <v>10933.25</v>
      </c>
      <c r="Y23" s="1"/>
      <c r="Z23" s="5">
        <f t="shared" si="19"/>
        <v>1.1397647132410049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1774.44</v>
      </c>
      <c r="E24" s="2"/>
      <c r="F24" s="7">
        <f t="shared" si="12"/>
        <v>1.14693507513923E-2</v>
      </c>
      <c r="G24" s="2"/>
      <c r="H24" s="6">
        <v>1103.75</v>
      </c>
      <c r="I24" s="2"/>
      <c r="J24" s="7">
        <f t="shared" si="13"/>
        <v>7.1632019808143656E-3</v>
      </c>
      <c r="K24" s="2"/>
      <c r="L24" s="6">
        <f t="shared" si="14"/>
        <v>670.69</v>
      </c>
      <c r="M24" s="2"/>
      <c r="N24" s="7">
        <f t="shared" si="15"/>
        <v>0.60764665911664784</v>
      </c>
      <c r="O24" s="11"/>
      <c r="P24" s="6">
        <v>4912.9399999999996</v>
      </c>
      <c r="Q24" s="2"/>
      <c r="R24" s="7">
        <f t="shared" si="16"/>
        <v>1.507808150813838E-2</v>
      </c>
      <c r="S24" s="2"/>
      <c r="T24" s="6">
        <v>3130.7</v>
      </c>
      <c r="U24" s="2"/>
      <c r="V24" s="7">
        <f t="shared" si="17"/>
        <v>1.0864858642487154E-2</v>
      </c>
      <c r="W24" s="2"/>
      <c r="X24" s="6">
        <f t="shared" si="18"/>
        <v>1782.2399999999998</v>
      </c>
      <c r="Y24" s="2"/>
      <c r="Z24" s="7">
        <f t="shared" si="19"/>
        <v>0.56927843613249429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35.4</v>
      </c>
      <c r="E25" s="2"/>
      <c r="F25" s="7">
        <f t="shared" si="12"/>
        <v>2.2881304332594363E-4</v>
      </c>
      <c r="G25" s="2"/>
      <c r="H25" s="6">
        <v>2183.5</v>
      </c>
      <c r="I25" s="2"/>
      <c r="J25" s="7">
        <f t="shared" si="13"/>
        <v>1.417064690836527E-2</v>
      </c>
      <c r="K25" s="2"/>
      <c r="L25" s="6">
        <f t="shared" si="14"/>
        <v>-2148.1</v>
      </c>
      <c r="M25" s="2"/>
      <c r="N25" s="7">
        <f t="shared" si="15"/>
        <v>-0.98378749713762303</v>
      </c>
      <c r="O25" s="11"/>
      <c r="P25" s="6">
        <v>2381.19</v>
      </c>
      <c r="Q25" s="2"/>
      <c r="R25" s="7">
        <f t="shared" si="16"/>
        <v>7.3080023176273342E-3</v>
      </c>
      <c r="S25" s="2"/>
      <c r="T25" s="6">
        <v>3130.14</v>
      </c>
      <c r="U25" s="2"/>
      <c r="V25" s="7">
        <f t="shared" si="17"/>
        <v>1.0862915204649036E-2</v>
      </c>
      <c r="W25" s="2"/>
      <c r="X25" s="6">
        <f t="shared" si="18"/>
        <v>-748.94999999999982</v>
      </c>
      <c r="Y25" s="2"/>
      <c r="Z25" s="7">
        <f t="shared" si="19"/>
        <v>-0.23927044796718352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1376.23</v>
      </c>
      <c r="E26" s="2"/>
      <c r="F26" s="7">
        <f t="shared" si="12"/>
        <v>8.8954625597871019E-3</v>
      </c>
      <c r="G26" s="2"/>
      <c r="H26" s="6">
        <v>656.37</v>
      </c>
      <c r="I26" s="2"/>
      <c r="J26" s="7">
        <f t="shared" si="13"/>
        <v>4.2597607104390717E-3</v>
      </c>
      <c r="K26" s="2"/>
      <c r="L26" s="6">
        <f t="shared" si="14"/>
        <v>719.86</v>
      </c>
      <c r="M26" s="2"/>
      <c r="N26" s="7">
        <f t="shared" si="15"/>
        <v>1.0967289790819204</v>
      </c>
      <c r="O26" s="11"/>
      <c r="P26" s="6">
        <v>5504.92</v>
      </c>
      <c r="Q26" s="2"/>
      <c r="R26" s="7">
        <f t="shared" si="16"/>
        <v>1.6894900498638524E-2</v>
      </c>
      <c r="S26" s="2"/>
      <c r="T26" s="6">
        <v>3309.01</v>
      </c>
      <c r="U26" s="2"/>
      <c r="V26" s="7">
        <f t="shared" si="17"/>
        <v>1.1483670072691864E-2</v>
      </c>
      <c r="W26" s="2"/>
      <c r="X26" s="6">
        <f t="shared" si="18"/>
        <v>2195.91</v>
      </c>
      <c r="Y26" s="2"/>
      <c r="Z26" s="7">
        <f t="shared" si="19"/>
        <v>0.66361540158536836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104.55</v>
      </c>
      <c r="E27" s="2"/>
      <c r="F27" s="7">
        <f t="shared" si="12"/>
        <v>6.7577411524653689E-4</v>
      </c>
      <c r="G27" s="2"/>
      <c r="H27" s="6">
        <v>89.71</v>
      </c>
      <c r="I27" s="2"/>
      <c r="J27" s="7">
        <f t="shared" si="13"/>
        <v>5.822068853443775E-4</v>
      </c>
      <c r="K27" s="2"/>
      <c r="L27" s="6">
        <f t="shared" si="14"/>
        <v>14.840000000000003</v>
      </c>
      <c r="M27" s="2"/>
      <c r="N27" s="7">
        <f t="shared" si="15"/>
        <v>0.16542191505963666</v>
      </c>
      <c r="O27" s="11"/>
      <c r="P27" s="6">
        <v>263.68</v>
      </c>
      <c r="Q27" s="2"/>
      <c r="R27" s="7">
        <f t="shared" si="16"/>
        <v>8.092483384828491E-4</v>
      </c>
      <c r="S27" s="2"/>
      <c r="T27" s="6">
        <v>232.52</v>
      </c>
      <c r="U27" s="2"/>
      <c r="V27" s="7">
        <f t="shared" si="17"/>
        <v>8.0694315378385443E-4</v>
      </c>
      <c r="W27" s="2"/>
      <c r="X27" s="6">
        <f t="shared" si="18"/>
        <v>31.159999999999997</v>
      </c>
      <c r="Y27" s="2"/>
      <c r="Z27" s="7">
        <f t="shared" si="19"/>
        <v>0.13400997763633235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696.67</v>
      </c>
      <c r="E28" s="2"/>
      <c r="F28" s="7">
        <f t="shared" si="12"/>
        <v>4.5030277653639872E-3</v>
      </c>
      <c r="G28" s="2"/>
      <c r="H28" s="6">
        <v>512.53</v>
      </c>
      <c r="I28" s="2"/>
      <c r="J28" s="7">
        <f t="shared" si="13"/>
        <v>3.3262567712133966E-3</v>
      </c>
      <c r="K28" s="2"/>
      <c r="L28" s="6">
        <f t="shared" si="14"/>
        <v>184.14</v>
      </c>
      <c r="M28" s="2"/>
      <c r="N28" s="7">
        <f t="shared" si="15"/>
        <v>0.35927653015433242</v>
      </c>
      <c r="O28" s="11"/>
      <c r="P28" s="6">
        <v>2786.68</v>
      </c>
      <c r="Q28" s="2"/>
      <c r="R28" s="7">
        <f t="shared" si="16"/>
        <v>8.5524733005286173E-3</v>
      </c>
      <c r="S28" s="2"/>
      <c r="T28" s="6">
        <v>2143.59</v>
      </c>
      <c r="U28" s="2"/>
      <c r="V28" s="7">
        <f t="shared" si="17"/>
        <v>7.4391677060877889E-3</v>
      </c>
      <c r="W28" s="2"/>
      <c r="X28" s="6">
        <f t="shared" si="18"/>
        <v>643.08999999999969</v>
      </c>
      <c r="Y28" s="2"/>
      <c r="Z28" s="7">
        <f t="shared" si="19"/>
        <v>0.30000606459257584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576</v>
      </c>
      <c r="E29" s="2"/>
      <c r="F29" s="7">
        <f t="shared" si="12"/>
        <v>3.7230596880153538E-3</v>
      </c>
      <c r="G29" s="2"/>
      <c r="H29" s="6">
        <v>507</v>
      </c>
      <c r="I29" s="2"/>
      <c r="J29" s="7">
        <f t="shared" si="13"/>
        <v>3.2903677501906078E-3</v>
      </c>
      <c r="K29" s="2"/>
      <c r="L29" s="6">
        <f t="shared" si="14"/>
        <v>69</v>
      </c>
      <c r="M29" s="2"/>
      <c r="N29" s="7">
        <f t="shared" si="15"/>
        <v>0.13609467455621302</v>
      </c>
      <c r="O29" s="11"/>
      <c r="P29" s="6">
        <v>1728</v>
      </c>
      <c r="Q29" s="2"/>
      <c r="R29" s="7">
        <f t="shared" si="16"/>
        <v>5.3033264900575064E-3</v>
      </c>
      <c r="S29" s="2"/>
      <c r="T29" s="6">
        <v>1542.82</v>
      </c>
      <c r="U29" s="2"/>
      <c r="V29" s="7">
        <f t="shared" si="17"/>
        <v>5.3542406525064782E-3</v>
      </c>
      <c r="W29" s="2"/>
      <c r="X29" s="6">
        <f t="shared" si="18"/>
        <v>185.18000000000006</v>
      </c>
      <c r="Y29" s="2"/>
      <c r="Z29" s="7">
        <f t="shared" si="19"/>
        <v>0.12002696361208701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690.06</v>
      </c>
      <c r="E30" s="2"/>
      <c r="F30" s="7">
        <f t="shared" si="12"/>
        <v>4.4603030699858943E-3</v>
      </c>
      <c r="G30" s="2"/>
      <c r="H30" s="6">
        <v>-6291.15</v>
      </c>
      <c r="I30" s="2"/>
      <c r="J30" s="7">
        <f t="shared" si="13"/>
        <v>-4.0828791068267534E-2</v>
      </c>
      <c r="K30" s="2"/>
      <c r="L30" s="6">
        <f t="shared" si="14"/>
        <v>6981.2099999999991</v>
      </c>
      <c r="M30" s="2"/>
      <c r="N30" s="7">
        <f t="shared" si="15"/>
        <v>-1.109687418039627</v>
      </c>
      <c r="O30" s="11"/>
      <c r="P30" s="6">
        <v>2070.1799999999998</v>
      </c>
      <c r="Q30" s="2"/>
      <c r="R30" s="7">
        <f t="shared" si="16"/>
        <v>6.3534956210574344E-3</v>
      </c>
      <c r="S30" s="2"/>
      <c r="T30" s="6">
        <v>-5044.55</v>
      </c>
      <c r="U30" s="2"/>
      <c r="V30" s="7">
        <f t="shared" si="17"/>
        <v>-1.7506730975487456E-2</v>
      </c>
      <c r="W30" s="2"/>
      <c r="X30" s="6">
        <f t="shared" si="18"/>
        <v>7114.73</v>
      </c>
      <c r="Y30" s="2"/>
      <c r="Z30" s="7">
        <f t="shared" si="19"/>
        <v>-1.4103795184902517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2"/>
        <v>0</v>
      </c>
      <c r="G31" s="2"/>
      <c r="H31" s="6">
        <v>264.54000000000002</v>
      </c>
      <c r="I31" s="2"/>
      <c r="J31" s="7">
        <f t="shared" si="13"/>
        <v>1.7168321195964961E-3</v>
      </c>
      <c r="K31" s="2"/>
      <c r="L31" s="6">
        <f t="shared" si="14"/>
        <v>-264.54000000000002</v>
      </c>
      <c r="M31" s="2"/>
      <c r="N31" s="7">
        <f t="shared" si="15"/>
        <v>-1</v>
      </c>
      <c r="O31" s="11"/>
      <c r="P31" s="6">
        <v>878.21</v>
      </c>
      <c r="Q31" s="2"/>
      <c r="R31" s="7">
        <f t="shared" si="16"/>
        <v>2.6952745120563675E-3</v>
      </c>
      <c r="S31" s="2"/>
      <c r="T31" s="6">
        <v>1148.32</v>
      </c>
      <c r="U31" s="2"/>
      <c r="V31" s="7">
        <f t="shared" si="17"/>
        <v>3.9851581040472889E-3</v>
      </c>
      <c r="W31" s="2"/>
      <c r="X31" s="6">
        <f t="shared" si="18"/>
        <v>-270.1099999999999</v>
      </c>
      <c r="Y31" s="2"/>
      <c r="Z31" s="7">
        <f t="shared" si="19"/>
        <v>-0.23522188936881697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40324.04</v>
      </c>
      <c r="E32" s="1"/>
      <c r="F32" s="5">
        <f t="shared" ref="F32:F36" si="20">IF(D$12=0,0,D32/D$12)</f>
        <v>0.26064029128805322</v>
      </c>
      <c r="G32" s="1"/>
      <c r="H32" s="1">
        <f>SUM(OSRRefH22_1x_0)</f>
        <v>42052.020000000004</v>
      </c>
      <c r="I32" s="1"/>
      <c r="J32" s="5">
        <f t="shared" ref="J32:J36" si="21">IF(H$12=0,0,H32/H$12)</f>
        <v>0.27291244662400482</v>
      </c>
      <c r="K32" s="1"/>
      <c r="L32" s="1">
        <f t="shared" ref="L32:L36" si="22">+D32-H32</f>
        <v>-1727.9800000000032</v>
      </c>
      <c r="M32" s="1"/>
      <c r="N32" s="5">
        <f t="shared" ref="N32:N36" si="23">IF(H32=0,0,L32/H32)</f>
        <v>-4.1091486211601795E-2</v>
      </c>
      <c r="O32" s="13"/>
      <c r="P32" s="1">
        <f>SUM(OSRRefP22_1x_0)</f>
        <v>107058.69</v>
      </c>
      <c r="Q32" s="1"/>
      <c r="R32" s="5">
        <f t="shared" ref="R32:R36" si="24">IF(P$12=0,0,P32/P$12)</f>
        <v>0.3285689737661196</v>
      </c>
      <c r="S32" s="1"/>
      <c r="T32" s="1">
        <f>SUM(OSRRefT22_1x_0)</f>
        <v>96065.52</v>
      </c>
      <c r="U32" s="1"/>
      <c r="V32" s="5">
        <f t="shared" ref="V32:V36" si="25">IF(T$12=0,0,T32/T$12)</f>
        <v>0.3333881544756836</v>
      </c>
      <c r="W32" s="1"/>
      <c r="X32" s="1">
        <f t="shared" ref="X32:X36" si="26">+P32-T32</f>
        <v>10993.169999999998</v>
      </c>
      <c r="Y32" s="1"/>
      <c r="Z32" s="5">
        <f t="shared" ref="Z32:Z36" si="27">IF(T32=0,0,X32/T32)</f>
        <v>0.1144340862361438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12176.57</v>
      </c>
      <c r="E33" s="2"/>
      <c r="F33" s="7">
        <f t="shared" si="20"/>
        <v>7.8705029349474168E-2</v>
      </c>
      <c r="G33" s="2"/>
      <c r="H33" s="6">
        <v>11000.29</v>
      </c>
      <c r="I33" s="2"/>
      <c r="J33" s="7">
        <f t="shared" si="21"/>
        <v>7.139053147681311E-2</v>
      </c>
      <c r="K33" s="2"/>
      <c r="L33" s="6">
        <f t="shared" si="22"/>
        <v>1176.2799999999988</v>
      </c>
      <c r="M33" s="2"/>
      <c r="N33" s="7">
        <f t="shared" si="23"/>
        <v>0.10693172634539623</v>
      </c>
      <c r="O33" s="11"/>
      <c r="P33" s="6">
        <v>44176.09</v>
      </c>
      <c r="Q33" s="2"/>
      <c r="R33" s="7">
        <f t="shared" si="24"/>
        <v>0.13557883583574334</v>
      </c>
      <c r="S33" s="2"/>
      <c r="T33" s="6">
        <v>29326.74</v>
      </c>
      <c r="U33" s="2"/>
      <c r="V33" s="7">
        <f t="shared" si="25"/>
        <v>0.10177624318681884</v>
      </c>
      <c r="W33" s="2"/>
      <c r="X33" s="6">
        <f t="shared" si="26"/>
        <v>14849.349999999995</v>
      </c>
      <c r="Y33" s="2"/>
      <c r="Z33" s="7">
        <f t="shared" si="27"/>
        <v>0.50634165270330056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0"/>
        <v>0</v>
      </c>
      <c r="G34" s="2"/>
      <c r="H34" s="6"/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>
        <v>45.5</v>
      </c>
      <c r="Q34" s="2"/>
      <c r="R34" s="7">
        <f t="shared" si="24"/>
        <v>1.3964198801945401E-4</v>
      </c>
      <c r="S34" s="2"/>
      <c r="T34" s="6"/>
      <c r="U34" s="2"/>
      <c r="V34" s="7">
        <f t="shared" si="25"/>
        <v>0</v>
      </c>
      <c r="W34" s="2"/>
      <c r="X34" s="6">
        <f t="shared" si="26"/>
        <v>45.5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>
        <v>26557.47</v>
      </c>
      <c r="E35" s="2"/>
      <c r="F35" s="7">
        <f t="shared" si="20"/>
        <v>0.17165806592478669</v>
      </c>
      <c r="G35" s="2"/>
      <c r="H35" s="6">
        <v>28551.98</v>
      </c>
      <c r="I35" s="2"/>
      <c r="J35" s="7">
        <f t="shared" si="21"/>
        <v>0.18529884456821938</v>
      </c>
      <c r="K35" s="2"/>
      <c r="L35" s="6">
        <f t="shared" si="22"/>
        <v>-1994.5099999999984</v>
      </c>
      <c r="M35" s="2"/>
      <c r="N35" s="7">
        <f t="shared" si="23"/>
        <v>-6.9855400571168735E-2</v>
      </c>
      <c r="O35" s="11"/>
      <c r="P35" s="6">
        <v>61121.100000000006</v>
      </c>
      <c r="Q35" s="2"/>
      <c r="R35" s="7">
        <f t="shared" si="24"/>
        <v>0.18758399810848025</v>
      </c>
      <c r="S35" s="2"/>
      <c r="T35" s="6">
        <v>62794.22</v>
      </c>
      <c r="U35" s="2"/>
      <c r="V35" s="7">
        <f t="shared" si="25"/>
        <v>0.21792261279114566</v>
      </c>
      <c r="W35" s="2"/>
      <c r="X35" s="6">
        <f t="shared" si="26"/>
        <v>-1673.1199999999953</v>
      </c>
      <c r="Y35" s="2"/>
      <c r="Z35" s="7">
        <f t="shared" si="27"/>
        <v>-2.6644490527949791E-2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>
        <v>1590</v>
      </c>
      <c r="E36" s="2"/>
      <c r="F36" s="7">
        <f t="shared" si="20"/>
        <v>1.0277196013792383E-2</v>
      </c>
      <c r="G36" s="2"/>
      <c r="H36" s="6">
        <v>2499.75</v>
      </c>
      <c r="I36" s="2"/>
      <c r="J36" s="7">
        <f t="shared" si="21"/>
        <v>1.6223070578972331E-2</v>
      </c>
      <c r="K36" s="2"/>
      <c r="L36" s="6">
        <f t="shared" si="22"/>
        <v>-909.75</v>
      </c>
      <c r="M36" s="2"/>
      <c r="N36" s="7">
        <f t="shared" si="23"/>
        <v>-0.36393639363936392</v>
      </c>
      <c r="O36" s="11"/>
      <c r="P36" s="6">
        <v>1716</v>
      </c>
      <c r="Q36" s="2"/>
      <c r="R36" s="7">
        <f t="shared" si="24"/>
        <v>5.2664978338765513E-3</v>
      </c>
      <c r="S36" s="2"/>
      <c r="T36" s="6">
        <v>3944.56</v>
      </c>
      <c r="U36" s="2"/>
      <c r="V36" s="7">
        <f t="shared" si="25"/>
        <v>1.3689298497719082E-2</v>
      </c>
      <c r="W36" s="2"/>
      <c r="X36" s="6">
        <f t="shared" si="26"/>
        <v>-2228.56</v>
      </c>
      <c r="Y36" s="2"/>
      <c r="Z36" s="7">
        <f t="shared" si="27"/>
        <v>-0.56497049100533392</v>
      </c>
    </row>
    <row r="37" spans="1:26" s="27" customFormat="1" outlineLevel="1" collapsed="1" x14ac:dyDescent="0.25">
      <c r="A37" s="25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36.68</v>
      </c>
      <c r="E37" s="1"/>
      <c r="F37" s="5">
        <f t="shared" ref="F37:F45" si="28">IF(D$12=0,0,D37/D$12)</f>
        <v>2.3708650929931107E-4</v>
      </c>
      <c r="G37" s="1"/>
      <c r="H37" s="1">
        <f>SUM(OSRRefH22_2x_0)</f>
        <v>428.48</v>
      </c>
      <c r="I37" s="1"/>
      <c r="J37" s="5">
        <f t="shared" ref="J37:J45" si="29">IF(H$12=0,0,H37/H$12)</f>
        <v>2.7807825909303189E-3</v>
      </c>
      <c r="K37" s="1"/>
      <c r="L37" s="1">
        <f t="shared" ref="L37:L45" si="30">+D37-H37</f>
        <v>-391.8</v>
      </c>
      <c r="M37" s="1"/>
      <c r="N37" s="5">
        <f t="shared" ref="N37:N45" si="31">IF(H37=0,0,L37/H37)</f>
        <v>-0.91439507094846895</v>
      </c>
      <c r="O37" s="13"/>
      <c r="P37" s="1">
        <f>SUM(OSRRefP22_2x_0)</f>
        <v>464.94</v>
      </c>
      <c r="Q37" s="1"/>
      <c r="R37" s="5">
        <f t="shared" ref="R37:R45" si="32">IF(P$12=0,0,P37/P$12)</f>
        <v>1.4269262837310977E-3</v>
      </c>
      <c r="S37" s="1"/>
      <c r="T37" s="1">
        <f>SUM(OSRRefT22_2x_0)</f>
        <v>680.48</v>
      </c>
      <c r="U37" s="1"/>
      <c r="V37" s="5">
        <f t="shared" ref="V37:V45" si="33">IF(T$12=0,0,T37/T$12)</f>
        <v>2.3615546072889957E-3</v>
      </c>
      <c r="W37" s="1"/>
      <c r="X37" s="1">
        <f t="shared" ref="X37:X45" si="34">+P37-T37</f>
        <v>-215.54000000000002</v>
      </c>
      <c r="Y37" s="1"/>
      <c r="Z37" s="5">
        <f t="shared" ref="Z37:Z45" si="35">IF(T37=0,0,X37/T37)</f>
        <v>-0.31674700211615331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6">
        <v>36.68</v>
      </c>
      <c r="E38" s="2"/>
      <c r="F38" s="7">
        <f t="shared" si="28"/>
        <v>2.3708650929931107E-4</v>
      </c>
      <c r="G38" s="2"/>
      <c r="H38" s="6">
        <v>428.48</v>
      </c>
      <c r="I38" s="2"/>
      <c r="J38" s="7">
        <f t="shared" si="29"/>
        <v>2.7807825909303189E-3</v>
      </c>
      <c r="K38" s="2"/>
      <c r="L38" s="6">
        <f t="shared" si="30"/>
        <v>-391.8</v>
      </c>
      <c r="M38" s="2"/>
      <c r="N38" s="7">
        <f t="shared" si="31"/>
        <v>-0.91439507094846895</v>
      </c>
      <c r="O38" s="11"/>
      <c r="P38" s="6">
        <v>464.94</v>
      </c>
      <c r="Q38" s="2"/>
      <c r="R38" s="7">
        <f t="shared" si="32"/>
        <v>1.4269262837310977E-3</v>
      </c>
      <c r="S38" s="2"/>
      <c r="T38" s="6">
        <v>680.48</v>
      </c>
      <c r="U38" s="2"/>
      <c r="V38" s="7">
        <f t="shared" si="33"/>
        <v>2.3615546072889957E-3</v>
      </c>
      <c r="W38" s="2"/>
      <c r="X38" s="6">
        <f t="shared" si="34"/>
        <v>-215.54000000000002</v>
      </c>
      <c r="Y38" s="2"/>
      <c r="Z38" s="7">
        <f t="shared" si="35"/>
        <v>-0.31674700211615331</v>
      </c>
    </row>
    <row r="39" spans="1:26" s="27" customFormat="1" outlineLevel="1" collapsed="1" x14ac:dyDescent="0.25">
      <c r="A39" s="25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1.7</v>
      </c>
      <c r="E39" s="1"/>
      <c r="F39" s="5">
        <f t="shared" si="28"/>
        <v>1.0988196995878649E-5</v>
      </c>
      <c r="G39" s="1"/>
      <c r="H39" s="1">
        <f>SUM(OSRRefH22_3x_0)</f>
        <v>29.69</v>
      </c>
      <c r="I39" s="1"/>
      <c r="J39" s="5">
        <f t="shared" si="29"/>
        <v>1.9268445464133954E-4</v>
      </c>
      <c r="K39" s="1"/>
      <c r="L39" s="1">
        <f t="shared" si="30"/>
        <v>-27.990000000000002</v>
      </c>
      <c r="M39" s="1"/>
      <c r="N39" s="5">
        <f t="shared" si="31"/>
        <v>-0.94274166385988556</v>
      </c>
      <c r="O39" s="13"/>
      <c r="P39" s="1">
        <f>SUM(OSRRefP22_3x_0)</f>
        <v>-5.94</v>
      </c>
      <c r="Q39" s="1"/>
      <c r="R39" s="5">
        <f t="shared" si="32"/>
        <v>-1.8230184809572678E-5</v>
      </c>
      <c r="S39" s="1"/>
      <c r="T39" s="1">
        <f>SUM(OSRRefT22_3x_0)</f>
        <v>71.319999999999993</v>
      </c>
      <c r="U39" s="1"/>
      <c r="V39" s="5">
        <f t="shared" si="33"/>
        <v>2.4751069038304012E-4</v>
      </c>
      <c r="W39" s="1"/>
      <c r="X39" s="1">
        <f t="shared" si="34"/>
        <v>-77.259999999999991</v>
      </c>
      <c r="Y39" s="1"/>
      <c r="Z39" s="5">
        <f t="shared" si="35"/>
        <v>-1.0832865956253506</v>
      </c>
    </row>
    <row r="40" spans="1:26" s="24" customFormat="1" hidden="1" outlineLevel="2" x14ac:dyDescent="0.25">
      <c r="A40" s="26"/>
      <c r="B40" s="11" t="str">
        <f>CONCATENATE("          ", "6272", " - ", "CASH (OVER/SHORT)")</f>
        <v xml:space="preserve">          6272 - CASH (OVER/SHORT)</v>
      </c>
      <c r="C40" s="11"/>
      <c r="D40" s="6">
        <v>1.7</v>
      </c>
      <c r="E40" s="2"/>
      <c r="F40" s="7">
        <f t="shared" si="28"/>
        <v>1.0988196995878649E-5</v>
      </c>
      <c r="G40" s="2"/>
      <c r="H40" s="6">
        <v>29.69</v>
      </c>
      <c r="I40" s="2"/>
      <c r="J40" s="7">
        <f t="shared" si="29"/>
        <v>1.9268445464133954E-4</v>
      </c>
      <c r="K40" s="2"/>
      <c r="L40" s="6">
        <f t="shared" si="30"/>
        <v>-27.990000000000002</v>
      </c>
      <c r="M40" s="2"/>
      <c r="N40" s="7">
        <f t="shared" si="31"/>
        <v>-0.94274166385988556</v>
      </c>
      <c r="O40" s="11"/>
      <c r="P40" s="6">
        <v>-5.94</v>
      </c>
      <c r="Q40" s="2"/>
      <c r="R40" s="7">
        <f t="shared" si="32"/>
        <v>-1.8230184809572678E-5</v>
      </c>
      <c r="S40" s="2"/>
      <c r="T40" s="6">
        <v>71.319999999999993</v>
      </c>
      <c r="U40" s="2"/>
      <c r="V40" s="7">
        <f t="shared" si="33"/>
        <v>2.4751069038304012E-4</v>
      </c>
      <c r="W40" s="2"/>
      <c r="X40" s="6">
        <f t="shared" si="34"/>
        <v>-77.259999999999991</v>
      </c>
      <c r="Y40" s="2"/>
      <c r="Z40" s="7">
        <f t="shared" si="35"/>
        <v>-1.0832865956253506</v>
      </c>
    </row>
    <row r="41" spans="1:26" s="27" customFormat="1" outlineLevel="1" collapsed="1" x14ac:dyDescent="0.25">
      <c r="A41" s="25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5237.16</v>
      </c>
      <c r="E41" s="1"/>
      <c r="F41" s="5">
        <f t="shared" si="28"/>
        <v>3.3851144575844601E-2</v>
      </c>
      <c r="G41" s="1"/>
      <c r="H41" s="1">
        <f>SUM(OSRRefH22_4x_0)</f>
        <v>4386.97</v>
      </c>
      <c r="I41" s="1"/>
      <c r="J41" s="5">
        <f t="shared" si="29"/>
        <v>2.8470896664800179E-2</v>
      </c>
      <c r="K41" s="1"/>
      <c r="L41" s="1">
        <f t="shared" si="30"/>
        <v>850.1899999999996</v>
      </c>
      <c r="M41" s="1"/>
      <c r="N41" s="5">
        <f t="shared" si="31"/>
        <v>0.19379890904200384</v>
      </c>
      <c r="O41" s="13"/>
      <c r="P41" s="1">
        <f>SUM(OSRRefP22_4x_0)</f>
        <v>9641.02</v>
      </c>
      <c r="Q41" s="1"/>
      <c r="R41" s="5">
        <f t="shared" si="32"/>
        <v>2.9588817567809154E-2</v>
      </c>
      <c r="S41" s="1"/>
      <c r="T41" s="1">
        <f>SUM(OSRRefT22_4x_0)</f>
        <v>8143.24</v>
      </c>
      <c r="U41" s="1"/>
      <c r="V41" s="5">
        <f t="shared" si="33"/>
        <v>2.8260501322977957E-2</v>
      </c>
      <c r="W41" s="1"/>
      <c r="X41" s="1">
        <f t="shared" si="34"/>
        <v>1497.7800000000007</v>
      </c>
      <c r="Y41" s="1"/>
      <c r="Z41" s="5">
        <f t="shared" si="35"/>
        <v>0.18392924683541204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>
        <v>5237.16</v>
      </c>
      <c r="E42" s="2"/>
      <c r="F42" s="7">
        <f t="shared" si="28"/>
        <v>3.3851144575844601E-2</v>
      </c>
      <c r="G42" s="2"/>
      <c r="H42" s="6">
        <v>4386.97</v>
      </c>
      <c r="I42" s="2"/>
      <c r="J42" s="7">
        <f t="shared" si="29"/>
        <v>2.8470896664800179E-2</v>
      </c>
      <c r="K42" s="2"/>
      <c r="L42" s="6">
        <f t="shared" si="30"/>
        <v>850.1899999999996</v>
      </c>
      <c r="M42" s="2"/>
      <c r="N42" s="7">
        <f t="shared" si="31"/>
        <v>0.19379890904200384</v>
      </c>
      <c r="O42" s="11"/>
      <c r="P42" s="6">
        <v>9641.02</v>
      </c>
      <c r="Q42" s="2"/>
      <c r="R42" s="7">
        <f t="shared" si="32"/>
        <v>2.9588817567809154E-2</v>
      </c>
      <c r="S42" s="2"/>
      <c r="T42" s="6">
        <v>8143.24</v>
      </c>
      <c r="U42" s="2"/>
      <c r="V42" s="7">
        <f t="shared" si="33"/>
        <v>2.8260501322977957E-2</v>
      </c>
      <c r="W42" s="2"/>
      <c r="X42" s="6">
        <f t="shared" si="34"/>
        <v>1497.7800000000007</v>
      </c>
      <c r="Y42" s="2"/>
      <c r="Z42" s="7">
        <f t="shared" si="35"/>
        <v>0.18392924683541204</v>
      </c>
    </row>
    <row r="43" spans="1:26" s="27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5612.57</v>
      </c>
      <c r="E43" s="1"/>
      <c r="F43" s="5">
        <f t="shared" si="28"/>
        <v>3.627766165479919E-2</v>
      </c>
      <c r="G43" s="1"/>
      <c r="H43" s="1">
        <f>SUM(OSRRefH22_5x_0)</f>
        <v>1313</v>
      </c>
      <c r="I43" s="1"/>
      <c r="J43" s="5">
        <f t="shared" si="29"/>
        <v>8.521208788955164E-3</v>
      </c>
      <c r="K43" s="1"/>
      <c r="L43" s="1">
        <f t="shared" si="30"/>
        <v>4299.57</v>
      </c>
      <c r="M43" s="1"/>
      <c r="N43" s="5">
        <f t="shared" si="31"/>
        <v>3.2746153846153843</v>
      </c>
      <c r="O43" s="13"/>
      <c r="P43" s="1">
        <f>SUM(OSRRefP22_5x_0)</f>
        <v>22450.28</v>
      </c>
      <c r="Q43" s="1"/>
      <c r="R43" s="5">
        <f t="shared" si="32"/>
        <v>6.8901136940514016E-2</v>
      </c>
      <c r="S43" s="1"/>
      <c r="T43" s="1">
        <f>SUM(OSRRefT22_5x_0)</f>
        <v>5252</v>
      </c>
      <c r="U43" s="1"/>
      <c r="V43" s="5">
        <f t="shared" si="33"/>
        <v>1.8226670581768464E-2</v>
      </c>
      <c r="W43" s="1"/>
      <c r="X43" s="1">
        <f t="shared" si="34"/>
        <v>17198.28</v>
      </c>
      <c r="Y43" s="1"/>
      <c r="Z43" s="5">
        <f t="shared" si="35"/>
        <v>3.2746153846153843</v>
      </c>
    </row>
    <row r="44" spans="1:26" s="24" customFormat="1" hidden="1" outlineLevel="2" x14ac:dyDescent="0.25">
      <c r="A44" s="26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28"/>
        <v>2.990405494201916E-2</v>
      </c>
      <c r="G44" s="2"/>
      <c r="H44" s="6">
        <v>326.93</v>
      </c>
      <c r="I44" s="2"/>
      <c r="J44" s="7">
        <f t="shared" si="29"/>
        <v>2.1217355593093007E-3</v>
      </c>
      <c r="K44" s="2"/>
      <c r="L44" s="6">
        <f t="shared" si="30"/>
        <v>4299.57</v>
      </c>
      <c r="M44" s="2"/>
      <c r="N44" s="7">
        <f t="shared" si="31"/>
        <v>13.151347383231883</v>
      </c>
      <c r="O44" s="11"/>
      <c r="P44" s="6">
        <v>18506</v>
      </c>
      <c r="Q44" s="2"/>
      <c r="R44" s="7">
        <f t="shared" si="32"/>
        <v>5.6795925940395953E-2</v>
      </c>
      <c r="S44" s="2"/>
      <c r="T44" s="6">
        <v>1307.72</v>
      </c>
      <c r="U44" s="2"/>
      <c r="V44" s="7">
        <f t="shared" si="33"/>
        <v>4.538343802968442E-3</v>
      </c>
      <c r="W44" s="2"/>
      <c r="X44" s="6">
        <f t="shared" si="34"/>
        <v>17198.28</v>
      </c>
      <c r="Y44" s="2"/>
      <c r="Z44" s="7">
        <f t="shared" si="35"/>
        <v>13.151347383231883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986.07</v>
      </c>
      <c r="E45" s="2"/>
      <c r="F45" s="7">
        <f t="shared" si="28"/>
        <v>6.3736067127800351E-3</v>
      </c>
      <c r="G45" s="2"/>
      <c r="H45" s="6">
        <v>986.07</v>
      </c>
      <c r="I45" s="2"/>
      <c r="J45" s="7">
        <f t="shared" si="29"/>
        <v>6.3994732296458632E-3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>
        <v>3944.28</v>
      </c>
      <c r="Q45" s="2"/>
      <c r="R45" s="7">
        <f t="shared" si="32"/>
        <v>1.2105211000118068E-2</v>
      </c>
      <c r="S45" s="2"/>
      <c r="T45" s="6">
        <v>3944.28</v>
      </c>
      <c r="U45" s="2"/>
      <c r="V45" s="7">
        <f t="shared" si="33"/>
        <v>1.3688326778800023E-2</v>
      </c>
      <c r="W45" s="2"/>
      <c r="X45" s="6">
        <f t="shared" si="34"/>
        <v>0</v>
      </c>
      <c r="Y45" s="2"/>
      <c r="Z45" s="7">
        <f t="shared" si="35"/>
        <v>0</v>
      </c>
    </row>
    <row r="46" spans="1:26" s="27" customFormat="1" outlineLevel="1" collapsed="1" x14ac:dyDescent="0.25">
      <c r="A46" s="25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ref="F46:F56" si="36">IF(D$12=0,0,D46/D$12)</f>
        <v>0</v>
      </c>
      <c r="G46" s="1"/>
      <c r="H46" s="1">
        <f>SUM(OSRRefH22_6x_0)</f>
        <v>0</v>
      </c>
      <c r="I46" s="1"/>
      <c r="J46" s="5">
        <f t="shared" ref="J46:J56" si="37">IF(H$12=0,0,H46/H$12)</f>
        <v>0</v>
      </c>
      <c r="K46" s="1"/>
      <c r="L46" s="1">
        <f t="shared" ref="L46:L56" si="38">+D46-H46</f>
        <v>0</v>
      </c>
      <c r="M46" s="1"/>
      <c r="N46" s="5">
        <f t="shared" ref="N46:N56" si="39">IF(H46=0,0,L46/H46)</f>
        <v>0</v>
      </c>
      <c r="O46" s="13"/>
      <c r="P46" s="1">
        <f>SUM(OSRRefP22_6x_0)</f>
        <v>0</v>
      </c>
      <c r="Q46" s="1"/>
      <c r="R46" s="5">
        <f t="shared" ref="R46:R56" si="40">IF(P$12=0,0,P46/P$12)</f>
        <v>0</v>
      </c>
      <c r="S46" s="1"/>
      <c r="T46" s="1">
        <f>SUM(OSRRefT22_6x_0)</f>
        <v>92.52</v>
      </c>
      <c r="U46" s="1"/>
      <c r="V46" s="5">
        <f t="shared" ref="V46:V56" si="41">IF(T$12=0,0,T46/T$12)</f>
        <v>3.2108369425461127E-4</v>
      </c>
      <c r="W46" s="1"/>
      <c r="X46" s="1">
        <f t="shared" ref="X46:X56" si="42">+P46-T46</f>
        <v>-92.52</v>
      </c>
      <c r="Y46" s="1"/>
      <c r="Z46" s="5">
        <f t="shared" ref="Z46:Z56" si="43">IF(T46=0,0,X46/T46)</f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6"/>
        <v>0</v>
      </c>
      <c r="G47" s="2"/>
      <c r="H47" s="6"/>
      <c r="I47" s="2"/>
      <c r="J47" s="7">
        <f t="shared" si="37"/>
        <v>0</v>
      </c>
      <c r="K47" s="2"/>
      <c r="L47" s="6">
        <f t="shared" si="38"/>
        <v>0</v>
      </c>
      <c r="M47" s="2"/>
      <c r="N47" s="7">
        <f t="shared" si="39"/>
        <v>0</v>
      </c>
      <c r="O47" s="11"/>
      <c r="P47" s="6"/>
      <c r="Q47" s="2"/>
      <c r="R47" s="7">
        <f t="shared" si="40"/>
        <v>0</v>
      </c>
      <c r="S47" s="2"/>
      <c r="T47" s="6">
        <v>92.52</v>
      </c>
      <c r="U47" s="2"/>
      <c r="V47" s="7">
        <f t="shared" si="41"/>
        <v>3.2108369425461127E-4</v>
      </c>
      <c r="W47" s="2"/>
      <c r="X47" s="6">
        <f t="shared" si="42"/>
        <v>-92.52</v>
      </c>
      <c r="Y47" s="2"/>
      <c r="Z47" s="7">
        <f t="shared" si="43"/>
        <v>-1</v>
      </c>
    </row>
    <row r="48" spans="1:26" s="27" customFormat="1" outlineLevel="1" collapsed="1" x14ac:dyDescent="0.25">
      <c r="A48" s="25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448.34</v>
      </c>
      <c r="E48" s="1"/>
      <c r="F48" s="5">
        <f t="shared" si="36"/>
        <v>2.8979107300777843E-3</v>
      </c>
      <c r="G48" s="1"/>
      <c r="H48" s="1">
        <f>SUM(OSRRefH22_7x_0)</f>
        <v>271.29000000000002</v>
      </c>
      <c r="I48" s="1"/>
      <c r="J48" s="5">
        <f t="shared" si="37"/>
        <v>1.7606387908268442E-3</v>
      </c>
      <c r="K48" s="1"/>
      <c r="L48" s="1">
        <f t="shared" si="38"/>
        <v>177.04999999999995</v>
      </c>
      <c r="M48" s="1"/>
      <c r="N48" s="5">
        <f t="shared" si="39"/>
        <v>0.65262265472372716</v>
      </c>
      <c r="O48" s="13"/>
      <c r="P48" s="1">
        <f>SUM(OSRRefP22_7x_0)</f>
        <v>1608.28</v>
      </c>
      <c r="Q48" s="1"/>
      <c r="R48" s="5">
        <f t="shared" si="40"/>
        <v>4.9358992635588463E-3</v>
      </c>
      <c r="S48" s="1"/>
      <c r="T48" s="1">
        <f>SUM(OSRRefT22_7x_0)</f>
        <v>628.02</v>
      </c>
      <c r="U48" s="1"/>
      <c r="V48" s="5">
        <f t="shared" si="41"/>
        <v>2.1794961269539664E-3</v>
      </c>
      <c r="W48" s="1"/>
      <c r="X48" s="1">
        <f t="shared" si="42"/>
        <v>980.26</v>
      </c>
      <c r="Y48" s="1"/>
      <c r="Z48" s="5">
        <f t="shared" si="43"/>
        <v>1.5608738575204613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>
        <v>448.34</v>
      </c>
      <c r="E49" s="2"/>
      <c r="F49" s="7">
        <f t="shared" si="36"/>
        <v>2.8979107300777843E-3</v>
      </c>
      <c r="G49" s="2"/>
      <c r="H49" s="6">
        <v>271.29000000000002</v>
      </c>
      <c r="I49" s="2"/>
      <c r="J49" s="7">
        <f t="shared" si="37"/>
        <v>1.7606387908268442E-3</v>
      </c>
      <c r="K49" s="2"/>
      <c r="L49" s="6">
        <f t="shared" si="38"/>
        <v>177.04999999999995</v>
      </c>
      <c r="M49" s="2"/>
      <c r="N49" s="7">
        <f t="shared" si="39"/>
        <v>0.65262265472372716</v>
      </c>
      <c r="O49" s="11"/>
      <c r="P49" s="6">
        <v>1608.28</v>
      </c>
      <c r="Q49" s="2"/>
      <c r="R49" s="7">
        <f t="shared" si="40"/>
        <v>4.9358992635588463E-3</v>
      </c>
      <c r="S49" s="2"/>
      <c r="T49" s="6">
        <v>628.02</v>
      </c>
      <c r="U49" s="2"/>
      <c r="V49" s="7">
        <f t="shared" si="41"/>
        <v>2.1794961269539664E-3</v>
      </c>
      <c r="W49" s="2"/>
      <c r="X49" s="6">
        <f t="shared" si="42"/>
        <v>980.26</v>
      </c>
      <c r="Y49" s="2"/>
      <c r="Z49" s="7">
        <f t="shared" si="43"/>
        <v>1.5608738575204613</v>
      </c>
    </row>
    <row r="50" spans="1:26" s="27" customFormat="1" outlineLevel="1" collapsed="1" x14ac:dyDescent="0.25">
      <c r="A50" s="25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1502.95</v>
      </c>
      <c r="E50" s="1"/>
      <c r="F50" s="5">
        <f t="shared" si="36"/>
        <v>9.7145356911504804E-3</v>
      </c>
      <c r="G50" s="1"/>
      <c r="H50" s="1">
        <f>SUM(OSRRefH22_8x_0)</f>
        <v>1197</v>
      </c>
      <c r="I50" s="1"/>
      <c r="J50" s="5">
        <f t="shared" si="37"/>
        <v>7.7683830315151033E-3</v>
      </c>
      <c r="K50" s="1"/>
      <c r="L50" s="1">
        <f t="shared" si="38"/>
        <v>305.95000000000005</v>
      </c>
      <c r="M50" s="1"/>
      <c r="N50" s="5">
        <f t="shared" si="39"/>
        <v>0.25559732664995827</v>
      </c>
      <c r="O50" s="13"/>
      <c r="P50" s="1">
        <f>SUM(OSRRefP22_8x_0)</f>
        <v>4687.82</v>
      </c>
      <c r="Q50" s="1"/>
      <c r="R50" s="5">
        <f t="shared" si="40"/>
        <v>1.4387175918183667E-2</v>
      </c>
      <c r="S50" s="1"/>
      <c r="T50" s="1">
        <f>SUM(OSRRefT22_8x_0)</f>
        <v>3456.24</v>
      </c>
      <c r="U50" s="1"/>
      <c r="V50" s="5">
        <f t="shared" si="41"/>
        <v>1.1994620702881081E-2</v>
      </c>
      <c r="W50" s="1"/>
      <c r="X50" s="1">
        <f t="shared" si="42"/>
        <v>1231.58</v>
      </c>
      <c r="Y50" s="1"/>
      <c r="Z50" s="5">
        <f t="shared" si="43"/>
        <v>0.35633520820313402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>
        <v>1502.95</v>
      </c>
      <c r="E51" s="2"/>
      <c r="F51" s="7">
        <f t="shared" si="36"/>
        <v>9.7145356911504804E-3</v>
      </c>
      <c r="G51" s="2"/>
      <c r="H51" s="6">
        <v>1197</v>
      </c>
      <c r="I51" s="2"/>
      <c r="J51" s="7">
        <f t="shared" si="37"/>
        <v>7.7683830315151033E-3</v>
      </c>
      <c r="K51" s="2"/>
      <c r="L51" s="6">
        <f t="shared" si="38"/>
        <v>305.95000000000005</v>
      </c>
      <c r="M51" s="2"/>
      <c r="N51" s="7">
        <f t="shared" si="39"/>
        <v>0.25559732664995827</v>
      </c>
      <c r="O51" s="11"/>
      <c r="P51" s="6">
        <v>4687.82</v>
      </c>
      <c r="Q51" s="2"/>
      <c r="R51" s="7">
        <f t="shared" si="40"/>
        <v>1.4387175918183667E-2</v>
      </c>
      <c r="S51" s="2"/>
      <c r="T51" s="6">
        <v>3456.24</v>
      </c>
      <c r="U51" s="2"/>
      <c r="V51" s="7">
        <f t="shared" si="41"/>
        <v>1.1994620702881081E-2</v>
      </c>
      <c r="W51" s="2"/>
      <c r="X51" s="6">
        <f t="shared" si="42"/>
        <v>1231.58</v>
      </c>
      <c r="Y51" s="2"/>
      <c r="Z51" s="7">
        <f t="shared" si="43"/>
        <v>0.35633520820313402</v>
      </c>
    </row>
    <row r="52" spans="1:26" s="27" customFormat="1" outlineLevel="1" collapsed="1" x14ac:dyDescent="0.25">
      <c r="A52" s="25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1850</v>
      </c>
      <c r="E52" s="1"/>
      <c r="F52" s="5">
        <f t="shared" si="36"/>
        <v>1.1957743789632647E-2</v>
      </c>
      <c r="G52" s="1"/>
      <c r="H52" s="1">
        <f>SUM(OSRRefH22_9x_0)</f>
        <v>1850</v>
      </c>
      <c r="I52" s="1"/>
      <c r="J52" s="5">
        <f t="shared" si="37"/>
        <v>1.2006272855725097E-2</v>
      </c>
      <c r="K52" s="1"/>
      <c r="L52" s="1">
        <f t="shared" si="38"/>
        <v>0</v>
      </c>
      <c r="M52" s="1"/>
      <c r="N52" s="5">
        <f t="shared" si="39"/>
        <v>0</v>
      </c>
      <c r="O52" s="13"/>
      <c r="P52" s="1">
        <f>SUM(OSRRefP22_9x_0)</f>
        <v>7400</v>
      </c>
      <c r="Q52" s="1"/>
      <c r="R52" s="5">
        <f t="shared" si="40"/>
        <v>2.2711004644922192E-2</v>
      </c>
      <c r="S52" s="1"/>
      <c r="T52" s="1">
        <f>SUM(OSRRefT22_9x_0)</f>
        <v>7400</v>
      </c>
      <c r="U52" s="1"/>
      <c r="V52" s="5">
        <f t="shared" si="41"/>
        <v>2.5681142860831424E-2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6"/>
      <c r="B53" s="11" t="str">
        <f>CONCATENATE("          ", "6273", " - ", "RENT")</f>
        <v xml:space="preserve">          6273 - RENT</v>
      </c>
      <c r="C53" s="11"/>
      <c r="D53" s="6">
        <v>1850</v>
      </c>
      <c r="E53" s="2"/>
      <c r="F53" s="7">
        <f t="shared" si="36"/>
        <v>1.1957743789632647E-2</v>
      </c>
      <c r="G53" s="2"/>
      <c r="H53" s="6">
        <v>1850</v>
      </c>
      <c r="I53" s="2"/>
      <c r="J53" s="7">
        <f t="shared" si="37"/>
        <v>1.2006272855725097E-2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>
        <v>7400</v>
      </c>
      <c r="Q53" s="2"/>
      <c r="R53" s="7">
        <f t="shared" si="40"/>
        <v>2.2711004644922192E-2</v>
      </c>
      <c r="S53" s="2"/>
      <c r="T53" s="6">
        <v>7400</v>
      </c>
      <c r="U53" s="2"/>
      <c r="V53" s="7">
        <f t="shared" si="41"/>
        <v>2.5681142860831424E-2</v>
      </c>
      <c r="W53" s="2"/>
      <c r="X53" s="6">
        <f t="shared" si="42"/>
        <v>0</v>
      </c>
      <c r="Y53" s="2"/>
      <c r="Z53" s="7">
        <f t="shared" si="43"/>
        <v>0</v>
      </c>
    </row>
    <row r="54" spans="1:26" s="27" customFormat="1" outlineLevel="1" collapsed="1" x14ac:dyDescent="0.25">
      <c r="A54" s="25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2497.9499999999998</v>
      </c>
      <c r="E54" s="1"/>
      <c r="F54" s="5">
        <f t="shared" si="36"/>
        <v>1.6145862756385333E-2</v>
      </c>
      <c r="G54" s="1"/>
      <c r="H54" s="1">
        <f>SUM(OSRRefH22_10x_0)</f>
        <v>5297.05</v>
      </c>
      <c r="I54" s="1"/>
      <c r="J54" s="5">
        <f t="shared" si="37"/>
        <v>3.4377204124550607E-2</v>
      </c>
      <c r="K54" s="1"/>
      <c r="L54" s="1">
        <f t="shared" si="38"/>
        <v>-2799.1000000000004</v>
      </c>
      <c r="M54" s="1"/>
      <c r="N54" s="5">
        <f t="shared" si="39"/>
        <v>-0.52842619948839453</v>
      </c>
      <c r="O54" s="13"/>
      <c r="P54" s="1">
        <f>SUM(OSRRefP22_10x_0)</f>
        <v>13104.67</v>
      </c>
      <c r="Q54" s="1"/>
      <c r="R54" s="5">
        <f t="shared" si="40"/>
        <v>4.0218948816239525E-2</v>
      </c>
      <c r="S54" s="1"/>
      <c r="T54" s="1">
        <f>SUM(OSRRefT22_10x_0)</f>
        <v>13298.43</v>
      </c>
      <c r="U54" s="1"/>
      <c r="V54" s="5">
        <f t="shared" si="41"/>
        <v>4.6151200088481954E-2</v>
      </c>
      <c r="W54" s="1"/>
      <c r="X54" s="1">
        <f t="shared" si="42"/>
        <v>-193.76000000000022</v>
      </c>
      <c r="Y54" s="1"/>
      <c r="Z54" s="5">
        <f t="shared" si="43"/>
        <v>-1.4570140986567604E-2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>
        <v>1856.06</v>
      </c>
      <c r="E55" s="2"/>
      <c r="F55" s="7">
        <f t="shared" si="36"/>
        <v>1.1996913480100308E-2</v>
      </c>
      <c r="G55" s="2"/>
      <c r="H55" s="6">
        <v>1799</v>
      </c>
      <c r="I55" s="2"/>
      <c r="J55" s="7">
        <f t="shared" si="37"/>
        <v>1.1675289117540243E-2</v>
      </c>
      <c r="K55" s="2"/>
      <c r="L55" s="6">
        <f t="shared" si="38"/>
        <v>57.059999999999945</v>
      </c>
      <c r="M55" s="2"/>
      <c r="N55" s="7">
        <f t="shared" si="39"/>
        <v>3.1717620900500246E-2</v>
      </c>
      <c r="O55" s="11"/>
      <c r="P55" s="6">
        <v>7252.06</v>
      </c>
      <c r="Q55" s="2"/>
      <c r="R55" s="7">
        <f t="shared" si="40"/>
        <v>2.2256968695304653E-2</v>
      </c>
      <c r="S55" s="2"/>
      <c r="T55" s="6">
        <v>7252.22</v>
      </c>
      <c r="U55" s="2"/>
      <c r="V55" s="7">
        <f t="shared" si="41"/>
        <v>2.5168283497051198E-2</v>
      </c>
      <c r="W55" s="2"/>
      <c r="X55" s="6">
        <f t="shared" si="42"/>
        <v>-0.15999999999985448</v>
      </c>
      <c r="Y55" s="2"/>
      <c r="Z55" s="7">
        <f t="shared" si="43"/>
        <v>-2.2062209916391737E-5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641.89</v>
      </c>
      <c r="E56" s="2"/>
      <c r="F56" s="7">
        <f t="shared" si="36"/>
        <v>4.1489492762850268E-3</v>
      </c>
      <c r="G56" s="2"/>
      <c r="H56" s="6">
        <v>3498.05</v>
      </c>
      <c r="I56" s="2"/>
      <c r="J56" s="7">
        <f t="shared" si="37"/>
        <v>2.2701915007010368E-2</v>
      </c>
      <c r="K56" s="2"/>
      <c r="L56" s="6">
        <f t="shared" si="38"/>
        <v>-2856.1600000000003</v>
      </c>
      <c r="M56" s="2"/>
      <c r="N56" s="7">
        <f t="shared" si="39"/>
        <v>-0.81650062177498894</v>
      </c>
      <c r="O56" s="11"/>
      <c r="P56" s="6">
        <v>5852.61</v>
      </c>
      <c r="Q56" s="2"/>
      <c r="R56" s="7">
        <f t="shared" si="40"/>
        <v>1.7961980120934872E-2</v>
      </c>
      <c r="S56" s="2"/>
      <c r="T56" s="6">
        <v>6046.21</v>
      </c>
      <c r="U56" s="2"/>
      <c r="V56" s="7">
        <f t="shared" si="41"/>
        <v>2.0982916591430752E-2</v>
      </c>
      <c r="W56" s="2"/>
      <c r="X56" s="6">
        <f t="shared" si="42"/>
        <v>-193.60000000000036</v>
      </c>
      <c r="Y56" s="2"/>
      <c r="Z56" s="7">
        <f t="shared" si="43"/>
        <v>-3.202005884678176E-2</v>
      </c>
    </row>
    <row r="57" spans="1:26" s="27" customFormat="1" outlineLevel="1" collapsed="1" x14ac:dyDescent="0.25">
      <c r="A57" s="25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SUM(OSRRefD22_11x_0)</f>
        <v>12376.88</v>
      </c>
      <c r="E57" s="1"/>
      <c r="F57" s="5">
        <f t="shared" ref="F57:F62" si="44">IF(D$12=0,0,D57/D$12)</f>
        <v>7.9999762137853245E-2</v>
      </c>
      <c r="G57" s="1"/>
      <c r="H57" s="1">
        <f>SUM(OSRRefH22_11x_0)</f>
        <v>12326.88</v>
      </c>
      <c r="I57" s="1"/>
      <c r="J57" s="5">
        <f t="shared" ref="J57:J62" si="45">IF(H$12=0,0,H57/H$12)</f>
        <v>7.9999937697178697E-2</v>
      </c>
      <c r="K57" s="1"/>
      <c r="L57" s="1">
        <f t="shared" ref="L57:L62" si="46">+D57-H57</f>
        <v>50</v>
      </c>
      <c r="M57" s="1"/>
      <c r="N57" s="5">
        <f t="shared" ref="N57:N62" si="47">IF(H57=0,0,L57/H57)</f>
        <v>4.0561764209597244E-3</v>
      </c>
      <c r="O57" s="13"/>
      <c r="P57" s="1">
        <f>SUM(OSRRefP22_11x_0)</f>
        <v>28839.84</v>
      </c>
      <c r="Q57" s="1"/>
      <c r="R57" s="5">
        <f t="shared" ref="R57:R62" si="48">IF(P$12=0,0,P57/P$12)</f>
        <v>8.8511045972812535E-2</v>
      </c>
      <c r="S57" s="1"/>
      <c r="T57" s="1">
        <f>SUM(OSRRefT22_11x_0)</f>
        <v>23051.919999999998</v>
      </c>
      <c r="U57" s="1"/>
      <c r="V57" s="5">
        <f t="shared" ref="V57:V62" si="49">IF(T$12=0,0,T57/T$12)</f>
        <v>7.9999952802223925E-2</v>
      </c>
      <c r="W57" s="1"/>
      <c r="X57" s="1">
        <f t="shared" ref="X57:X62" si="50">+P57-T57</f>
        <v>5787.9200000000019</v>
      </c>
      <c r="Y57" s="1"/>
      <c r="Z57" s="5">
        <f t="shared" ref="Z57:Z62" si="51">IF(T57=0,0,X57/T57)</f>
        <v>0.25108190554192461</v>
      </c>
    </row>
    <row r="58" spans="1:26" s="24" customFormat="1" hidden="1" outlineLevel="2" x14ac:dyDescent="0.25">
      <c r="A58" s="26"/>
      <c r="B58" s="11" t="str">
        <f>CONCATENATE("          ", "6259", " - ", "ROYALTY &amp; COMMISSIONS")</f>
        <v xml:space="preserve">          6259 - ROYALTY &amp; COMMISSIONS</v>
      </c>
      <c r="C58" s="11"/>
      <c r="D58" s="6">
        <v>12376.88</v>
      </c>
      <c r="E58" s="2"/>
      <c r="F58" s="7">
        <f t="shared" si="44"/>
        <v>7.9999762137853245E-2</v>
      </c>
      <c r="G58" s="2"/>
      <c r="H58" s="6">
        <v>12326.88</v>
      </c>
      <c r="I58" s="2"/>
      <c r="J58" s="7">
        <f t="shared" si="45"/>
        <v>7.9999937697178697E-2</v>
      </c>
      <c r="K58" s="2"/>
      <c r="L58" s="6">
        <f t="shared" si="46"/>
        <v>50</v>
      </c>
      <c r="M58" s="2"/>
      <c r="N58" s="7">
        <f t="shared" si="47"/>
        <v>4.0561764209597244E-3</v>
      </c>
      <c r="O58" s="11"/>
      <c r="P58" s="6">
        <v>28839.84</v>
      </c>
      <c r="Q58" s="2"/>
      <c r="R58" s="7">
        <f t="shared" si="48"/>
        <v>8.8511045972812535E-2</v>
      </c>
      <c r="S58" s="2"/>
      <c r="T58" s="6">
        <v>23051.919999999998</v>
      </c>
      <c r="U58" s="2"/>
      <c r="V58" s="7">
        <f t="shared" si="49"/>
        <v>7.9999952802223925E-2</v>
      </c>
      <c r="W58" s="2"/>
      <c r="X58" s="6">
        <f t="shared" si="50"/>
        <v>5787.9200000000019</v>
      </c>
      <c r="Y58" s="2"/>
      <c r="Z58" s="7">
        <f t="shared" si="51"/>
        <v>0.25108190554192461</v>
      </c>
    </row>
    <row r="59" spans="1:26" s="27" customFormat="1" outlineLevel="1" collapsed="1" x14ac:dyDescent="0.25">
      <c r="A59" s="25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SUM(OSRRefD22_12x_0)</f>
        <v>402.96999999999997</v>
      </c>
      <c r="E59" s="1"/>
      <c r="F59" s="5">
        <f t="shared" si="44"/>
        <v>2.6046551431936583E-3</v>
      </c>
      <c r="G59" s="1"/>
      <c r="H59" s="1">
        <f>SUM(OSRRefH22_12x_0)</f>
        <v>579.8599999999999</v>
      </c>
      <c r="I59" s="1"/>
      <c r="J59" s="5">
        <f t="shared" si="45"/>
        <v>3.7632202043895967E-3</v>
      </c>
      <c r="K59" s="1"/>
      <c r="L59" s="1">
        <f t="shared" si="46"/>
        <v>-176.88999999999993</v>
      </c>
      <c r="M59" s="1"/>
      <c r="N59" s="5">
        <f t="shared" si="47"/>
        <v>-0.30505639292242948</v>
      </c>
      <c r="O59" s="13"/>
      <c r="P59" s="1">
        <f>SUM(OSRRefP22_12x_0)</f>
        <v>1494.55</v>
      </c>
      <c r="Q59" s="1"/>
      <c r="R59" s="5">
        <f t="shared" si="48"/>
        <v>4.5868556746038458E-3</v>
      </c>
      <c r="S59" s="1"/>
      <c r="T59" s="1">
        <f>SUM(OSRRefT22_12x_0)</f>
        <v>1355.58</v>
      </c>
      <c r="U59" s="1"/>
      <c r="V59" s="5">
        <f t="shared" si="49"/>
        <v>4.7044383296332244E-3</v>
      </c>
      <c r="W59" s="1"/>
      <c r="X59" s="1">
        <f t="shared" si="50"/>
        <v>138.97000000000003</v>
      </c>
      <c r="Y59" s="1"/>
      <c r="Z59" s="5">
        <f t="shared" si="51"/>
        <v>0.10251700379173492</v>
      </c>
    </row>
    <row r="60" spans="1:26" s="24" customFormat="1" hidden="1" outlineLevel="2" x14ac:dyDescent="0.25">
      <c r="A60" s="26"/>
      <c r="B60" s="11" t="str">
        <f>CONCATENATE("          ", "6282", " - ", "JANITORIAL/EXTERMINATOR EXPENS")</f>
        <v xml:space="preserve">          6282 - JANITORIAL/EXTERMINATOR EXPENS</v>
      </c>
      <c r="C60" s="11"/>
      <c r="D60" s="6">
        <v>96.96</v>
      </c>
      <c r="E60" s="2"/>
      <c r="F60" s="7">
        <f t="shared" si="44"/>
        <v>6.2671504748258451E-4</v>
      </c>
      <c r="G60" s="2"/>
      <c r="H60" s="6">
        <v>96.96</v>
      </c>
      <c r="I60" s="2"/>
      <c r="J60" s="7">
        <f t="shared" si="45"/>
        <v>6.2925849518438129E-4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387.84</v>
      </c>
      <c r="Q60" s="2"/>
      <c r="R60" s="7">
        <f t="shared" si="48"/>
        <v>1.1903021677684624E-3</v>
      </c>
      <c r="S60" s="2"/>
      <c r="T60" s="6">
        <v>193.92</v>
      </c>
      <c r="U60" s="2"/>
      <c r="V60" s="7">
        <f t="shared" si="49"/>
        <v>6.7298475994222022E-4</v>
      </c>
      <c r="W60" s="2"/>
      <c r="X60" s="6">
        <f t="shared" si="50"/>
        <v>193.92</v>
      </c>
      <c r="Y60" s="2"/>
      <c r="Z60" s="7">
        <f t="shared" si="51"/>
        <v>1</v>
      </c>
    </row>
    <row r="61" spans="1:26" s="24" customFormat="1" hidden="1" outlineLevel="2" x14ac:dyDescent="0.25">
      <c r="A61" s="26"/>
      <c r="B61" s="11" t="str">
        <f>CONCATENATE("          ", "6284", " - ", "TRASH REMOVAL EXPENSE")</f>
        <v xml:space="preserve">          6284 - TRASH REMOVAL EXPENSE</v>
      </c>
      <c r="C61" s="11"/>
      <c r="D61" s="6">
        <v>94</v>
      </c>
      <c r="E61" s="2"/>
      <c r="F61" s="7">
        <f t="shared" si="44"/>
        <v>6.0758265741917233E-4</v>
      </c>
      <c r="G61" s="2"/>
      <c r="H61" s="6">
        <v>320.45999999999998</v>
      </c>
      <c r="I61" s="2"/>
      <c r="J61" s="7">
        <f t="shared" si="45"/>
        <v>2.0797460537003592E-3</v>
      </c>
      <c r="K61" s="2"/>
      <c r="L61" s="6">
        <f t="shared" si="46"/>
        <v>-226.45999999999998</v>
      </c>
      <c r="M61" s="2"/>
      <c r="N61" s="7">
        <f t="shared" si="47"/>
        <v>-0.70667165948948385</v>
      </c>
      <c r="O61" s="11"/>
      <c r="P61" s="6">
        <v>188</v>
      </c>
      <c r="Q61" s="2"/>
      <c r="R61" s="7">
        <f t="shared" si="48"/>
        <v>5.7698228016829349E-4</v>
      </c>
      <c r="S61" s="2"/>
      <c r="T61" s="6">
        <v>602.46</v>
      </c>
      <c r="U61" s="2"/>
      <c r="V61" s="7">
        <f t="shared" si="49"/>
        <v>2.0907920713427704E-3</v>
      </c>
      <c r="W61" s="2"/>
      <c r="X61" s="6">
        <f t="shared" si="50"/>
        <v>-414.46000000000004</v>
      </c>
      <c r="Y61" s="2"/>
      <c r="Z61" s="7">
        <f t="shared" si="51"/>
        <v>-0.68794608770706767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>
        <v>212.01</v>
      </c>
      <c r="E62" s="2"/>
      <c r="F62" s="7">
        <f t="shared" si="44"/>
        <v>1.3703574382919013E-3</v>
      </c>
      <c r="G62" s="2"/>
      <c r="H62" s="6">
        <v>162.44</v>
      </c>
      <c r="I62" s="2"/>
      <c r="J62" s="7">
        <f t="shared" si="45"/>
        <v>1.0542156555048566E-3</v>
      </c>
      <c r="K62" s="2"/>
      <c r="L62" s="6">
        <f t="shared" si="46"/>
        <v>49.569999999999993</v>
      </c>
      <c r="M62" s="2"/>
      <c r="N62" s="7">
        <f t="shared" si="47"/>
        <v>0.30515882787490761</v>
      </c>
      <c r="O62" s="11"/>
      <c r="P62" s="6">
        <v>918.71</v>
      </c>
      <c r="Q62" s="2"/>
      <c r="R62" s="7">
        <f t="shared" si="48"/>
        <v>2.8195712266670899E-3</v>
      </c>
      <c r="S62" s="2"/>
      <c r="T62" s="6">
        <v>559.20000000000005</v>
      </c>
      <c r="U62" s="2"/>
      <c r="V62" s="7">
        <f t="shared" si="49"/>
        <v>1.9406614983482342E-3</v>
      </c>
      <c r="W62" s="2"/>
      <c r="X62" s="6">
        <f t="shared" si="50"/>
        <v>359.51</v>
      </c>
      <c r="Y62" s="2"/>
      <c r="Z62" s="7">
        <f t="shared" si="51"/>
        <v>0.64290057224606578</v>
      </c>
    </row>
    <row r="63" spans="1:26" s="27" customFormat="1" outlineLevel="1" collapsed="1" x14ac:dyDescent="0.25">
      <c r="A63" s="25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SUM(OSRRefD22_13x_0)</f>
        <v>0</v>
      </c>
      <c r="E63" s="1"/>
      <c r="F63" s="5">
        <f t="shared" ref="F63:F72" si="52">IF(D$12=0,0,D63/D$12)</f>
        <v>0</v>
      </c>
      <c r="G63" s="1"/>
      <c r="H63" s="1">
        <f>SUM(OSRRefH22_13x_0)</f>
        <v>0</v>
      </c>
      <c r="I63" s="1"/>
      <c r="J63" s="5">
        <f t="shared" ref="J63:J72" si="53">IF(H$12=0,0,H63/H$12)</f>
        <v>0</v>
      </c>
      <c r="K63" s="1"/>
      <c r="L63" s="1">
        <f t="shared" ref="L63:L72" si="54">+D63-H63</f>
        <v>0</v>
      </c>
      <c r="M63" s="1"/>
      <c r="N63" s="5">
        <f t="shared" ref="N63:N72" si="55">IF(H63=0,0,L63/H63)</f>
        <v>0</v>
      </c>
      <c r="O63" s="13"/>
      <c r="P63" s="1">
        <f>SUM(OSRRefP22_13x_0)</f>
        <v>61.36</v>
      </c>
      <c r="Q63" s="1"/>
      <c r="R63" s="5">
        <f t="shared" ref="R63:R72" si="56">IF(P$12=0,0,P63/P$12)</f>
        <v>1.883171952719494E-4</v>
      </c>
      <c r="S63" s="1"/>
      <c r="T63" s="1">
        <f>SUM(OSRRefT22_13x_0)</f>
        <v>92.04</v>
      </c>
      <c r="U63" s="1"/>
      <c r="V63" s="5">
        <f t="shared" ref="V63:V72" si="57">IF(T$12=0,0,T63/T$12)</f>
        <v>3.1941789039336815E-4</v>
      </c>
      <c r="W63" s="1"/>
      <c r="X63" s="1">
        <f t="shared" ref="X63:X72" si="58">+P63-T63</f>
        <v>-30.680000000000007</v>
      </c>
      <c r="Y63" s="1"/>
      <c r="Z63" s="5">
        <f t="shared" ref="Z63:Z72" si="59">IF(T63=0,0,X63/T63)</f>
        <v>-0.33333333333333337</v>
      </c>
    </row>
    <row r="64" spans="1:26" s="24" customFormat="1" hidden="1" outlineLevel="2" x14ac:dyDescent="0.25">
      <c r="A64" s="26"/>
      <c r="B64" s="11" t="str">
        <f>CONCATENATE("          ", "6275", " - ", "SUBSCRIPTIONS")</f>
        <v xml:space="preserve">          6275 - SUBSCRIPTIONS</v>
      </c>
      <c r="C64" s="11"/>
      <c r="D64" s="6"/>
      <c r="E64" s="2"/>
      <c r="F64" s="7">
        <f t="shared" si="52"/>
        <v>0</v>
      </c>
      <c r="G64" s="2"/>
      <c r="H64" s="6"/>
      <c r="I64" s="2"/>
      <c r="J64" s="7">
        <f t="shared" si="53"/>
        <v>0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>
        <v>61.36</v>
      </c>
      <c r="Q64" s="2"/>
      <c r="R64" s="7">
        <f t="shared" si="56"/>
        <v>1.883171952719494E-4</v>
      </c>
      <c r="S64" s="2"/>
      <c r="T64" s="6">
        <v>92.04</v>
      </c>
      <c r="U64" s="2"/>
      <c r="V64" s="7">
        <f t="shared" si="57"/>
        <v>3.1941789039336815E-4</v>
      </c>
      <c r="W64" s="2"/>
      <c r="X64" s="6">
        <f t="shared" si="58"/>
        <v>-30.680000000000007</v>
      </c>
      <c r="Y64" s="2"/>
      <c r="Z64" s="7">
        <f t="shared" si="59"/>
        <v>-0.33333333333333337</v>
      </c>
    </row>
    <row r="65" spans="1:26" s="27" customFormat="1" outlineLevel="1" collapsed="1" x14ac:dyDescent="0.25">
      <c r="A65" s="25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SUM(OSRRefD22_14x_0)</f>
        <v>1127.79</v>
      </c>
      <c r="E65" s="1"/>
      <c r="F65" s="5">
        <f t="shared" si="52"/>
        <v>7.2896345235188122E-3</v>
      </c>
      <c r="G65" s="1"/>
      <c r="H65" s="1">
        <f>SUM(OSRRefH22_14x_0)</f>
        <v>1569.8</v>
      </c>
      <c r="I65" s="1"/>
      <c r="J65" s="5">
        <f t="shared" si="53"/>
        <v>1.0187809258874194E-2</v>
      </c>
      <c r="K65" s="1"/>
      <c r="L65" s="1">
        <f t="shared" si="54"/>
        <v>-442.01</v>
      </c>
      <c r="M65" s="1"/>
      <c r="N65" s="5">
        <f t="shared" si="55"/>
        <v>-0.28157090075168811</v>
      </c>
      <c r="O65" s="13"/>
      <c r="P65" s="1">
        <f>SUM(OSRRefP22_14x_0)</f>
        <v>7174.2499999999991</v>
      </c>
      <c r="Q65" s="1"/>
      <c r="R65" s="5">
        <f t="shared" si="56"/>
        <v>2.2018165550517974E-2</v>
      </c>
      <c r="S65" s="1"/>
      <c r="T65" s="1">
        <f>SUM(OSRRefT22_14x_0)</f>
        <v>4522.78</v>
      </c>
      <c r="U65" s="1"/>
      <c r="V65" s="5">
        <f t="shared" si="57"/>
        <v>1.5695967474069074E-2</v>
      </c>
      <c r="W65" s="1"/>
      <c r="X65" s="1">
        <f t="shared" si="58"/>
        <v>2651.4699999999993</v>
      </c>
      <c r="Y65" s="1"/>
      <c r="Z65" s="5">
        <f t="shared" si="59"/>
        <v>0.58624783871866404</v>
      </c>
    </row>
    <row r="66" spans="1:26" s="24" customFormat="1" hidden="1" outlineLevel="2" x14ac:dyDescent="0.25">
      <c r="A66" s="26"/>
      <c r="B66" s="11" t="str">
        <f>CONCATENATE("          ", "6237", " - ", "JANITORIAL SUPPLIES")</f>
        <v xml:space="preserve">          6237 - JANITORIAL SUPPLIES</v>
      </c>
      <c r="C66" s="11"/>
      <c r="D66" s="6">
        <v>146.09</v>
      </c>
      <c r="E66" s="2"/>
      <c r="F66" s="7">
        <f t="shared" si="52"/>
        <v>9.4427394066347759E-4</v>
      </c>
      <c r="G66" s="2"/>
      <c r="H66" s="6">
        <v>163.71</v>
      </c>
      <c r="I66" s="2"/>
      <c r="J66" s="7">
        <f t="shared" si="53"/>
        <v>1.0624577995733816E-3</v>
      </c>
      <c r="K66" s="2"/>
      <c r="L66" s="6">
        <f t="shared" si="54"/>
        <v>-17.620000000000005</v>
      </c>
      <c r="M66" s="2"/>
      <c r="N66" s="7">
        <f t="shared" si="55"/>
        <v>-0.10762934457272008</v>
      </c>
      <c r="O66" s="11"/>
      <c r="P66" s="6">
        <v>744.97</v>
      </c>
      <c r="Q66" s="2"/>
      <c r="R66" s="7">
        <f t="shared" si="56"/>
        <v>2.2863536662604978E-3</v>
      </c>
      <c r="S66" s="2"/>
      <c r="T66" s="6">
        <v>172.47</v>
      </c>
      <c r="U66" s="2"/>
      <c r="V66" s="7">
        <f t="shared" si="57"/>
        <v>5.9854414989291829E-4</v>
      </c>
      <c r="W66" s="2"/>
      <c r="X66" s="6">
        <f t="shared" si="58"/>
        <v>572.5</v>
      </c>
      <c r="Y66" s="2"/>
      <c r="Z66" s="7">
        <f t="shared" si="59"/>
        <v>3.3194178697744534</v>
      </c>
    </row>
    <row r="67" spans="1:26" s="24" customFormat="1" hidden="1" outlineLevel="2" x14ac:dyDescent="0.25">
      <c r="A67" s="26"/>
      <c r="B67" s="11" t="str">
        <f>CONCATENATE("          ", "6239", " - ", "KITCHEN SUPPLIES")</f>
        <v xml:space="preserve">          6239 - KITCHEN SUPPLIES</v>
      </c>
      <c r="C67" s="11"/>
      <c r="D67" s="6">
        <v>262.23</v>
      </c>
      <c r="E67" s="2"/>
      <c r="F67" s="7">
        <f t="shared" si="52"/>
        <v>1.6949617048407403E-3</v>
      </c>
      <c r="G67" s="2"/>
      <c r="H67" s="6">
        <v>676.76</v>
      </c>
      <c r="I67" s="2"/>
      <c r="J67" s="7">
        <f t="shared" si="53"/>
        <v>4.39208930694082E-3</v>
      </c>
      <c r="K67" s="2"/>
      <c r="L67" s="6">
        <f t="shared" si="54"/>
        <v>-414.53</v>
      </c>
      <c r="M67" s="2"/>
      <c r="N67" s="7">
        <f t="shared" si="55"/>
        <v>-0.61252142561617118</v>
      </c>
      <c r="O67" s="11"/>
      <c r="P67" s="6">
        <v>3380.93</v>
      </c>
      <c r="Q67" s="2"/>
      <c r="R67" s="7">
        <f t="shared" si="56"/>
        <v>1.0376259045156322E-2</v>
      </c>
      <c r="S67" s="2"/>
      <c r="T67" s="6">
        <v>916.45</v>
      </c>
      <c r="U67" s="2"/>
      <c r="V67" s="7">
        <f t="shared" si="57"/>
        <v>3.1804707263255352E-3</v>
      </c>
      <c r="W67" s="2"/>
      <c r="X67" s="6">
        <f t="shared" si="58"/>
        <v>2464.4799999999996</v>
      </c>
      <c r="Y67" s="2"/>
      <c r="Z67" s="7">
        <f t="shared" si="59"/>
        <v>2.6891592558241033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>
        <v>31.4</v>
      </c>
      <c r="E68" s="2"/>
      <c r="F68" s="7">
        <f t="shared" si="52"/>
        <v>2.0295846215917033E-4</v>
      </c>
      <c r="G68" s="2"/>
      <c r="H68" s="6">
        <v>60.19</v>
      </c>
      <c r="I68" s="2"/>
      <c r="J68" s="7">
        <f t="shared" si="53"/>
        <v>3.9062570983032085E-4</v>
      </c>
      <c r="K68" s="2"/>
      <c r="L68" s="6">
        <f t="shared" si="54"/>
        <v>-28.79</v>
      </c>
      <c r="M68" s="2"/>
      <c r="N68" s="7">
        <f t="shared" si="55"/>
        <v>-0.47831865758431635</v>
      </c>
      <c r="O68" s="11"/>
      <c r="P68" s="6">
        <v>699.58</v>
      </c>
      <c r="Q68" s="2"/>
      <c r="R68" s="7">
        <f t="shared" si="56"/>
        <v>2.1470492742560361E-3</v>
      </c>
      <c r="S68" s="2"/>
      <c r="T68" s="6">
        <v>252.94</v>
      </c>
      <c r="U68" s="2"/>
      <c r="V68" s="7">
        <f t="shared" si="57"/>
        <v>8.7780922638090546E-4</v>
      </c>
      <c r="W68" s="2"/>
      <c r="X68" s="6">
        <f t="shared" si="58"/>
        <v>446.64000000000004</v>
      </c>
      <c r="Y68" s="2"/>
      <c r="Z68" s="7">
        <f t="shared" si="59"/>
        <v>1.7657942595081839</v>
      </c>
    </row>
    <row r="69" spans="1:26" s="24" customFormat="1" hidden="1" outlineLevel="2" x14ac:dyDescent="0.25">
      <c r="A69" s="26"/>
      <c r="B69" s="11" t="str">
        <f>CONCATENATE("          ", "6243", " - ", "PAPER SUPPLIES")</f>
        <v xml:space="preserve">          6243 - PAPER SUPPLIES</v>
      </c>
      <c r="C69" s="11"/>
      <c r="D69" s="6">
        <v>518.15</v>
      </c>
      <c r="E69" s="2"/>
      <c r="F69" s="7">
        <f t="shared" si="52"/>
        <v>3.3491378078908951E-3</v>
      </c>
      <c r="G69" s="2"/>
      <c r="H69" s="6">
        <v>652.29999999999995</v>
      </c>
      <c r="I69" s="2"/>
      <c r="J69" s="7">
        <f t="shared" si="53"/>
        <v>4.233346910156476E-3</v>
      </c>
      <c r="K69" s="2"/>
      <c r="L69" s="6">
        <f t="shared" si="54"/>
        <v>-134.14999999999998</v>
      </c>
      <c r="M69" s="2"/>
      <c r="N69" s="7">
        <f t="shared" si="55"/>
        <v>-0.20565690633144257</v>
      </c>
      <c r="O69" s="11"/>
      <c r="P69" s="6">
        <v>2817.49</v>
      </c>
      <c r="Q69" s="2"/>
      <c r="R69" s="7">
        <f t="shared" si="56"/>
        <v>8.6470308752732185E-3</v>
      </c>
      <c r="S69" s="2"/>
      <c r="T69" s="6">
        <v>2761.61</v>
      </c>
      <c r="U69" s="2"/>
      <c r="V69" s="7">
        <f t="shared" si="57"/>
        <v>9.5839595859325225E-3</v>
      </c>
      <c r="W69" s="2"/>
      <c r="X69" s="6">
        <f t="shared" si="58"/>
        <v>55.879999999999654</v>
      </c>
      <c r="Y69" s="2"/>
      <c r="Z69" s="7">
        <f t="shared" si="59"/>
        <v>2.0234573310496287E-2</v>
      </c>
    </row>
    <row r="70" spans="1:26" s="24" customFormat="1" hidden="1" outlineLevel="2" x14ac:dyDescent="0.25">
      <c r="A70" s="26"/>
      <c r="B70" s="11" t="str">
        <f>CONCATENATE("          ", "6245", " - ", "PRINTING")</f>
        <v xml:space="preserve">          6245 - PRINTING</v>
      </c>
      <c r="C70" s="11"/>
      <c r="D70" s="6">
        <v>27.93</v>
      </c>
      <c r="E70" s="2"/>
      <c r="F70" s="7">
        <f t="shared" si="52"/>
        <v>1.8052961299699452E-4</v>
      </c>
      <c r="G70" s="2"/>
      <c r="H70" s="6"/>
      <c r="I70" s="2"/>
      <c r="J70" s="7">
        <f t="shared" si="53"/>
        <v>0</v>
      </c>
      <c r="K70" s="2"/>
      <c r="L70" s="6">
        <f t="shared" si="54"/>
        <v>27.93</v>
      </c>
      <c r="M70" s="2"/>
      <c r="N70" s="7">
        <f t="shared" si="55"/>
        <v>0</v>
      </c>
      <c r="O70" s="11"/>
      <c r="P70" s="6">
        <v>50.94</v>
      </c>
      <c r="Q70" s="2"/>
      <c r="R70" s="7">
        <f t="shared" si="56"/>
        <v>1.5633764548815356E-4</v>
      </c>
      <c r="S70" s="2"/>
      <c r="T70" s="6"/>
      <c r="U70" s="2"/>
      <c r="V70" s="7">
        <f t="shared" si="57"/>
        <v>0</v>
      </c>
      <c r="W70" s="2"/>
      <c r="X70" s="6">
        <f t="shared" si="58"/>
        <v>50.94</v>
      </c>
      <c r="Y70" s="2"/>
      <c r="Z70" s="7">
        <f t="shared" si="59"/>
        <v>0</v>
      </c>
    </row>
    <row r="71" spans="1:26" s="24" customFormat="1" hidden="1" outlineLevel="2" x14ac:dyDescent="0.25">
      <c r="A71" s="26"/>
      <c r="B71" s="11" t="str">
        <f>CONCATENATE("          ", "6247", " - ", "STORE SUPPLIES")</f>
        <v xml:space="preserve">          6247 - STORE SUPPLIES</v>
      </c>
      <c r="C71" s="11"/>
      <c r="D71" s="6">
        <v>25.51</v>
      </c>
      <c r="E71" s="2"/>
      <c r="F71" s="7">
        <f t="shared" si="52"/>
        <v>1.6488759139109667E-4</v>
      </c>
      <c r="G71" s="2"/>
      <c r="H71" s="6"/>
      <c r="I71" s="2"/>
      <c r="J71" s="7">
        <f t="shared" si="53"/>
        <v>0</v>
      </c>
      <c r="K71" s="2"/>
      <c r="L71" s="6">
        <f t="shared" si="54"/>
        <v>25.51</v>
      </c>
      <c r="M71" s="2"/>
      <c r="N71" s="7">
        <f t="shared" si="55"/>
        <v>0</v>
      </c>
      <c r="O71" s="11"/>
      <c r="P71" s="6">
        <v>-653.74</v>
      </c>
      <c r="Q71" s="2"/>
      <c r="R71" s="7">
        <f t="shared" si="56"/>
        <v>-2.0063638076447884E-3</v>
      </c>
      <c r="S71" s="2"/>
      <c r="T71" s="6">
        <v>55.48</v>
      </c>
      <c r="U71" s="2"/>
      <c r="V71" s="7">
        <f t="shared" si="57"/>
        <v>1.9253916296201721E-4</v>
      </c>
      <c r="W71" s="2"/>
      <c r="X71" s="6">
        <f t="shared" si="58"/>
        <v>-709.22</v>
      </c>
      <c r="Y71" s="2"/>
      <c r="Z71" s="7">
        <f t="shared" si="59"/>
        <v>-12.78334534967556</v>
      </c>
    </row>
    <row r="72" spans="1:26" s="24" customFormat="1" hidden="1" outlineLevel="2" x14ac:dyDescent="0.25">
      <c r="A72" s="26"/>
      <c r="B72" s="11" t="str">
        <f>CONCATENATE("          ", "6248", " - ", "UNIFORMS")</f>
        <v xml:space="preserve">          6248 - UNIFORMS</v>
      </c>
      <c r="C72" s="11"/>
      <c r="D72" s="6">
        <v>116.48</v>
      </c>
      <c r="E72" s="2"/>
      <c r="F72" s="7">
        <f t="shared" si="52"/>
        <v>7.5288540357643823E-4</v>
      </c>
      <c r="G72" s="2"/>
      <c r="H72" s="6">
        <v>16.84</v>
      </c>
      <c r="I72" s="2"/>
      <c r="J72" s="7">
        <f t="shared" si="53"/>
        <v>1.0928953237319494E-4</v>
      </c>
      <c r="K72" s="2"/>
      <c r="L72" s="6">
        <f t="shared" si="54"/>
        <v>99.64</v>
      </c>
      <c r="M72" s="2"/>
      <c r="N72" s="7">
        <f t="shared" si="55"/>
        <v>5.9168646080760094</v>
      </c>
      <c r="O72" s="11"/>
      <c r="P72" s="6">
        <v>134.08000000000001</v>
      </c>
      <c r="Q72" s="2"/>
      <c r="R72" s="7">
        <f t="shared" si="56"/>
        <v>4.1149885172853617E-4</v>
      </c>
      <c r="S72" s="2"/>
      <c r="T72" s="6">
        <v>363.83</v>
      </c>
      <c r="U72" s="2"/>
      <c r="V72" s="7">
        <f t="shared" si="57"/>
        <v>1.2626446225751753E-3</v>
      </c>
      <c r="W72" s="2"/>
      <c r="X72" s="6">
        <f t="shared" si="58"/>
        <v>-229.74999999999997</v>
      </c>
      <c r="Y72" s="2"/>
      <c r="Z72" s="7">
        <f t="shared" si="59"/>
        <v>-0.63147623890278426</v>
      </c>
    </row>
    <row r="73" spans="1:26" s="27" customFormat="1" outlineLevel="1" collapsed="1" x14ac:dyDescent="0.25">
      <c r="A73" s="25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SUM(OSRRefD22_15x_0)</f>
        <v>78.150000000000006</v>
      </c>
      <c r="E73" s="1"/>
      <c r="F73" s="5">
        <f t="shared" ref="F73:F78" si="60">IF(D$12=0,0,D73/D$12)</f>
        <v>5.0513387954583325E-4</v>
      </c>
      <c r="G73" s="1"/>
      <c r="H73" s="1">
        <f>SUM(OSRRefH22_15x_0)</f>
        <v>89</v>
      </c>
      <c r="I73" s="1"/>
      <c r="J73" s="5">
        <f t="shared" ref="J73:J78" si="61">IF(H$12=0,0,H73/H$12)</f>
        <v>5.7759907251866689E-4</v>
      </c>
      <c r="K73" s="1"/>
      <c r="L73" s="1">
        <f t="shared" ref="L73:L78" si="62">+D73-H73</f>
        <v>-10.849999999999994</v>
      </c>
      <c r="M73" s="1"/>
      <c r="N73" s="5">
        <f t="shared" ref="N73:N78" si="63">IF(H73=0,0,L73/H73)</f>
        <v>-0.1219101123595505</v>
      </c>
      <c r="O73" s="13"/>
      <c r="P73" s="1">
        <f>SUM(OSRRefP22_15x_0)</f>
        <v>346.1</v>
      </c>
      <c r="Q73" s="1"/>
      <c r="R73" s="5">
        <f t="shared" ref="R73:R78" si="64">IF(P$12=0,0,P73/P$12)</f>
        <v>1.0621998253523743E-3</v>
      </c>
      <c r="S73" s="1"/>
      <c r="T73" s="1">
        <f>SUM(OSRRefT22_15x_0)</f>
        <v>306.05</v>
      </c>
      <c r="U73" s="1"/>
      <c r="V73" s="5">
        <f t="shared" ref="V73:V78" si="65">IF(T$12=0,0,T73/T$12)</f>
        <v>1.0621234827780349E-3</v>
      </c>
      <c r="W73" s="1"/>
      <c r="X73" s="1">
        <f t="shared" ref="X73:X78" si="66">+P73-T73</f>
        <v>40.050000000000011</v>
      </c>
      <c r="Y73" s="1"/>
      <c r="Z73" s="5">
        <f t="shared" ref="Z73:Z78" si="67">IF(T73=0,0,X73/T73)</f>
        <v>0.13086097042966838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6">
        <v>78.150000000000006</v>
      </c>
      <c r="E74" s="2"/>
      <c r="F74" s="7">
        <f t="shared" si="60"/>
        <v>5.0513387954583325E-4</v>
      </c>
      <c r="G74" s="2"/>
      <c r="H74" s="6">
        <v>89</v>
      </c>
      <c r="I74" s="2"/>
      <c r="J74" s="7">
        <f t="shared" si="61"/>
        <v>5.7759907251866689E-4</v>
      </c>
      <c r="K74" s="2"/>
      <c r="L74" s="6">
        <f t="shared" si="62"/>
        <v>-10.849999999999994</v>
      </c>
      <c r="M74" s="2"/>
      <c r="N74" s="7">
        <f t="shared" si="63"/>
        <v>-0.1219101123595505</v>
      </c>
      <c r="O74" s="11"/>
      <c r="P74" s="6">
        <v>346.1</v>
      </c>
      <c r="Q74" s="2"/>
      <c r="R74" s="7">
        <f t="shared" si="64"/>
        <v>1.0621998253523743E-3</v>
      </c>
      <c r="S74" s="2"/>
      <c r="T74" s="6">
        <v>306.05</v>
      </c>
      <c r="U74" s="2"/>
      <c r="V74" s="7">
        <f t="shared" si="65"/>
        <v>1.0621234827780349E-3</v>
      </c>
      <c r="W74" s="2"/>
      <c r="X74" s="6">
        <f t="shared" si="66"/>
        <v>40.050000000000011</v>
      </c>
      <c r="Y74" s="2"/>
      <c r="Z74" s="7">
        <f t="shared" si="67"/>
        <v>0.13086097042966838</v>
      </c>
    </row>
    <row r="75" spans="1:26" s="27" customFormat="1" outlineLevel="1" collapsed="1" x14ac:dyDescent="0.25">
      <c r="A75" s="25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SUM(OSRRefD22_16x_0)</f>
        <v>0</v>
      </c>
      <c r="E75" s="1"/>
      <c r="F75" s="5">
        <f t="shared" si="60"/>
        <v>0</v>
      </c>
      <c r="G75" s="1"/>
      <c r="H75" s="1">
        <f>SUM(OSRRefH22_16x_0)</f>
        <v>0</v>
      </c>
      <c r="I75" s="1"/>
      <c r="J75" s="5">
        <f t="shared" si="61"/>
        <v>0</v>
      </c>
      <c r="K75" s="1"/>
      <c r="L75" s="1">
        <f t="shared" si="62"/>
        <v>0</v>
      </c>
      <c r="M75" s="1"/>
      <c r="N75" s="5">
        <f t="shared" si="63"/>
        <v>0</v>
      </c>
      <c r="O75" s="13"/>
      <c r="P75" s="1">
        <f>SUM(OSRRefP22_16x_0)</f>
        <v>380.65</v>
      </c>
      <c r="Q75" s="1"/>
      <c r="R75" s="5">
        <f t="shared" si="64"/>
        <v>1.168235664606707E-3</v>
      </c>
      <c r="S75" s="1"/>
      <c r="T75" s="1">
        <f>SUM(OSRRefT22_16x_0)</f>
        <v>175.16</v>
      </c>
      <c r="U75" s="1"/>
      <c r="V75" s="5">
        <f t="shared" si="65"/>
        <v>6.0787959236530164E-4</v>
      </c>
      <c r="W75" s="1"/>
      <c r="X75" s="1">
        <f t="shared" si="66"/>
        <v>205.48999999999998</v>
      </c>
      <c r="Y75" s="1"/>
      <c r="Z75" s="5">
        <f t="shared" si="67"/>
        <v>1.1731559716830327</v>
      </c>
    </row>
    <row r="76" spans="1:26" s="24" customFormat="1" hidden="1" outlineLevel="2" x14ac:dyDescent="0.25">
      <c r="A76" s="26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60"/>
        <v>0</v>
      </c>
      <c r="G76" s="2"/>
      <c r="H76" s="6"/>
      <c r="I76" s="2"/>
      <c r="J76" s="7">
        <f t="shared" si="61"/>
        <v>0</v>
      </c>
      <c r="K76" s="2"/>
      <c r="L76" s="6">
        <f t="shared" si="62"/>
        <v>0</v>
      </c>
      <c r="M76" s="2"/>
      <c r="N76" s="7">
        <f t="shared" si="63"/>
        <v>0</v>
      </c>
      <c r="O76" s="11"/>
      <c r="P76" s="6">
        <v>380.65</v>
      </c>
      <c r="Q76" s="2"/>
      <c r="R76" s="7">
        <f t="shared" si="64"/>
        <v>1.168235664606707E-3</v>
      </c>
      <c r="S76" s="2"/>
      <c r="T76" s="6">
        <v>175.16</v>
      </c>
      <c r="U76" s="2"/>
      <c r="V76" s="7">
        <f t="shared" si="65"/>
        <v>6.0787959236530164E-4</v>
      </c>
      <c r="W76" s="2"/>
      <c r="X76" s="6">
        <f t="shared" si="66"/>
        <v>205.48999999999998</v>
      </c>
      <c r="Y76" s="2"/>
      <c r="Z76" s="7">
        <f t="shared" si="67"/>
        <v>1.1731559716830327</v>
      </c>
    </row>
    <row r="77" spans="1:26" s="27" customFormat="1" outlineLevel="1" collapsed="1" x14ac:dyDescent="0.25">
      <c r="A77" s="25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SUM(OSRRefD22_17x_0)</f>
        <v>306</v>
      </c>
      <c r="E77" s="1"/>
      <c r="F77" s="5">
        <f t="shared" si="60"/>
        <v>1.9778754592581567E-3</v>
      </c>
      <c r="G77" s="1"/>
      <c r="H77" s="1">
        <f>SUM(OSRRefH22_17x_0)</f>
        <v>-240.1</v>
      </c>
      <c r="I77" s="1"/>
      <c r="J77" s="5">
        <f t="shared" si="61"/>
        <v>-1.5582195203565383E-3</v>
      </c>
      <c r="K77" s="1"/>
      <c r="L77" s="1">
        <f t="shared" si="62"/>
        <v>546.1</v>
      </c>
      <c r="M77" s="1"/>
      <c r="N77" s="5">
        <f t="shared" si="63"/>
        <v>-2.2744689712619741</v>
      </c>
      <c r="O77" s="13"/>
      <c r="P77" s="1">
        <f>SUM(OSRRefP22_17x_0)</f>
        <v>1012</v>
      </c>
      <c r="Q77" s="1"/>
      <c r="R77" s="5">
        <f t="shared" si="64"/>
        <v>3.1058833379271969E-3</v>
      </c>
      <c r="S77" s="1"/>
      <c r="T77" s="1">
        <f>SUM(OSRRefT22_17x_0)</f>
        <v>677.9</v>
      </c>
      <c r="U77" s="1"/>
      <c r="V77" s="5">
        <f t="shared" si="65"/>
        <v>2.3526009115348136E-3</v>
      </c>
      <c r="W77" s="1"/>
      <c r="X77" s="1">
        <f t="shared" si="66"/>
        <v>334.1</v>
      </c>
      <c r="Y77" s="1"/>
      <c r="Z77" s="5">
        <f t="shared" si="67"/>
        <v>0.49284555244136308</v>
      </c>
    </row>
    <row r="78" spans="1:26" s="24" customFormat="1" hidden="1" outlineLevel="2" x14ac:dyDescent="0.25">
      <c r="A78" s="26"/>
      <c r="B78" s="11" t="str">
        <f>CONCATENATE("          ", "6274", " - ", "UTILITIES")</f>
        <v xml:space="preserve">          6274 - UTILITIES</v>
      </c>
      <c r="C78" s="11"/>
      <c r="D78" s="6">
        <v>306</v>
      </c>
      <c r="E78" s="2"/>
      <c r="F78" s="7">
        <f t="shared" si="60"/>
        <v>1.9778754592581567E-3</v>
      </c>
      <c r="G78" s="2"/>
      <c r="H78" s="6">
        <v>-240.1</v>
      </c>
      <c r="I78" s="2"/>
      <c r="J78" s="7">
        <f t="shared" si="61"/>
        <v>-1.5582195203565383E-3</v>
      </c>
      <c r="K78" s="2"/>
      <c r="L78" s="6">
        <f t="shared" si="62"/>
        <v>546.1</v>
      </c>
      <c r="M78" s="2"/>
      <c r="N78" s="7">
        <f t="shared" si="63"/>
        <v>-2.2744689712619741</v>
      </c>
      <c r="O78" s="11"/>
      <c r="P78" s="6">
        <v>1012</v>
      </c>
      <c r="Q78" s="2"/>
      <c r="R78" s="7">
        <f t="shared" si="64"/>
        <v>3.1058833379271969E-3</v>
      </c>
      <c r="S78" s="2"/>
      <c r="T78" s="6">
        <v>677.9</v>
      </c>
      <c r="U78" s="2"/>
      <c r="V78" s="7">
        <f t="shared" si="65"/>
        <v>2.3526009115348136E-3</v>
      </c>
      <c r="W78" s="2"/>
      <c r="X78" s="6">
        <f t="shared" si="66"/>
        <v>334.1</v>
      </c>
      <c r="Y78" s="2"/>
      <c r="Z78" s="7">
        <f t="shared" si="67"/>
        <v>0.49284555244136308</v>
      </c>
    </row>
    <row r="79" spans="1:26" s="55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9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3</v>
      </c>
      <c r="C82" s="28"/>
      <c r="D82" s="21">
        <f>+D20-D22+D80</f>
        <v>33611.860000000073</v>
      </c>
      <c r="E82" s="14"/>
      <c r="F82" s="22">
        <f>IF(D$12=0,0,D82/D$12)</f>
        <v>0.2172551406340556</v>
      </c>
      <c r="G82" s="14"/>
      <c r="H82" s="21">
        <f>+H20-H22+H80</f>
        <v>32598.389999999956</v>
      </c>
      <c r="I82" s="14"/>
      <c r="J82" s="22">
        <f>IF(H$12=0,0,H82/H$12)</f>
        <v>0.21155954864721077</v>
      </c>
      <c r="K82" s="16"/>
      <c r="L82" s="21">
        <f>+D82-H82</f>
        <v>1013.4700000001176</v>
      </c>
      <c r="M82" s="16"/>
      <c r="N82" s="22">
        <f>IF(H82=0,0,L82/H82)</f>
        <v>3.1089572215073167E-2</v>
      </c>
      <c r="O82" s="29"/>
      <c r="P82" s="21">
        <f>+P20-P22+P80</f>
        <v>-25451.819999999949</v>
      </c>
      <c r="Q82" s="14"/>
      <c r="R82" s="22">
        <f>IF(P$12=0,0,P82/P$12)</f>
        <v>-7.8113027329962476E-2</v>
      </c>
      <c r="S82" s="14"/>
      <c r="T82" s="21">
        <f>+T20-T22+T80</f>
        <v>20706.549999999988</v>
      </c>
      <c r="U82" s="14"/>
      <c r="V82" s="22">
        <f>IF(T$12=0,0,T82/T$12)</f>
        <v>7.1860522797966037E-2</v>
      </c>
      <c r="W82" s="16"/>
      <c r="X82" s="21">
        <f>+P82-T82</f>
        <v>-46158.369999999937</v>
      </c>
      <c r="Y82" s="16"/>
      <c r="Z82" s="22">
        <f>IF(T82=0,0,X82/T82)</f>
        <v>-2.2291675822384684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14418.45</v>
      </c>
      <c r="E84" s="4"/>
      <c r="F84" s="12">
        <f>IF(D$12=0,0,D84/D$12)</f>
        <v>9.3195746456015596E-2</v>
      </c>
      <c r="G84" s="4"/>
      <c r="H84" s="4">
        <v>14552.45</v>
      </c>
      <c r="I84" s="4"/>
      <c r="J84" s="12">
        <f>IF(H$12=0,0,H84/H$12)</f>
        <v>9.4443613740160387E-2</v>
      </c>
      <c r="K84" s="4"/>
      <c r="L84" s="4">
        <f>+D84-H84</f>
        <v>-134</v>
      </c>
      <c r="M84" s="4"/>
      <c r="N84" s="12">
        <f>IF(H84=0,0,L84/H84)</f>
        <v>-9.2080714931162787E-3</v>
      </c>
      <c r="O84" s="10"/>
      <c r="P84" s="4">
        <v>32799.199999999997</v>
      </c>
      <c r="Q84" s="4"/>
      <c r="R84" s="12">
        <f>IF(P$12=0,0,P84/P$12)</f>
        <v>0.10066253831753133</v>
      </c>
      <c r="S84" s="4"/>
      <c r="T84" s="4">
        <v>26463.56</v>
      </c>
      <c r="U84" s="4"/>
      <c r="V84" s="12">
        <f>IF(T$12=0,0,T84/T$12)</f>
        <v>9.1839792562997846E-2</v>
      </c>
      <c r="W84" s="4"/>
      <c r="X84" s="4">
        <f>+P84-T84</f>
        <v>6335.6399999999958</v>
      </c>
      <c r="Y84" s="4"/>
      <c r="Z84" s="12">
        <f>IF(T84=0,0,X84/T84)</f>
        <v>0.23940996600608519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4</v>
      </c>
      <c r="C86" s="28"/>
      <c r="D86" s="31">
        <f>+D82-D84</f>
        <v>19193.410000000073</v>
      </c>
      <c r="E86" s="14"/>
      <c r="F86" s="34">
        <f>IF(D$12=0,0,D86/D$12)</f>
        <v>0.12405939417804002</v>
      </c>
      <c r="G86" s="14"/>
      <c r="H86" s="31">
        <f>+H82-H84</f>
        <v>18045.939999999955</v>
      </c>
      <c r="I86" s="14"/>
      <c r="J86" s="34">
        <f>IF(H$12=0,0,H86/H$12)</f>
        <v>0.1171159349070504</v>
      </c>
      <c r="K86" s="16"/>
      <c r="L86" s="31">
        <f>D86-H86</f>
        <v>1147.4700000001176</v>
      </c>
      <c r="M86" s="16"/>
      <c r="N86" s="34">
        <f>IF(H86=0,0,L86/H86)</f>
        <v>6.358604760960751E-2</v>
      </c>
      <c r="O86" s="29"/>
      <c r="P86" s="31">
        <f>+P82-P84</f>
        <v>-58251.019999999946</v>
      </c>
      <c r="Q86" s="14"/>
      <c r="R86" s="34">
        <f>IF(P$12=0,0,P86/P$12)</f>
        <v>-0.17877556564749381</v>
      </c>
      <c r="S86" s="14"/>
      <c r="T86" s="31">
        <f>+T82-T84</f>
        <v>-5757.010000000013</v>
      </c>
      <c r="U86" s="14"/>
      <c r="V86" s="34">
        <f>IF(T$12=0,0,T86/T$12)</f>
        <v>-1.9979269765031817E-2</v>
      </c>
      <c r="W86" s="16"/>
      <c r="X86" s="31">
        <f>P86-T86</f>
        <v>-52494.009999999937</v>
      </c>
      <c r="Y86" s="16"/>
      <c r="Z86" s="34">
        <f>IF(T86=0,0,X86/T86)</f>
        <v>9.1182766748711259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5</v>
      </c>
      <c r="C89" s="28"/>
      <c r="D89" s="36">
        <f>SUM(D86:D88)</f>
        <v>19193.410000000073</v>
      </c>
      <c r="E89" s="14"/>
      <c r="F89" s="33">
        <f>IF(D$12=0,0,D89/D$12)</f>
        <v>0.12405939417804002</v>
      </c>
      <c r="G89" s="14"/>
      <c r="H89" s="36">
        <f>SUM(H86:H88)</f>
        <v>18045.939999999955</v>
      </c>
      <c r="I89" s="14"/>
      <c r="J89" s="33">
        <f>IF(H$12=0,0,H89/H$12)</f>
        <v>0.1171159349070504</v>
      </c>
      <c r="K89" s="16"/>
      <c r="L89" s="36">
        <f>+D89-H89</f>
        <v>1147.4700000001176</v>
      </c>
      <c r="M89" s="16"/>
      <c r="N89" s="33">
        <f>IF(H89=0,0,L89/H89)</f>
        <v>6.358604760960751E-2</v>
      </c>
      <c r="O89" s="29"/>
      <c r="P89" s="36">
        <f>SUM(P86:P88)</f>
        <v>-58251.019999999946</v>
      </c>
      <c r="Q89" s="14"/>
      <c r="R89" s="33">
        <f>IF(P$12=0,0,P89/P$12)</f>
        <v>-0.17877556564749381</v>
      </c>
      <c r="S89" s="14"/>
      <c r="T89" s="36">
        <f>SUM(T86:T88)</f>
        <v>-5757.010000000013</v>
      </c>
      <c r="U89" s="14"/>
      <c r="V89" s="33">
        <f>IF(T$12=0,0,T89/T$12)</f>
        <v>-1.9979269765031817E-2</v>
      </c>
      <c r="W89" s="16"/>
      <c r="X89" s="36">
        <f>+P89-T89</f>
        <v>-52494.009999999937</v>
      </c>
      <c r="Y89" s="16"/>
      <c r="Z89" s="33">
        <f>IF(T89=0,0,X89/T89)</f>
        <v>9.1182766748711259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61">
        <v>43791.355531516201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6" t="s">
        <v>313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7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","406", " - ", "OPA! Greek")</f>
        <v>Department 406 - OPA! Greek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43350.97</v>
      </c>
      <c r="E12" s="4"/>
      <c r="F12" s="12"/>
      <c r="G12" s="4"/>
      <c r="H12" s="4">
        <f>SUM(OSRRefH13x_0)</f>
        <v>40825.71</v>
      </c>
      <c r="I12" s="4"/>
      <c r="J12" s="12"/>
      <c r="K12" s="4"/>
      <c r="L12" s="4">
        <f t="shared" ref="L12:L14" si="0">+D12-H12</f>
        <v>2525.260000000002</v>
      </c>
      <c r="M12" s="4"/>
      <c r="N12" s="12">
        <f t="shared" ref="N12:N14" si="1">IF(H12=0,0,L12/H12)</f>
        <v>6.1854649925255488E-2</v>
      </c>
      <c r="O12" s="10"/>
      <c r="P12" s="4">
        <f>SUM(OSRRefP13x_0)</f>
        <v>99092.28</v>
      </c>
      <c r="Q12" s="4"/>
      <c r="R12" s="12"/>
      <c r="S12" s="4"/>
      <c r="T12" s="4">
        <f>SUM(OSRRefT13x_0)</f>
        <v>90469.05</v>
      </c>
      <c r="U12" s="4"/>
      <c r="V12" s="12"/>
      <c r="W12" s="4"/>
      <c r="X12" s="4">
        <f t="shared" ref="X12:X14" si="2">+P12-T12</f>
        <v>8623.2299999999959</v>
      </c>
      <c r="Y12" s="4"/>
      <c r="Z12" s="12">
        <f t="shared" ref="Z12:Z14" si="3">IF(T12=0,0,X12/T12)</f>
        <v>9.5316906721138281E-2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--10152.62</f>
        <v>10152.620000000001</v>
      </c>
      <c r="E13" s="2"/>
      <c r="F13" s="19"/>
      <c r="G13" s="2"/>
      <c r="H13" s="2">
        <f>--12514.92</f>
        <v>12514.92</v>
      </c>
      <c r="I13" s="2"/>
      <c r="J13" s="19"/>
      <c r="K13" s="2"/>
      <c r="L13" s="2">
        <f t="shared" si="0"/>
        <v>-2362.2999999999993</v>
      </c>
      <c r="M13" s="2"/>
      <c r="N13" s="19">
        <f t="shared" si="1"/>
        <v>-0.18875869761852246</v>
      </c>
      <c r="O13" s="11"/>
      <c r="P13" s="2">
        <f>--24641.87</f>
        <v>24641.87</v>
      </c>
      <c r="Q13" s="2"/>
      <c r="R13" s="19"/>
      <c r="S13" s="2"/>
      <c r="T13" s="2">
        <f>--25912.29</f>
        <v>25912.29</v>
      </c>
      <c r="U13" s="2"/>
      <c r="V13" s="19"/>
      <c r="W13" s="2"/>
      <c r="X13" s="2">
        <f t="shared" si="2"/>
        <v>-1270.4200000000019</v>
      </c>
      <c r="Y13" s="2"/>
      <c r="Z13" s="19">
        <f t="shared" si="3"/>
        <v>-4.902770075512438E-2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--33198.35</f>
        <v>33198.35</v>
      </c>
      <c r="E14" s="2"/>
      <c r="F14" s="19"/>
      <c r="G14" s="2"/>
      <c r="H14" s="2">
        <f>--28310.79</f>
        <v>28310.79</v>
      </c>
      <c r="I14" s="2"/>
      <c r="J14" s="19"/>
      <c r="K14" s="2"/>
      <c r="L14" s="2">
        <f t="shared" si="0"/>
        <v>4887.5599999999977</v>
      </c>
      <c r="M14" s="2"/>
      <c r="N14" s="19">
        <f t="shared" si="1"/>
        <v>0.17263947773975921</v>
      </c>
      <c r="O14" s="11"/>
      <c r="P14" s="2">
        <f>--74450.41</f>
        <v>74450.41</v>
      </c>
      <c r="Q14" s="2"/>
      <c r="R14" s="19"/>
      <c r="S14" s="2"/>
      <c r="T14" s="2">
        <f>--64556.76</f>
        <v>64556.76</v>
      </c>
      <c r="U14" s="2"/>
      <c r="V14" s="19"/>
      <c r="W14" s="2"/>
      <c r="X14" s="2">
        <f t="shared" si="2"/>
        <v>9893.6500000000015</v>
      </c>
      <c r="Y14" s="2"/>
      <c r="Z14" s="19">
        <f t="shared" si="3"/>
        <v>0.15325505802955416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14893.62</v>
      </c>
      <c r="E16" s="4"/>
      <c r="F16" s="12">
        <f t="shared" ref="F16:F18" si="4">IF(D$12=0,0,D16/D$12)</f>
        <v>0.34355909452545125</v>
      </c>
      <c r="G16" s="4"/>
      <c r="H16" s="4">
        <f>SUM(OSRRefH16x_0)</f>
        <v>13064.22</v>
      </c>
      <c r="I16" s="4"/>
      <c r="J16" s="12">
        <f t="shared" ref="J16:J18" si="5">IF(H$12=0,0,H16/H$12)</f>
        <v>0.31999982364054413</v>
      </c>
      <c r="K16" s="4"/>
      <c r="L16" s="4">
        <f t="shared" ref="L16:L18" si="6">+D16-H16</f>
        <v>1829.4000000000015</v>
      </c>
      <c r="M16" s="4"/>
      <c r="N16" s="12">
        <f t="shared" ref="N16:N18" si="7">IF(H16=0,0,L16/H16)</f>
        <v>0.14003132219145129</v>
      </c>
      <c r="O16" s="10"/>
      <c r="P16" s="4">
        <f>SUM(OSRRefP16x_0)</f>
        <v>33639.449999999997</v>
      </c>
      <c r="Q16" s="4"/>
      <c r="R16" s="12">
        <f t="shared" ref="R16:R18" si="8">IF(P$12=0,0,P16/P$12)</f>
        <v>0.33947599146976937</v>
      </c>
      <c r="S16" s="4"/>
      <c r="T16" s="4">
        <f>SUM(OSRRefT16x_0)</f>
        <v>28950.199999999997</v>
      </c>
      <c r="U16" s="4"/>
      <c r="V16" s="12">
        <f t="shared" ref="V16:V18" si="9">IF(T$12=0,0,T16/T$12)</f>
        <v>0.320001149564409</v>
      </c>
      <c r="W16" s="4"/>
      <c r="X16" s="4">
        <f t="shared" ref="X16:X18" si="10">+P16-T16</f>
        <v>4689.25</v>
      </c>
      <c r="Y16" s="4"/>
      <c r="Z16" s="12">
        <f t="shared" ref="Z16:Z18" si="11">IF(T16=0,0,X16/T16)</f>
        <v>0.16197642848754068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14933.62</v>
      </c>
      <c r="E17" s="2"/>
      <c r="F17" s="19">
        <f t="shared" si="4"/>
        <v>0.34448179590906503</v>
      </c>
      <c r="G17" s="2"/>
      <c r="H17" s="2">
        <v>13195.22</v>
      </c>
      <c r="I17" s="2"/>
      <c r="J17" s="19">
        <f t="shared" si="5"/>
        <v>0.3232085859621302</v>
      </c>
      <c r="K17" s="2"/>
      <c r="L17" s="2">
        <f t="shared" si="6"/>
        <v>1738.4000000000015</v>
      </c>
      <c r="M17" s="2"/>
      <c r="N17" s="19">
        <f t="shared" si="7"/>
        <v>0.13174467723918218</v>
      </c>
      <c r="O17" s="11"/>
      <c r="P17" s="2">
        <v>37764.449999999997</v>
      </c>
      <c r="Q17" s="2"/>
      <c r="R17" s="19">
        <f t="shared" si="8"/>
        <v>0.38110385592096574</v>
      </c>
      <c r="S17" s="2"/>
      <c r="T17" s="2">
        <v>33072.199999999997</v>
      </c>
      <c r="U17" s="2"/>
      <c r="V17" s="19">
        <f t="shared" si="9"/>
        <v>0.36556369277670092</v>
      </c>
      <c r="W17" s="2"/>
      <c r="X17" s="2">
        <f t="shared" si="10"/>
        <v>4692.25</v>
      </c>
      <c r="Y17" s="2"/>
      <c r="Z17" s="19">
        <f t="shared" si="11"/>
        <v>0.14187897992876194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-40</v>
      </c>
      <c r="E18" s="2"/>
      <c r="F18" s="19">
        <f t="shared" si="4"/>
        <v>-9.2270138361379226E-4</v>
      </c>
      <c r="G18" s="2"/>
      <c r="H18" s="2">
        <v>-131</v>
      </c>
      <c r="I18" s="2"/>
      <c r="J18" s="19">
        <f t="shared" si="5"/>
        <v>-3.2087623215860789E-3</v>
      </c>
      <c r="K18" s="2"/>
      <c r="L18" s="2">
        <f t="shared" si="6"/>
        <v>91</v>
      </c>
      <c r="M18" s="2"/>
      <c r="N18" s="19">
        <f t="shared" si="7"/>
        <v>-0.69465648854961837</v>
      </c>
      <c r="O18" s="11"/>
      <c r="P18" s="2">
        <v>-4125</v>
      </c>
      <c r="Q18" s="2"/>
      <c r="R18" s="19">
        <f t="shared" si="8"/>
        <v>-4.16278644511964E-2</v>
      </c>
      <c r="S18" s="2"/>
      <c r="T18" s="2">
        <v>-4122</v>
      </c>
      <c r="U18" s="2"/>
      <c r="V18" s="19">
        <f t="shared" si="9"/>
        <v>-4.5562543212291938E-2</v>
      </c>
      <c r="W18" s="2"/>
      <c r="X18" s="2">
        <f t="shared" si="10"/>
        <v>-3</v>
      </c>
      <c r="Y18" s="2"/>
      <c r="Z18" s="19">
        <f t="shared" si="11"/>
        <v>7.27802037845706E-4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28457.35</v>
      </c>
      <c r="E20" s="14"/>
      <c r="F20" s="22">
        <f>IF(D$12=0,0,D20/D$12)</f>
        <v>0.6564409054745487</v>
      </c>
      <c r="G20" s="14"/>
      <c r="H20" s="21">
        <f>H12-H16</f>
        <v>27761.489999999998</v>
      </c>
      <c r="I20" s="14"/>
      <c r="J20" s="22">
        <f>IF(H$12=0,0,H20/H$12)</f>
        <v>0.68000017635945575</v>
      </c>
      <c r="K20" s="16"/>
      <c r="L20" s="21">
        <f>+D20-H20</f>
        <v>695.86000000000058</v>
      </c>
      <c r="M20" s="16"/>
      <c r="N20" s="22">
        <f>IF(H20=0,0,L20/H20)</f>
        <v>2.5065657498931096E-2</v>
      </c>
      <c r="O20" s="29"/>
      <c r="P20" s="21">
        <f>P12-P16</f>
        <v>65452.83</v>
      </c>
      <c r="Q20" s="14"/>
      <c r="R20" s="22">
        <f>IF(P$12=0,0,P20/P$12)</f>
        <v>0.66052400853023063</v>
      </c>
      <c r="S20" s="14"/>
      <c r="T20" s="21">
        <f>T12-T16</f>
        <v>61518.850000000006</v>
      </c>
      <c r="U20" s="14"/>
      <c r="V20" s="22">
        <f>IF(T$12=0,0,T20/T$12)</f>
        <v>0.67999885043559105</v>
      </c>
      <c r="W20" s="16"/>
      <c r="X20" s="21">
        <f>+P20-T20</f>
        <v>3933.9799999999959</v>
      </c>
      <c r="Y20" s="16"/>
      <c r="Z20" s="22">
        <f>IF(T20=0,0,X20/T20)</f>
        <v>6.3947554286206507E-2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29349.58</v>
      </c>
      <c r="E22" s="20"/>
      <c r="F22" s="35">
        <f t="shared" ref="F22:F31" si="12">IF(D$12=0,0,D22/D$12)</f>
        <v>0.6770224518620922</v>
      </c>
      <c r="G22" s="20"/>
      <c r="H22" s="20">
        <f>SUM(OSRRefH22x_0)</f>
        <v>26263.42</v>
      </c>
      <c r="I22" s="20"/>
      <c r="J22" s="35">
        <f t="shared" ref="J22:J31" si="13">IF(H$12=0,0,H22/H$12)</f>
        <v>0.64330589719076525</v>
      </c>
      <c r="K22" s="4"/>
      <c r="L22" s="20">
        <f t="shared" ref="L22:L31" si="14">+D22-H22</f>
        <v>3086.1600000000035</v>
      </c>
      <c r="M22" s="4"/>
      <c r="N22" s="35">
        <f t="shared" ref="N22:N31" si="15">IF(H22=0,0,L22/H22)</f>
        <v>0.11750792547200645</v>
      </c>
      <c r="O22" s="10"/>
      <c r="P22" s="20">
        <f>SUM(OSRRefP22x_0)</f>
        <v>88431.080000000031</v>
      </c>
      <c r="Q22" s="20"/>
      <c r="R22" s="35">
        <f t="shared" ref="R22:R31" si="16">IF(P$12=0,0,P22/P$12)</f>
        <v>0.89241139673040148</v>
      </c>
      <c r="S22" s="20"/>
      <c r="T22" s="20">
        <f>SUM(OSRRefT22x_0)</f>
        <v>71142.170000000013</v>
      </c>
      <c r="U22" s="20"/>
      <c r="V22" s="35">
        <f t="shared" ref="V22:V31" si="17">IF(T$12=0,0,T22/T$12)</f>
        <v>0.78637025590519638</v>
      </c>
      <c r="W22" s="4"/>
      <c r="X22" s="20">
        <f t="shared" ref="X22:X31" si="18">+P22-T22</f>
        <v>17288.910000000018</v>
      </c>
      <c r="Y22" s="4"/>
      <c r="Z22" s="35">
        <f t="shared" ref="Z22:Z31" si="19">IF(T22=0,0,X22/T22)</f>
        <v>0.24301915446211458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2646.1299999999997</v>
      </c>
      <c r="E23" s="1"/>
      <c r="F23" s="5">
        <f t="shared" si="12"/>
        <v>6.1039695305549091E-2</v>
      </c>
      <c r="G23" s="1"/>
      <c r="H23" s="1">
        <f>SUM(OSRRefH22_0x_0)</f>
        <v>3675.4600000000005</v>
      </c>
      <c r="I23" s="1"/>
      <c r="J23" s="5">
        <f t="shared" si="13"/>
        <v>9.0028072996158559E-2</v>
      </c>
      <c r="K23" s="1"/>
      <c r="L23" s="1">
        <f t="shared" si="14"/>
        <v>-1029.3300000000008</v>
      </c>
      <c r="M23" s="1"/>
      <c r="N23" s="5">
        <f t="shared" si="15"/>
        <v>-0.28005474144732923</v>
      </c>
      <c r="O23" s="13"/>
      <c r="P23" s="1">
        <f>SUM(OSRRefP22_0x_0)</f>
        <v>8649.16</v>
      </c>
      <c r="Q23" s="1"/>
      <c r="R23" s="5">
        <f t="shared" si="16"/>
        <v>8.728389335677815E-2</v>
      </c>
      <c r="S23" s="1"/>
      <c r="T23" s="1">
        <f>SUM(OSRRefT22_0x_0)</f>
        <v>8129.19</v>
      </c>
      <c r="U23" s="1"/>
      <c r="V23" s="5">
        <f t="shared" si="17"/>
        <v>8.9856033638023164E-2</v>
      </c>
      <c r="W23" s="1"/>
      <c r="X23" s="1">
        <f t="shared" si="18"/>
        <v>519.97000000000025</v>
      </c>
      <c r="Y23" s="1"/>
      <c r="Z23" s="5">
        <f t="shared" si="19"/>
        <v>6.396332229902367E-2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1471.27</v>
      </c>
      <c r="E24" s="2"/>
      <c r="F24" s="7">
        <f t="shared" si="12"/>
        <v>3.39385716167366E-2</v>
      </c>
      <c r="G24" s="2"/>
      <c r="H24" s="6">
        <v>1097.76</v>
      </c>
      <c r="I24" s="2"/>
      <c r="J24" s="7">
        <f t="shared" si="13"/>
        <v>2.6888938367514E-2</v>
      </c>
      <c r="K24" s="2"/>
      <c r="L24" s="6">
        <f t="shared" si="14"/>
        <v>373.51</v>
      </c>
      <c r="M24" s="2"/>
      <c r="N24" s="7">
        <f t="shared" si="15"/>
        <v>0.34024741291356947</v>
      </c>
      <c r="O24" s="11"/>
      <c r="P24" s="6">
        <v>3192.23</v>
      </c>
      <c r="Q24" s="2"/>
      <c r="R24" s="7">
        <f t="shared" si="16"/>
        <v>3.2214719451404285E-2</v>
      </c>
      <c r="S24" s="2"/>
      <c r="T24" s="6">
        <v>2402.9299999999998</v>
      </c>
      <c r="U24" s="2"/>
      <c r="V24" s="7">
        <f t="shared" si="17"/>
        <v>2.6560796205995309E-2</v>
      </c>
      <c r="W24" s="2"/>
      <c r="X24" s="6">
        <f t="shared" si="18"/>
        <v>789.30000000000018</v>
      </c>
      <c r="Y24" s="2"/>
      <c r="Z24" s="7">
        <f t="shared" si="19"/>
        <v>0.32847398800630906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25.87</v>
      </c>
      <c r="E25" s="2"/>
      <c r="F25" s="7">
        <f t="shared" si="12"/>
        <v>5.9675711985222011E-4</v>
      </c>
      <c r="G25" s="2"/>
      <c r="H25" s="6">
        <v>1062.1400000000001</v>
      </c>
      <c r="I25" s="2"/>
      <c r="J25" s="7">
        <f t="shared" si="13"/>
        <v>2.6016448948468995E-2</v>
      </c>
      <c r="K25" s="2"/>
      <c r="L25" s="6">
        <f t="shared" si="14"/>
        <v>-1036.2700000000002</v>
      </c>
      <c r="M25" s="2"/>
      <c r="N25" s="7">
        <f t="shared" si="15"/>
        <v>-0.97564351215470668</v>
      </c>
      <c r="O25" s="11"/>
      <c r="P25" s="6">
        <v>1270.69</v>
      </c>
      <c r="Q25" s="2"/>
      <c r="R25" s="7">
        <f t="shared" si="16"/>
        <v>1.2823299655634123E-2</v>
      </c>
      <c r="S25" s="2"/>
      <c r="T25" s="6">
        <v>1520.68</v>
      </c>
      <c r="U25" s="2"/>
      <c r="V25" s="7">
        <f t="shared" si="17"/>
        <v>1.6808842361006333E-2</v>
      </c>
      <c r="W25" s="2"/>
      <c r="X25" s="6">
        <f t="shared" si="18"/>
        <v>-249.99</v>
      </c>
      <c r="Y25" s="2"/>
      <c r="Z25" s="7">
        <f t="shared" si="19"/>
        <v>-0.16439356077544257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34.97</v>
      </c>
      <c r="E26" s="2"/>
      <c r="F26" s="7">
        <f t="shared" si="12"/>
        <v>8.0667168462435787E-4</v>
      </c>
      <c r="G26" s="2"/>
      <c r="H26" s="6">
        <v>31.65</v>
      </c>
      <c r="I26" s="2"/>
      <c r="J26" s="7">
        <f t="shared" si="13"/>
        <v>7.7524677464274345E-4</v>
      </c>
      <c r="K26" s="2"/>
      <c r="L26" s="6">
        <f t="shared" si="14"/>
        <v>3.3200000000000003</v>
      </c>
      <c r="M26" s="2"/>
      <c r="N26" s="7">
        <f t="shared" si="15"/>
        <v>0.10489731437598737</v>
      </c>
      <c r="O26" s="11"/>
      <c r="P26" s="6">
        <v>139.88</v>
      </c>
      <c r="Q26" s="2"/>
      <c r="R26" s="7">
        <f t="shared" si="16"/>
        <v>1.4116134980444491E-3</v>
      </c>
      <c r="S26" s="2"/>
      <c r="T26" s="6">
        <v>125.63</v>
      </c>
      <c r="U26" s="2"/>
      <c r="V26" s="7">
        <f t="shared" si="17"/>
        <v>1.3886516991169907E-3</v>
      </c>
      <c r="W26" s="2"/>
      <c r="X26" s="6">
        <f t="shared" si="18"/>
        <v>14.25</v>
      </c>
      <c r="Y26" s="2"/>
      <c r="Z26" s="7">
        <f t="shared" si="19"/>
        <v>0.11342832126084534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52.24</v>
      </c>
      <c r="E27" s="2"/>
      <c r="F27" s="7">
        <f t="shared" si="12"/>
        <v>1.2050480069996127E-3</v>
      </c>
      <c r="G27" s="2"/>
      <c r="H27" s="6">
        <v>43.3</v>
      </c>
      <c r="I27" s="2"/>
      <c r="J27" s="7">
        <f t="shared" si="13"/>
        <v>1.0606061719441008E-3</v>
      </c>
      <c r="K27" s="2"/>
      <c r="L27" s="6">
        <f t="shared" si="14"/>
        <v>8.9400000000000048</v>
      </c>
      <c r="M27" s="2"/>
      <c r="N27" s="7">
        <f t="shared" si="15"/>
        <v>0.20646651270207864</v>
      </c>
      <c r="O27" s="11"/>
      <c r="P27" s="6">
        <v>135.65</v>
      </c>
      <c r="Q27" s="2"/>
      <c r="R27" s="7">
        <f t="shared" si="16"/>
        <v>1.3689260152254042E-3</v>
      </c>
      <c r="S27" s="2"/>
      <c r="T27" s="6">
        <v>112.96</v>
      </c>
      <c r="U27" s="2"/>
      <c r="V27" s="7">
        <f t="shared" si="17"/>
        <v>1.2486038042844485E-3</v>
      </c>
      <c r="W27" s="2"/>
      <c r="X27" s="6">
        <f t="shared" si="18"/>
        <v>22.690000000000012</v>
      </c>
      <c r="Y27" s="2"/>
      <c r="Z27" s="7">
        <f t="shared" si="19"/>
        <v>0.20086756373937689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315.45</v>
      </c>
      <c r="E28" s="2"/>
      <c r="F28" s="7">
        <f t="shared" si="12"/>
        <v>7.2766537865242686E-3</v>
      </c>
      <c r="G28" s="2"/>
      <c r="H28" s="6">
        <v>285.52</v>
      </c>
      <c r="I28" s="2"/>
      <c r="J28" s="7">
        <f t="shared" si="13"/>
        <v>6.9936321989256273E-3</v>
      </c>
      <c r="K28" s="2"/>
      <c r="L28" s="6">
        <f t="shared" si="14"/>
        <v>29.930000000000007</v>
      </c>
      <c r="M28" s="2"/>
      <c r="N28" s="7">
        <f t="shared" si="15"/>
        <v>0.10482628187167277</v>
      </c>
      <c r="O28" s="11"/>
      <c r="P28" s="6">
        <v>1261.8</v>
      </c>
      <c r="Q28" s="2"/>
      <c r="R28" s="7">
        <f t="shared" si="16"/>
        <v>1.2733585300489604E-2</v>
      </c>
      <c r="S28" s="2"/>
      <c r="T28" s="6">
        <v>1230.25</v>
      </c>
      <c r="U28" s="2"/>
      <c r="V28" s="7">
        <f t="shared" si="17"/>
        <v>1.3598573213712313E-2</v>
      </c>
      <c r="W28" s="2"/>
      <c r="X28" s="6">
        <f t="shared" si="18"/>
        <v>31.549999999999955</v>
      </c>
      <c r="Y28" s="2"/>
      <c r="Z28" s="7">
        <f t="shared" si="19"/>
        <v>2.5645194066246661E-2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260.82</v>
      </c>
      <c r="E29" s="2"/>
      <c r="F29" s="7">
        <f t="shared" si="12"/>
        <v>6.0164743718537318E-3</v>
      </c>
      <c r="G29" s="2"/>
      <c r="H29" s="6">
        <v>315.29000000000002</v>
      </c>
      <c r="I29" s="2"/>
      <c r="J29" s="7">
        <f t="shared" si="13"/>
        <v>7.7228295600982816E-3</v>
      </c>
      <c r="K29" s="2"/>
      <c r="L29" s="6">
        <f t="shared" si="14"/>
        <v>-54.470000000000027</v>
      </c>
      <c r="M29" s="2"/>
      <c r="N29" s="7">
        <f t="shared" si="15"/>
        <v>-0.17276158457293292</v>
      </c>
      <c r="O29" s="11"/>
      <c r="P29" s="6">
        <v>852.41</v>
      </c>
      <c r="Q29" s="2"/>
      <c r="R29" s="7">
        <f t="shared" si="16"/>
        <v>8.6021837422652903E-3</v>
      </c>
      <c r="S29" s="2"/>
      <c r="T29" s="6">
        <v>811.07</v>
      </c>
      <c r="U29" s="2"/>
      <c r="V29" s="7">
        <f t="shared" si="17"/>
        <v>8.9651654350299918E-3</v>
      </c>
      <c r="W29" s="2"/>
      <c r="X29" s="6">
        <f t="shared" si="18"/>
        <v>41.339999999999918</v>
      </c>
      <c r="Y29" s="2"/>
      <c r="Z29" s="7">
        <f t="shared" si="19"/>
        <v>5.096970668376332E-2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312.45</v>
      </c>
      <c r="E30" s="2"/>
      <c r="F30" s="7">
        <f t="shared" si="12"/>
        <v>7.2074511827532346E-3</v>
      </c>
      <c r="G30" s="2"/>
      <c r="H30" s="6">
        <v>690.45</v>
      </c>
      <c r="I30" s="2"/>
      <c r="J30" s="7">
        <f t="shared" si="13"/>
        <v>1.6912136984268002E-2</v>
      </c>
      <c r="K30" s="2"/>
      <c r="L30" s="6">
        <f t="shared" si="14"/>
        <v>-378.00000000000006</v>
      </c>
      <c r="M30" s="2"/>
      <c r="N30" s="7">
        <f t="shared" si="15"/>
        <v>-0.54746904192917667</v>
      </c>
      <c r="O30" s="11"/>
      <c r="P30" s="6">
        <v>1059.18</v>
      </c>
      <c r="Q30" s="2"/>
      <c r="R30" s="7">
        <f t="shared" si="16"/>
        <v>1.0688824598646838E-2</v>
      </c>
      <c r="S30" s="2"/>
      <c r="T30" s="6">
        <v>1328.21</v>
      </c>
      <c r="U30" s="2"/>
      <c r="V30" s="7">
        <f t="shared" si="17"/>
        <v>1.4681374459000068E-2</v>
      </c>
      <c r="W30" s="2"/>
      <c r="X30" s="6">
        <f t="shared" si="18"/>
        <v>-269.02999999999997</v>
      </c>
      <c r="Y30" s="2"/>
      <c r="Z30" s="7">
        <f t="shared" si="19"/>
        <v>-0.20255080145458923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173.06</v>
      </c>
      <c r="E31" s="2"/>
      <c r="F31" s="7">
        <f t="shared" si="12"/>
        <v>3.9920675362050718E-3</v>
      </c>
      <c r="G31" s="2"/>
      <c r="H31" s="6">
        <v>149.35</v>
      </c>
      <c r="I31" s="2"/>
      <c r="J31" s="7">
        <f t="shared" si="13"/>
        <v>3.6582339902968006E-3</v>
      </c>
      <c r="K31" s="2"/>
      <c r="L31" s="6">
        <f t="shared" si="14"/>
        <v>23.710000000000008</v>
      </c>
      <c r="M31" s="2"/>
      <c r="N31" s="7">
        <f t="shared" si="15"/>
        <v>0.15875460328088389</v>
      </c>
      <c r="O31" s="11"/>
      <c r="P31" s="6">
        <v>737.32</v>
      </c>
      <c r="Q31" s="2"/>
      <c r="R31" s="7">
        <f t="shared" si="16"/>
        <v>7.4407410950681529E-3</v>
      </c>
      <c r="S31" s="2"/>
      <c r="T31" s="6">
        <v>597.46</v>
      </c>
      <c r="U31" s="2"/>
      <c r="V31" s="7">
        <f t="shared" si="17"/>
        <v>6.6040264598777156E-3</v>
      </c>
      <c r="W31" s="2"/>
      <c r="X31" s="6">
        <f t="shared" si="18"/>
        <v>139.86000000000001</v>
      </c>
      <c r="Y31" s="2"/>
      <c r="Z31" s="7">
        <f t="shared" si="19"/>
        <v>0.23409098517055535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18973.2</v>
      </c>
      <c r="E32" s="1"/>
      <c r="F32" s="5">
        <f t="shared" ref="F32:F37" si="20">IF(D$12=0,0,D32/D$12)</f>
        <v>0.43766494728953009</v>
      </c>
      <c r="G32" s="1"/>
      <c r="H32" s="1">
        <f>SUM(OSRRefH22_1x_0)</f>
        <v>16766</v>
      </c>
      <c r="I32" s="1"/>
      <c r="J32" s="5">
        <f t="shared" ref="J32:J37" si="21">IF(H$12=0,0,H32/H$12)</f>
        <v>0.41067258842528398</v>
      </c>
      <c r="K32" s="1"/>
      <c r="L32" s="1">
        <f t="shared" ref="L32:L37" si="22">+D32-H32</f>
        <v>2207.2000000000007</v>
      </c>
      <c r="M32" s="1"/>
      <c r="N32" s="5">
        <f t="shared" ref="N32:N37" si="23">IF(H32=0,0,L32/H32)</f>
        <v>0.1316473816056305</v>
      </c>
      <c r="O32" s="13"/>
      <c r="P32" s="1">
        <f>SUM(OSRRefP22_1x_0)</f>
        <v>52950.320000000007</v>
      </c>
      <c r="Q32" s="1"/>
      <c r="R32" s="5">
        <f t="shared" ref="R32:R37" si="24">IF(P$12=0,0,P32/P$12)</f>
        <v>0.53435363481393316</v>
      </c>
      <c r="S32" s="1"/>
      <c r="T32" s="1">
        <f>SUM(OSRRefT22_1x_0)</f>
        <v>42146.619999999995</v>
      </c>
      <c r="U32" s="1"/>
      <c r="V32" s="5">
        <f t="shared" ref="V32:V37" si="25">IF(T$12=0,0,T32/T$12)</f>
        <v>0.46586782993742054</v>
      </c>
      <c r="W32" s="1"/>
      <c r="X32" s="1">
        <f t="shared" ref="X32:X37" si="26">+P32-T32</f>
        <v>10803.700000000012</v>
      </c>
      <c r="Y32" s="1"/>
      <c r="Z32" s="5">
        <f t="shared" ref="Z32:Z37" si="27">IF(T32=0,0,X32/T32)</f>
        <v>0.25633609527881507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5062.88</v>
      </c>
      <c r="E33" s="2"/>
      <c r="F33" s="7">
        <f t="shared" si="20"/>
        <v>0.11678815952676491</v>
      </c>
      <c r="G33" s="2"/>
      <c r="H33" s="6">
        <v>5569.25</v>
      </c>
      <c r="I33" s="2"/>
      <c r="J33" s="7">
        <f t="shared" si="21"/>
        <v>0.13641526381292574</v>
      </c>
      <c r="K33" s="2"/>
      <c r="L33" s="6">
        <f t="shared" si="22"/>
        <v>-506.36999999999989</v>
      </c>
      <c r="M33" s="2"/>
      <c r="N33" s="7">
        <f t="shared" si="23"/>
        <v>-9.0922476096422303E-2</v>
      </c>
      <c r="O33" s="11"/>
      <c r="P33" s="6">
        <v>18589.75</v>
      </c>
      <c r="Q33" s="2"/>
      <c r="R33" s="7">
        <f t="shared" si="24"/>
        <v>0.18760038622584929</v>
      </c>
      <c r="S33" s="2"/>
      <c r="T33" s="6">
        <v>17643.12</v>
      </c>
      <c r="U33" s="2"/>
      <c r="V33" s="7">
        <f t="shared" si="25"/>
        <v>0.19501829631238526</v>
      </c>
      <c r="W33" s="2"/>
      <c r="X33" s="6">
        <f t="shared" si="26"/>
        <v>946.63000000000102</v>
      </c>
      <c r="Y33" s="2"/>
      <c r="Z33" s="7">
        <f t="shared" si="27"/>
        <v>5.3654342315871628E-2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8154.32</v>
      </c>
      <c r="E34" s="2"/>
      <c r="F34" s="7">
        <f t="shared" si="20"/>
        <v>0.18810005866074045</v>
      </c>
      <c r="G34" s="2"/>
      <c r="H34" s="6">
        <v>4185.5</v>
      </c>
      <c r="I34" s="2"/>
      <c r="J34" s="7">
        <f t="shared" si="21"/>
        <v>0.10252118089311858</v>
      </c>
      <c r="K34" s="2"/>
      <c r="L34" s="6">
        <f t="shared" si="22"/>
        <v>3968.8199999999997</v>
      </c>
      <c r="M34" s="2"/>
      <c r="N34" s="7">
        <f t="shared" si="23"/>
        <v>0.94823079679847089</v>
      </c>
      <c r="O34" s="11"/>
      <c r="P34" s="6">
        <v>17129.070000000003</v>
      </c>
      <c r="Q34" s="2"/>
      <c r="R34" s="7">
        <f t="shared" si="24"/>
        <v>0.17285978282061937</v>
      </c>
      <c r="S34" s="2"/>
      <c r="T34" s="6">
        <v>7868.25</v>
      </c>
      <c r="U34" s="2"/>
      <c r="V34" s="7">
        <f t="shared" si="25"/>
        <v>8.6971732321716649E-2</v>
      </c>
      <c r="W34" s="2"/>
      <c r="X34" s="6">
        <f t="shared" si="26"/>
        <v>9260.8200000000033</v>
      </c>
      <c r="Y34" s="2"/>
      <c r="Z34" s="7">
        <f t="shared" si="27"/>
        <v>1.176985987989706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>
        <v>110.5</v>
      </c>
      <c r="Q35" s="2"/>
      <c r="R35" s="7">
        <f t="shared" si="24"/>
        <v>1.1151221871168976E-3</v>
      </c>
      <c r="S35" s="2"/>
      <c r="T35" s="6"/>
      <c r="U35" s="2"/>
      <c r="V35" s="7">
        <f t="shared" si="25"/>
        <v>0</v>
      </c>
      <c r="W35" s="2"/>
      <c r="X35" s="6">
        <f t="shared" si="26"/>
        <v>110.5</v>
      </c>
      <c r="Y35" s="2"/>
      <c r="Z35" s="7">
        <f t="shared" si="27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5114</v>
      </c>
      <c r="E36" s="2"/>
      <c r="F36" s="7">
        <f t="shared" si="20"/>
        <v>0.11796737189502333</v>
      </c>
      <c r="G36" s="2"/>
      <c r="H36" s="6">
        <v>5034.5</v>
      </c>
      <c r="I36" s="2"/>
      <c r="J36" s="7">
        <f t="shared" si="21"/>
        <v>0.12331690006126042</v>
      </c>
      <c r="K36" s="2"/>
      <c r="L36" s="6">
        <f t="shared" si="22"/>
        <v>79.5</v>
      </c>
      <c r="M36" s="2"/>
      <c r="N36" s="7">
        <f t="shared" si="23"/>
        <v>1.5791041811500647E-2</v>
      </c>
      <c r="O36" s="11"/>
      <c r="P36" s="6">
        <v>15825</v>
      </c>
      <c r="Q36" s="2"/>
      <c r="R36" s="7">
        <f t="shared" si="24"/>
        <v>0.15969962544004437</v>
      </c>
      <c r="S36" s="2"/>
      <c r="T36" s="6">
        <v>13028.5</v>
      </c>
      <c r="U36" s="2"/>
      <c r="V36" s="7">
        <f t="shared" si="25"/>
        <v>0.1440105759925632</v>
      </c>
      <c r="W36" s="2"/>
      <c r="X36" s="6">
        <f t="shared" si="26"/>
        <v>2796.5</v>
      </c>
      <c r="Y36" s="2"/>
      <c r="Z36" s="7">
        <f t="shared" si="27"/>
        <v>0.21464481713167288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642</v>
      </c>
      <c r="E37" s="2"/>
      <c r="F37" s="7">
        <f t="shared" si="20"/>
        <v>1.4809357207001366E-2</v>
      </c>
      <c r="G37" s="2"/>
      <c r="H37" s="6">
        <v>1976.75</v>
      </c>
      <c r="I37" s="2"/>
      <c r="J37" s="7">
        <f t="shared" si="21"/>
        <v>4.8419243657979248E-2</v>
      </c>
      <c r="K37" s="2"/>
      <c r="L37" s="6">
        <f t="shared" si="22"/>
        <v>-1334.75</v>
      </c>
      <c r="M37" s="2"/>
      <c r="N37" s="7">
        <f t="shared" si="23"/>
        <v>-0.67522448463386875</v>
      </c>
      <c r="O37" s="11"/>
      <c r="P37" s="6">
        <v>1296</v>
      </c>
      <c r="Q37" s="2"/>
      <c r="R37" s="7">
        <f t="shared" si="24"/>
        <v>1.3078718140303159E-2</v>
      </c>
      <c r="S37" s="2"/>
      <c r="T37" s="6">
        <v>3606.75</v>
      </c>
      <c r="U37" s="2"/>
      <c r="V37" s="7">
        <f t="shared" si="25"/>
        <v>3.9867225310755448E-2</v>
      </c>
      <c r="W37" s="2"/>
      <c r="X37" s="6">
        <f t="shared" si="26"/>
        <v>-2310.75</v>
      </c>
      <c r="Y37" s="2"/>
      <c r="Z37" s="7">
        <f t="shared" si="27"/>
        <v>-0.64067373674360573</v>
      </c>
    </row>
    <row r="38" spans="1:26" s="27" customFormat="1" outlineLevel="1" collapsed="1" x14ac:dyDescent="0.25">
      <c r="A38" s="25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338.91</v>
      </c>
      <c r="E38" s="1"/>
      <c r="F38" s="5">
        <f t="shared" ref="F38:F53" si="28">IF(D$12=0,0,D38/D$12)</f>
        <v>7.8178181480137582E-3</v>
      </c>
      <c r="G38" s="1"/>
      <c r="H38" s="1">
        <f>SUM(OSRRefH22_2x_0)</f>
        <v>347.23</v>
      </c>
      <c r="I38" s="1"/>
      <c r="J38" s="5">
        <f t="shared" ref="J38:J53" si="29">IF(H$12=0,0,H38/H$12)</f>
        <v>8.5051797017124762E-3</v>
      </c>
      <c r="K38" s="1"/>
      <c r="L38" s="1">
        <f t="shared" ref="L38:L53" si="30">+D38-H38</f>
        <v>-8.3199999999999932</v>
      </c>
      <c r="M38" s="1"/>
      <c r="N38" s="5">
        <f t="shared" ref="N38:N53" si="31">IF(H38=0,0,L38/H38)</f>
        <v>-2.3961063272182684E-2</v>
      </c>
      <c r="O38" s="13"/>
      <c r="P38" s="1">
        <f>SUM(OSRRefP22_2x_0)</f>
        <v>898.23</v>
      </c>
      <c r="Q38" s="1"/>
      <c r="R38" s="5">
        <f t="shared" ref="R38:R53" si="32">IF(P$12=0,0,P38/P$12)</f>
        <v>9.0645810147874286E-3</v>
      </c>
      <c r="S38" s="1"/>
      <c r="T38" s="1">
        <f>SUM(OSRRefT22_2x_0)</f>
        <v>882.55</v>
      </c>
      <c r="U38" s="1"/>
      <c r="V38" s="5">
        <f t="shared" ref="V38:V53" si="33">IF(T$12=0,0,T38/T$12)</f>
        <v>9.7552698961689104E-3</v>
      </c>
      <c r="W38" s="1"/>
      <c r="X38" s="1">
        <f t="shared" ref="X38:X53" si="34">+P38-T38</f>
        <v>15.680000000000064</v>
      </c>
      <c r="Y38" s="1"/>
      <c r="Z38" s="5">
        <f t="shared" ref="Z38:Z53" si="35">IF(T38=0,0,X38/T38)</f>
        <v>1.7766698770607971E-2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>
        <v>338.91</v>
      </c>
      <c r="E39" s="2"/>
      <c r="F39" s="7">
        <f t="shared" si="28"/>
        <v>7.8178181480137582E-3</v>
      </c>
      <c r="G39" s="2"/>
      <c r="H39" s="6">
        <v>347.23</v>
      </c>
      <c r="I39" s="2"/>
      <c r="J39" s="7">
        <f t="shared" si="29"/>
        <v>8.5051797017124762E-3</v>
      </c>
      <c r="K39" s="2"/>
      <c r="L39" s="6">
        <f t="shared" si="30"/>
        <v>-8.3199999999999932</v>
      </c>
      <c r="M39" s="2"/>
      <c r="N39" s="7">
        <f t="shared" si="31"/>
        <v>-2.3961063272182684E-2</v>
      </c>
      <c r="O39" s="11"/>
      <c r="P39" s="6">
        <v>898.23</v>
      </c>
      <c r="Q39" s="2"/>
      <c r="R39" s="7">
        <f t="shared" si="32"/>
        <v>9.0645810147874286E-3</v>
      </c>
      <c r="S39" s="2"/>
      <c r="T39" s="6">
        <v>882.55</v>
      </c>
      <c r="U39" s="2"/>
      <c r="V39" s="7">
        <f t="shared" si="33"/>
        <v>9.7552698961689104E-3</v>
      </c>
      <c r="W39" s="2"/>
      <c r="X39" s="6">
        <f t="shared" si="34"/>
        <v>15.680000000000064</v>
      </c>
      <c r="Y39" s="2"/>
      <c r="Z39" s="7">
        <f t="shared" si="35"/>
        <v>1.7766698770607971E-2</v>
      </c>
    </row>
    <row r="40" spans="1:26" s="27" customFormat="1" outlineLevel="1" collapsed="1" x14ac:dyDescent="0.25">
      <c r="A40" s="25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6.9</v>
      </c>
      <c r="E40" s="1"/>
      <c r="F40" s="5">
        <f t="shared" si="28"/>
        <v>1.5916598867337918E-4</v>
      </c>
      <c r="G40" s="1"/>
      <c r="H40" s="1">
        <f>SUM(OSRRefH22_3x_0)</f>
        <v>-1.85</v>
      </c>
      <c r="I40" s="1"/>
      <c r="J40" s="5">
        <f t="shared" si="29"/>
        <v>-4.5314582404078218E-5</v>
      </c>
      <c r="K40" s="1"/>
      <c r="L40" s="1">
        <f t="shared" si="30"/>
        <v>8.75</v>
      </c>
      <c r="M40" s="1"/>
      <c r="N40" s="5">
        <f t="shared" si="31"/>
        <v>-4.7297297297297298</v>
      </c>
      <c r="O40" s="13"/>
      <c r="P40" s="1">
        <f>SUM(OSRRefP22_3x_0)</f>
        <v>-13.53</v>
      </c>
      <c r="Q40" s="1"/>
      <c r="R40" s="5">
        <f t="shared" si="32"/>
        <v>-1.3653939539992418E-4</v>
      </c>
      <c r="S40" s="1"/>
      <c r="T40" s="1">
        <f>SUM(OSRRefT22_3x_0)</f>
        <v>-51.34</v>
      </c>
      <c r="U40" s="1"/>
      <c r="V40" s="5">
        <f t="shared" si="33"/>
        <v>-5.6748689192602335E-4</v>
      </c>
      <c r="W40" s="1"/>
      <c r="X40" s="1">
        <f t="shared" si="34"/>
        <v>37.81</v>
      </c>
      <c r="Y40" s="1"/>
      <c r="Z40" s="5">
        <f t="shared" si="35"/>
        <v>-0.73646279703934558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6.9</v>
      </c>
      <c r="E41" s="2"/>
      <c r="F41" s="7">
        <f t="shared" si="28"/>
        <v>1.5916598867337918E-4</v>
      </c>
      <c r="G41" s="2"/>
      <c r="H41" s="6">
        <v>-1.85</v>
      </c>
      <c r="I41" s="2"/>
      <c r="J41" s="7">
        <f t="shared" si="29"/>
        <v>-4.5314582404078218E-5</v>
      </c>
      <c r="K41" s="2"/>
      <c r="L41" s="6">
        <f t="shared" si="30"/>
        <v>8.75</v>
      </c>
      <c r="M41" s="2"/>
      <c r="N41" s="7">
        <f t="shared" si="31"/>
        <v>-4.7297297297297298</v>
      </c>
      <c r="O41" s="11"/>
      <c r="P41" s="6">
        <v>-13.53</v>
      </c>
      <c r="Q41" s="2"/>
      <c r="R41" s="7">
        <f t="shared" si="32"/>
        <v>-1.3653939539992418E-4</v>
      </c>
      <c r="S41" s="2"/>
      <c r="T41" s="6">
        <v>-51.34</v>
      </c>
      <c r="U41" s="2"/>
      <c r="V41" s="7">
        <f t="shared" si="33"/>
        <v>-5.6748689192602335E-4</v>
      </c>
      <c r="W41" s="2"/>
      <c r="X41" s="6">
        <f t="shared" si="34"/>
        <v>37.81</v>
      </c>
      <c r="Y41" s="2"/>
      <c r="Z41" s="7">
        <f t="shared" si="35"/>
        <v>-0.73646279703934558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1626.78</v>
      </c>
      <c r="E42" s="1"/>
      <c r="F42" s="5">
        <f t="shared" si="28"/>
        <v>3.7525803920881125E-2</v>
      </c>
      <c r="G42" s="1"/>
      <c r="H42" s="1">
        <f>SUM(OSRRefH22_4x_0)</f>
        <v>1464.14</v>
      </c>
      <c r="I42" s="1"/>
      <c r="J42" s="5">
        <f t="shared" si="29"/>
        <v>3.5863185233030857E-2</v>
      </c>
      <c r="K42" s="1"/>
      <c r="L42" s="1">
        <f t="shared" si="30"/>
        <v>162.63999999999987</v>
      </c>
      <c r="M42" s="1"/>
      <c r="N42" s="5">
        <f t="shared" si="31"/>
        <v>0.11108227355307543</v>
      </c>
      <c r="O42" s="13"/>
      <c r="P42" s="1">
        <f>SUM(OSRRefP22_4x_0)</f>
        <v>3528.96</v>
      </c>
      <c r="Q42" s="1"/>
      <c r="R42" s="5">
        <f t="shared" si="32"/>
        <v>3.5612865099077344E-2</v>
      </c>
      <c r="S42" s="1"/>
      <c r="T42" s="1">
        <f>SUM(OSRRefT22_4x_0)</f>
        <v>3106.85</v>
      </c>
      <c r="U42" s="1"/>
      <c r="V42" s="5">
        <f t="shared" si="33"/>
        <v>3.4341578694592235E-2</v>
      </c>
      <c r="W42" s="1"/>
      <c r="X42" s="1">
        <f t="shared" si="34"/>
        <v>422.11000000000013</v>
      </c>
      <c r="Y42" s="1"/>
      <c r="Z42" s="5">
        <f t="shared" si="35"/>
        <v>0.13586429985354945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1626.78</v>
      </c>
      <c r="E43" s="2"/>
      <c r="F43" s="7">
        <f t="shared" si="28"/>
        <v>3.7525803920881125E-2</v>
      </c>
      <c r="G43" s="2"/>
      <c r="H43" s="6">
        <v>1464.14</v>
      </c>
      <c r="I43" s="2"/>
      <c r="J43" s="7">
        <f t="shared" si="29"/>
        <v>3.5863185233030857E-2</v>
      </c>
      <c r="K43" s="2"/>
      <c r="L43" s="6">
        <f t="shared" si="30"/>
        <v>162.63999999999987</v>
      </c>
      <c r="M43" s="2"/>
      <c r="N43" s="7">
        <f t="shared" si="31"/>
        <v>0.11108227355307543</v>
      </c>
      <c r="O43" s="11"/>
      <c r="P43" s="6">
        <v>3528.96</v>
      </c>
      <c r="Q43" s="2"/>
      <c r="R43" s="7">
        <f t="shared" si="32"/>
        <v>3.5612865099077344E-2</v>
      </c>
      <c r="S43" s="2"/>
      <c r="T43" s="6">
        <v>3106.85</v>
      </c>
      <c r="U43" s="2"/>
      <c r="V43" s="7">
        <f t="shared" si="33"/>
        <v>3.4341578694592235E-2</v>
      </c>
      <c r="W43" s="2"/>
      <c r="X43" s="6">
        <f t="shared" si="34"/>
        <v>422.11000000000013</v>
      </c>
      <c r="Y43" s="2"/>
      <c r="Z43" s="7">
        <f t="shared" si="35"/>
        <v>0.13586429985354945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2775.32</v>
      </c>
      <c r="E44" s="1"/>
      <c r="F44" s="5">
        <f t="shared" si="28"/>
        <v>6.4019790099275747E-2</v>
      </c>
      <c r="G44" s="1"/>
      <c r="H44" s="1">
        <f>SUM(OSRRefH22_5x_0)</f>
        <v>2776.01</v>
      </c>
      <c r="I44" s="1"/>
      <c r="J44" s="5">
        <f t="shared" si="29"/>
        <v>6.7996612918673066E-2</v>
      </c>
      <c r="K44" s="1"/>
      <c r="L44" s="1">
        <f t="shared" si="30"/>
        <v>-0.69000000000005457</v>
      </c>
      <c r="M44" s="1"/>
      <c r="N44" s="5">
        <f t="shared" si="31"/>
        <v>-2.4855818242731638E-4</v>
      </c>
      <c r="O44" s="13"/>
      <c r="P44" s="1">
        <f>SUM(OSRRefP22_5x_0)</f>
        <v>11101.28</v>
      </c>
      <c r="Q44" s="1"/>
      <c r="R44" s="5">
        <f t="shared" si="32"/>
        <v>0.11202971613934003</v>
      </c>
      <c r="S44" s="1"/>
      <c r="T44" s="1">
        <f>SUM(OSRRefT22_5x_0)</f>
        <v>11104.04</v>
      </c>
      <c r="U44" s="1"/>
      <c r="V44" s="5">
        <f t="shared" si="33"/>
        <v>0.12273854981344449</v>
      </c>
      <c r="W44" s="1"/>
      <c r="X44" s="1">
        <f t="shared" si="34"/>
        <v>-2.7600000000002183</v>
      </c>
      <c r="Y44" s="1"/>
      <c r="Z44" s="5">
        <f t="shared" si="35"/>
        <v>-2.4855818242731638E-4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2775.32</v>
      </c>
      <c r="E45" s="2"/>
      <c r="F45" s="7">
        <f t="shared" si="28"/>
        <v>6.4019790099275747E-2</v>
      </c>
      <c r="G45" s="2"/>
      <c r="H45" s="6">
        <v>2776.01</v>
      </c>
      <c r="I45" s="2"/>
      <c r="J45" s="7">
        <f t="shared" si="29"/>
        <v>6.7996612918673066E-2</v>
      </c>
      <c r="K45" s="2"/>
      <c r="L45" s="6">
        <f t="shared" si="30"/>
        <v>-0.69000000000005457</v>
      </c>
      <c r="M45" s="2"/>
      <c r="N45" s="7">
        <f t="shared" si="31"/>
        <v>-2.4855818242731638E-4</v>
      </c>
      <c r="O45" s="11"/>
      <c r="P45" s="6">
        <v>11101.28</v>
      </c>
      <c r="Q45" s="2"/>
      <c r="R45" s="7">
        <f t="shared" si="32"/>
        <v>0.11202971613934003</v>
      </c>
      <c r="S45" s="2"/>
      <c r="T45" s="6">
        <v>11104.04</v>
      </c>
      <c r="U45" s="2"/>
      <c r="V45" s="7">
        <f t="shared" si="33"/>
        <v>0.12273854981344449</v>
      </c>
      <c r="W45" s="2"/>
      <c r="X45" s="6">
        <f t="shared" si="34"/>
        <v>-2.7600000000002183</v>
      </c>
      <c r="Y45" s="2"/>
      <c r="Z45" s="7">
        <f t="shared" si="35"/>
        <v>-2.4855818242731638E-4</v>
      </c>
    </row>
    <row r="46" spans="1:26" s="27" customFormat="1" outlineLevel="1" collapsed="1" x14ac:dyDescent="0.25">
      <c r="A46" s="25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SUM(OSRRefD22_6x_0)</f>
        <v>253.02</v>
      </c>
      <c r="E46" s="1"/>
      <c r="F46" s="5">
        <f t="shared" si="28"/>
        <v>5.8365476020490427E-3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253.02</v>
      </c>
      <c r="M46" s="1"/>
      <c r="N46" s="5">
        <f t="shared" si="31"/>
        <v>0</v>
      </c>
      <c r="O46" s="13"/>
      <c r="P46" s="1">
        <f>SUM(OSRRefP22_6x_0)</f>
        <v>461.72</v>
      </c>
      <c r="Q46" s="1"/>
      <c r="R46" s="5">
        <f t="shared" si="32"/>
        <v>4.6594951695530674E-3</v>
      </c>
      <c r="S46" s="1"/>
      <c r="T46" s="1">
        <f>SUM(OSRRefT22_6x_0)</f>
        <v>0</v>
      </c>
      <c r="U46" s="1"/>
      <c r="V46" s="5">
        <f t="shared" si="33"/>
        <v>0</v>
      </c>
      <c r="W46" s="1"/>
      <c r="X46" s="1">
        <f t="shared" si="34"/>
        <v>461.72</v>
      </c>
      <c r="Y46" s="1"/>
      <c r="Z46" s="5">
        <f t="shared" si="35"/>
        <v>0</v>
      </c>
    </row>
    <row r="47" spans="1:26" s="24" customFormat="1" hidden="1" outlineLevel="2" x14ac:dyDescent="0.25">
      <c r="A47" s="26"/>
      <c r="B47" s="11" t="str">
        <f>CONCATENATE("          ", "6351", " - ", "EQUIPMENT RENTAL")</f>
        <v xml:space="preserve">          6351 - EQUIPMENT RENTAL</v>
      </c>
      <c r="C47" s="11"/>
      <c r="D47" s="6">
        <v>253.02</v>
      </c>
      <c r="E47" s="2"/>
      <c r="F47" s="7">
        <f t="shared" si="28"/>
        <v>5.8365476020490427E-3</v>
      </c>
      <c r="G47" s="2"/>
      <c r="H47" s="6"/>
      <c r="I47" s="2"/>
      <c r="J47" s="7">
        <f t="shared" si="29"/>
        <v>0</v>
      </c>
      <c r="K47" s="2"/>
      <c r="L47" s="6">
        <f t="shared" si="30"/>
        <v>253.02</v>
      </c>
      <c r="M47" s="2"/>
      <c r="N47" s="7">
        <f t="shared" si="31"/>
        <v>0</v>
      </c>
      <c r="O47" s="11"/>
      <c r="P47" s="6">
        <v>461.72</v>
      </c>
      <c r="Q47" s="2"/>
      <c r="R47" s="7">
        <f t="shared" si="32"/>
        <v>4.6594951695530674E-3</v>
      </c>
      <c r="S47" s="2"/>
      <c r="T47" s="6"/>
      <c r="U47" s="2"/>
      <c r="V47" s="7">
        <f t="shared" si="33"/>
        <v>0</v>
      </c>
      <c r="W47" s="2"/>
      <c r="X47" s="6">
        <f t="shared" si="34"/>
        <v>461.72</v>
      </c>
      <c r="Y47" s="2"/>
      <c r="Z47" s="7">
        <f t="shared" si="35"/>
        <v>0</v>
      </c>
    </row>
    <row r="48" spans="1:26" s="27" customFormat="1" outlineLevel="1" collapsed="1" x14ac:dyDescent="0.25">
      <c r="A48" s="25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SUM(OSRRefP22_7x_0)</f>
        <v>749.55</v>
      </c>
      <c r="Q48" s="1"/>
      <c r="R48" s="5">
        <f t="shared" si="32"/>
        <v>7.5641614059137599E-3</v>
      </c>
      <c r="S48" s="1"/>
      <c r="T48" s="1">
        <f>SUM(OSRRefT22_7x_0)</f>
        <v>769.2</v>
      </c>
      <c r="U48" s="1"/>
      <c r="V48" s="5">
        <f t="shared" si="33"/>
        <v>8.5023552253505486E-3</v>
      </c>
      <c r="W48" s="1"/>
      <c r="X48" s="1">
        <f t="shared" si="34"/>
        <v>-19.650000000000091</v>
      </c>
      <c r="Y48" s="1"/>
      <c r="Z48" s="5">
        <f t="shared" si="35"/>
        <v>-2.5546021840873751E-2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749.55</v>
      </c>
      <c r="Q49" s="2"/>
      <c r="R49" s="7">
        <f t="shared" si="32"/>
        <v>7.5641614059137599E-3</v>
      </c>
      <c r="S49" s="2"/>
      <c r="T49" s="6">
        <v>769.2</v>
      </c>
      <c r="U49" s="2"/>
      <c r="V49" s="7">
        <f t="shared" si="33"/>
        <v>8.5023552253505486E-3</v>
      </c>
      <c r="W49" s="2"/>
      <c r="X49" s="6">
        <f t="shared" si="34"/>
        <v>-19.650000000000091</v>
      </c>
      <c r="Y49" s="2"/>
      <c r="Z49" s="7">
        <f t="shared" si="35"/>
        <v>-2.5546021840873751E-2</v>
      </c>
    </row>
    <row r="50" spans="1:26" s="27" customFormat="1" outlineLevel="1" collapsed="1" x14ac:dyDescent="0.25">
      <c r="A50" s="25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SUM(OSRRefD22_8x_0)</f>
        <v>335.99</v>
      </c>
      <c r="E50" s="1"/>
      <c r="F50" s="5">
        <f t="shared" si="28"/>
        <v>7.7504609470099512E-3</v>
      </c>
      <c r="G50" s="1"/>
      <c r="H50" s="1">
        <f>SUM(OSRRefH22_8x_0)</f>
        <v>0</v>
      </c>
      <c r="I50" s="1"/>
      <c r="J50" s="5">
        <f t="shared" si="29"/>
        <v>0</v>
      </c>
      <c r="K50" s="1"/>
      <c r="L50" s="1">
        <f t="shared" si="30"/>
        <v>335.99</v>
      </c>
      <c r="M50" s="1"/>
      <c r="N50" s="5">
        <f t="shared" si="31"/>
        <v>0</v>
      </c>
      <c r="O50" s="13"/>
      <c r="P50" s="1">
        <f>SUM(OSRRefP22_8x_0)</f>
        <v>4631.76</v>
      </c>
      <c r="Q50" s="1"/>
      <c r="R50" s="5">
        <f t="shared" si="32"/>
        <v>4.6741885442539016E-2</v>
      </c>
      <c r="S50" s="1"/>
      <c r="T50" s="1">
        <f>SUM(OSRRefT22_8x_0)</f>
        <v>1328.64</v>
      </c>
      <c r="U50" s="1"/>
      <c r="V50" s="5">
        <f t="shared" si="33"/>
        <v>1.4686127465691307E-2</v>
      </c>
      <c r="W50" s="1"/>
      <c r="X50" s="1">
        <f t="shared" si="34"/>
        <v>3303.12</v>
      </c>
      <c r="Y50" s="1"/>
      <c r="Z50" s="5">
        <f t="shared" si="35"/>
        <v>2.4860910404624277</v>
      </c>
    </row>
    <row r="51" spans="1:26" s="24" customFormat="1" hidden="1" outlineLevel="2" x14ac:dyDescent="0.25">
      <c r="A51" s="26"/>
      <c r="B51" s="11" t="str">
        <f>CONCATENATE("          ", "6371", " - ", "COMPUTER SOFTWARE MAINTENANCE")</f>
        <v xml:space="preserve">          6371 - COMPUTER SOFTWARE MAINTENANCE</v>
      </c>
      <c r="C51" s="11"/>
      <c r="D51" s="6"/>
      <c r="E51" s="2"/>
      <c r="F51" s="7">
        <f t="shared" si="28"/>
        <v>0</v>
      </c>
      <c r="G51" s="2"/>
      <c r="H51" s="6"/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2186.54</v>
      </c>
      <c r="Q51" s="2"/>
      <c r="R51" s="7">
        <f t="shared" si="32"/>
        <v>2.2065694724150056E-2</v>
      </c>
      <c r="S51" s="2"/>
      <c r="T51" s="6"/>
      <c r="U51" s="2"/>
      <c r="V51" s="7">
        <f t="shared" si="33"/>
        <v>0</v>
      </c>
      <c r="W51" s="2"/>
      <c r="X51" s="6">
        <f t="shared" si="34"/>
        <v>2186.54</v>
      </c>
      <c r="Y51" s="2"/>
      <c r="Z51" s="7">
        <f t="shared" si="35"/>
        <v>0</v>
      </c>
    </row>
    <row r="52" spans="1:26" s="24" customFormat="1" hidden="1" outlineLevel="2" x14ac:dyDescent="0.25">
      <c r="A52" s="26"/>
      <c r="B52" s="11" t="str">
        <f>CONCATENATE("          ", "6373", " - ", "MAINTENANCE CONTRACTS")</f>
        <v xml:space="preserve">          6373 - MAINTENANCE CONTRACTS</v>
      </c>
      <c r="C52" s="11"/>
      <c r="D52" s="6">
        <v>65.989999999999995</v>
      </c>
      <c r="E52" s="2"/>
      <c r="F52" s="7">
        <f t="shared" si="28"/>
        <v>1.5222266076168535E-3</v>
      </c>
      <c r="G52" s="2"/>
      <c r="H52" s="6"/>
      <c r="I52" s="2"/>
      <c r="J52" s="7">
        <f t="shared" si="29"/>
        <v>0</v>
      </c>
      <c r="K52" s="2"/>
      <c r="L52" s="6">
        <f t="shared" si="30"/>
        <v>65.989999999999995</v>
      </c>
      <c r="M52" s="2"/>
      <c r="N52" s="7">
        <f t="shared" si="31"/>
        <v>0</v>
      </c>
      <c r="O52" s="11"/>
      <c r="P52" s="6">
        <v>65.989999999999995</v>
      </c>
      <c r="Q52" s="2"/>
      <c r="R52" s="7">
        <f t="shared" si="32"/>
        <v>6.6594491518410918E-4</v>
      </c>
      <c r="S52" s="2"/>
      <c r="T52" s="6">
        <v>65.989999999999995</v>
      </c>
      <c r="U52" s="2"/>
      <c r="V52" s="7">
        <f t="shared" si="33"/>
        <v>7.294207245461292E-4</v>
      </c>
      <c r="W52" s="2"/>
      <c r="X52" s="6">
        <f t="shared" si="34"/>
        <v>0</v>
      </c>
      <c r="Y52" s="2"/>
      <c r="Z52" s="7">
        <f t="shared" si="35"/>
        <v>0</v>
      </c>
    </row>
    <row r="53" spans="1:26" s="24" customFormat="1" hidden="1" outlineLevel="2" x14ac:dyDescent="0.25">
      <c r="A53" s="26"/>
      <c r="B53" s="11" t="str">
        <f>CONCATENATE("          ", "6375", " - ", "OUTSIDE REPAIRS &amp; MAINTENANCE")</f>
        <v xml:space="preserve">          6375 - OUTSIDE REPAIRS &amp; MAINTENANCE</v>
      </c>
      <c r="C53" s="11"/>
      <c r="D53" s="6">
        <v>270</v>
      </c>
      <c r="E53" s="2"/>
      <c r="F53" s="7">
        <f t="shared" si="28"/>
        <v>6.2282343393930979E-3</v>
      </c>
      <c r="G53" s="2"/>
      <c r="H53" s="6"/>
      <c r="I53" s="2"/>
      <c r="J53" s="7">
        <f t="shared" si="29"/>
        <v>0</v>
      </c>
      <c r="K53" s="2"/>
      <c r="L53" s="6">
        <f t="shared" si="30"/>
        <v>270</v>
      </c>
      <c r="M53" s="2"/>
      <c r="N53" s="7">
        <f t="shared" si="31"/>
        <v>0</v>
      </c>
      <c r="O53" s="11"/>
      <c r="P53" s="6">
        <v>2379.23</v>
      </c>
      <c r="Q53" s="2"/>
      <c r="R53" s="7">
        <f t="shared" si="32"/>
        <v>2.4010245803204853E-2</v>
      </c>
      <c r="S53" s="2"/>
      <c r="T53" s="6">
        <v>1262.6500000000001</v>
      </c>
      <c r="U53" s="2"/>
      <c r="V53" s="7">
        <f t="shared" si="33"/>
        <v>1.3956706741145177E-2</v>
      </c>
      <c r="W53" s="2"/>
      <c r="X53" s="6">
        <f t="shared" si="34"/>
        <v>1116.58</v>
      </c>
      <c r="Y53" s="2"/>
      <c r="Z53" s="7">
        <f t="shared" si="35"/>
        <v>0.88431473488298407</v>
      </c>
    </row>
    <row r="54" spans="1:26" s="27" customFormat="1" outlineLevel="1" collapsed="1" x14ac:dyDescent="0.25">
      <c r="A54" s="25"/>
      <c r="B54" s="13" t="str">
        <f>CONCATENATE("     ","Services                                          ")</f>
        <v xml:space="preserve">     Services                                          </v>
      </c>
      <c r="C54" s="13"/>
      <c r="D54" s="1">
        <f>SUM(OSRRefD22_9x_0)</f>
        <v>147.6</v>
      </c>
      <c r="E54" s="1"/>
      <c r="F54" s="5">
        <f t="shared" ref="F54:F56" si="36">IF(D$12=0,0,D54/D$12)</f>
        <v>3.4047681055348932E-3</v>
      </c>
      <c r="G54" s="1"/>
      <c r="H54" s="1">
        <f>SUM(OSRRefH22_9x_0)</f>
        <v>717.5</v>
      </c>
      <c r="I54" s="1"/>
      <c r="J54" s="5">
        <f t="shared" ref="J54:J56" si="37">IF(H$12=0,0,H54/H$12)</f>
        <v>1.7574709662122226E-2</v>
      </c>
      <c r="K54" s="1"/>
      <c r="L54" s="1">
        <f t="shared" ref="L54:L56" si="38">+D54-H54</f>
        <v>-569.9</v>
      </c>
      <c r="M54" s="1"/>
      <c r="N54" s="5">
        <f t="shared" ref="N54:N56" si="39">IF(H54=0,0,L54/H54)</f>
        <v>-0.79428571428571426</v>
      </c>
      <c r="O54" s="13"/>
      <c r="P54" s="1">
        <f>SUM(OSRRefP22_9x_0)</f>
        <v>188.52</v>
      </c>
      <c r="Q54" s="1"/>
      <c r="R54" s="5">
        <f t="shared" ref="R54:R56" si="40">IF(P$12=0,0,P54/P$12)</f>
        <v>1.9024690924459506E-3</v>
      </c>
      <c r="S54" s="1"/>
      <c r="T54" s="1">
        <f>SUM(OSRRefT22_9x_0)</f>
        <v>878.57999999999993</v>
      </c>
      <c r="U54" s="1"/>
      <c r="V54" s="5">
        <f t="shared" ref="V54:V56" si="41">IF(T$12=0,0,T54/T$12)</f>
        <v>9.711387485554451E-3</v>
      </c>
      <c r="W54" s="1"/>
      <c r="X54" s="1">
        <f t="shared" ref="X54:X56" si="42">+P54-T54</f>
        <v>-690.06</v>
      </c>
      <c r="Y54" s="1"/>
      <c r="Z54" s="5">
        <f t="shared" ref="Z54:Z56" si="43">IF(T54=0,0,X54/T54)</f>
        <v>-0.78542648364406198</v>
      </c>
    </row>
    <row r="55" spans="1:26" s="24" customFormat="1" hidden="1" outlineLevel="2" x14ac:dyDescent="0.25">
      <c r="A55" s="26"/>
      <c r="B55" s="11" t="str">
        <f>CONCATENATE("          ", "6285", " - ", "JANITORIAL SERVICES")</f>
        <v xml:space="preserve">          6285 - JANITORIAL SERVICES</v>
      </c>
      <c r="C55" s="11"/>
      <c r="D55" s="6"/>
      <c r="E55" s="2"/>
      <c r="F55" s="7">
        <f t="shared" si="36"/>
        <v>0</v>
      </c>
      <c r="G55" s="2"/>
      <c r="H55" s="6">
        <v>619</v>
      </c>
      <c r="I55" s="2"/>
      <c r="J55" s="7">
        <f t="shared" si="37"/>
        <v>1.51620143287159E-2</v>
      </c>
      <c r="K55" s="2"/>
      <c r="L55" s="6">
        <f t="shared" si="38"/>
        <v>-619</v>
      </c>
      <c r="M55" s="2"/>
      <c r="N55" s="7">
        <f t="shared" si="39"/>
        <v>-1</v>
      </c>
      <c r="O55" s="11"/>
      <c r="P55" s="6"/>
      <c r="Q55" s="2"/>
      <c r="R55" s="7">
        <f t="shared" si="40"/>
        <v>0</v>
      </c>
      <c r="S55" s="2"/>
      <c r="T55" s="6">
        <v>619</v>
      </c>
      <c r="U55" s="2"/>
      <c r="V55" s="7">
        <f t="shared" si="41"/>
        <v>6.8421189345969696E-3</v>
      </c>
      <c r="W55" s="2"/>
      <c r="X55" s="6">
        <f t="shared" si="42"/>
        <v>-619</v>
      </c>
      <c r="Y55" s="2"/>
      <c r="Z55" s="7">
        <f t="shared" si="43"/>
        <v>-1</v>
      </c>
    </row>
    <row r="56" spans="1:26" s="24" customFormat="1" hidden="1" outlineLevel="2" x14ac:dyDescent="0.25">
      <c r="A56" s="26"/>
      <c r="B56" s="11" t="str">
        <f>CONCATENATE("          ", "6286", " - ", "LAUNDRY EXPENSE")</f>
        <v xml:space="preserve">          6286 - LAUNDRY EXPENSE</v>
      </c>
      <c r="C56" s="11"/>
      <c r="D56" s="6">
        <v>147.6</v>
      </c>
      <c r="E56" s="2"/>
      <c r="F56" s="7">
        <f t="shared" si="36"/>
        <v>3.4047681055348932E-3</v>
      </c>
      <c r="G56" s="2"/>
      <c r="H56" s="6">
        <v>98.5</v>
      </c>
      <c r="I56" s="2"/>
      <c r="J56" s="7">
        <f t="shared" si="37"/>
        <v>2.4126953334063267E-3</v>
      </c>
      <c r="K56" s="2"/>
      <c r="L56" s="6">
        <f t="shared" si="38"/>
        <v>49.099999999999994</v>
      </c>
      <c r="M56" s="2"/>
      <c r="N56" s="7">
        <f t="shared" si="39"/>
        <v>0.49847715736040604</v>
      </c>
      <c r="O56" s="11"/>
      <c r="P56" s="6">
        <v>188.52</v>
      </c>
      <c r="Q56" s="2"/>
      <c r="R56" s="7">
        <f t="shared" si="40"/>
        <v>1.9024690924459506E-3</v>
      </c>
      <c r="S56" s="2"/>
      <c r="T56" s="6">
        <v>259.58</v>
      </c>
      <c r="U56" s="2"/>
      <c r="V56" s="7">
        <f t="shared" si="41"/>
        <v>2.8692685509574818E-3</v>
      </c>
      <c r="W56" s="2"/>
      <c r="X56" s="6">
        <f t="shared" si="42"/>
        <v>-71.059999999999974</v>
      </c>
      <c r="Y56" s="2"/>
      <c r="Z56" s="7">
        <f t="shared" si="43"/>
        <v>-0.273749903690577</v>
      </c>
    </row>
    <row r="57" spans="1:26" s="27" customFormat="1" outlineLevel="1" collapsed="1" x14ac:dyDescent="0.25">
      <c r="A57" s="25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SUM(OSRRefD22_10x_0)</f>
        <v>2159.73</v>
      </c>
      <c r="E57" s="1"/>
      <c r="F57" s="5">
        <f t="shared" ref="F57:F63" si="44">IF(D$12=0,0,D57/D$12)</f>
        <v>4.9819646480805391E-2</v>
      </c>
      <c r="G57" s="1"/>
      <c r="H57" s="1">
        <f>SUM(OSRRefH22_10x_0)</f>
        <v>432.88</v>
      </c>
      <c r="I57" s="1"/>
      <c r="J57" s="5">
        <f t="shared" ref="J57:J63" si="45">IF(H$12=0,0,H57/H$12)</f>
        <v>1.060312239517696E-2</v>
      </c>
      <c r="K57" s="1"/>
      <c r="L57" s="1">
        <f t="shared" ref="L57:L63" si="46">+D57-H57</f>
        <v>1726.85</v>
      </c>
      <c r="M57" s="1"/>
      <c r="N57" s="5">
        <f t="shared" ref="N57:N63" si="47">IF(H57=0,0,L57/H57)</f>
        <v>3.9892117907965252</v>
      </c>
      <c r="O57" s="13"/>
      <c r="P57" s="1">
        <f>SUM(OSRRefP22_10x_0)</f>
        <v>4783.16</v>
      </c>
      <c r="Q57" s="1"/>
      <c r="R57" s="5">
        <f t="shared" ref="R57:R63" si="48">IF(P$12=0,0,P57/P$12)</f>
        <v>4.8269754212941711E-2</v>
      </c>
      <c r="S57" s="1"/>
      <c r="T57" s="1">
        <f>SUM(OSRRefT22_10x_0)</f>
        <v>2508.3900000000003</v>
      </c>
      <c r="U57" s="1"/>
      <c r="V57" s="5">
        <f t="shared" ref="V57:V63" si="49">IF(T$12=0,0,T57/T$12)</f>
        <v>2.7726498730781413E-2</v>
      </c>
      <c r="W57" s="1"/>
      <c r="X57" s="1">
        <f t="shared" ref="X57:X63" si="50">+P57-T57</f>
        <v>2274.7699999999995</v>
      </c>
      <c r="Y57" s="1"/>
      <c r="Z57" s="5">
        <f t="shared" ref="Z57:Z63" si="51">IF(T57=0,0,X57/T57)</f>
        <v>0.90686456252815517</v>
      </c>
    </row>
    <row r="58" spans="1:26" s="24" customFormat="1" hidden="1" outlineLevel="2" x14ac:dyDescent="0.25">
      <c r="A58" s="26"/>
      <c r="B58" s="11" t="str">
        <f>CONCATENATE("          ", "6237", " - ", "JANITORIAL SUPPLIES")</f>
        <v xml:space="preserve">          6237 - JANITORIAL SUPPLIES</v>
      </c>
      <c r="C58" s="11"/>
      <c r="D58" s="6"/>
      <c r="E58" s="2"/>
      <c r="F58" s="7">
        <f t="shared" si="44"/>
        <v>0</v>
      </c>
      <c r="G58" s="2"/>
      <c r="H58" s="6"/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/>
      <c r="Q58" s="2"/>
      <c r="R58" s="7">
        <f t="shared" si="48"/>
        <v>0</v>
      </c>
      <c r="S58" s="2"/>
      <c r="T58" s="6">
        <v>11.08</v>
      </c>
      <c r="U58" s="2"/>
      <c r="V58" s="7">
        <f t="shared" si="49"/>
        <v>1.2247282357889244E-4</v>
      </c>
      <c r="W58" s="2"/>
      <c r="X58" s="6">
        <f t="shared" si="50"/>
        <v>-11.08</v>
      </c>
      <c r="Y58" s="2"/>
      <c r="Z58" s="7">
        <f t="shared" si="51"/>
        <v>-1</v>
      </c>
    </row>
    <row r="59" spans="1:26" s="24" customFormat="1" hidden="1" outlineLevel="2" x14ac:dyDescent="0.25">
      <c r="A59" s="26"/>
      <c r="B59" s="11" t="str">
        <f>CONCATENATE("          ", "6239", " - ", "KITCHEN SUPPLIES")</f>
        <v xml:space="preserve">          6239 - KITCHEN SUPPLIES</v>
      </c>
      <c r="C59" s="11"/>
      <c r="D59" s="6">
        <v>1803.14</v>
      </c>
      <c r="E59" s="2"/>
      <c r="F59" s="7">
        <f t="shared" si="44"/>
        <v>4.1593994321234333E-2</v>
      </c>
      <c r="G59" s="2"/>
      <c r="H59" s="6">
        <v>62.73</v>
      </c>
      <c r="I59" s="2"/>
      <c r="J59" s="7">
        <f t="shared" si="45"/>
        <v>1.5365317590312574E-3</v>
      </c>
      <c r="K59" s="2"/>
      <c r="L59" s="6">
        <f t="shared" si="46"/>
        <v>1740.41</v>
      </c>
      <c r="M59" s="2"/>
      <c r="N59" s="7">
        <f t="shared" si="47"/>
        <v>27.744460385780332</v>
      </c>
      <c r="O59" s="11"/>
      <c r="P59" s="6">
        <v>2672.21</v>
      </c>
      <c r="Q59" s="2"/>
      <c r="R59" s="7">
        <f t="shared" si="48"/>
        <v>2.6966883797607644E-2</v>
      </c>
      <c r="S59" s="2"/>
      <c r="T59" s="6">
        <v>112.08</v>
      </c>
      <c r="U59" s="2"/>
      <c r="V59" s="7">
        <f t="shared" si="49"/>
        <v>1.2388767208233091E-3</v>
      </c>
      <c r="W59" s="2"/>
      <c r="X59" s="6">
        <f t="shared" si="50"/>
        <v>2560.13</v>
      </c>
      <c r="Y59" s="2"/>
      <c r="Z59" s="7">
        <f t="shared" si="51"/>
        <v>22.841987865810136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6">
        <v>24.07</v>
      </c>
      <c r="E60" s="2"/>
      <c r="F60" s="7">
        <f t="shared" si="44"/>
        <v>5.5523555758959944E-4</v>
      </c>
      <c r="G60" s="2"/>
      <c r="H60" s="6"/>
      <c r="I60" s="2"/>
      <c r="J60" s="7">
        <f t="shared" si="45"/>
        <v>0</v>
      </c>
      <c r="K60" s="2"/>
      <c r="L60" s="6">
        <f t="shared" si="46"/>
        <v>24.07</v>
      </c>
      <c r="M60" s="2"/>
      <c r="N60" s="7">
        <f t="shared" si="47"/>
        <v>0</v>
      </c>
      <c r="O60" s="11"/>
      <c r="P60" s="6">
        <v>489.96</v>
      </c>
      <c r="Q60" s="2"/>
      <c r="R60" s="7">
        <f t="shared" si="48"/>
        <v>4.9444820524868335E-3</v>
      </c>
      <c r="S60" s="2"/>
      <c r="T60" s="6">
        <v>8.6999999999999993</v>
      </c>
      <c r="U60" s="2"/>
      <c r="V60" s="7">
        <f t="shared" si="49"/>
        <v>9.6165484218083407E-5</v>
      </c>
      <c r="W60" s="2"/>
      <c r="X60" s="6">
        <f t="shared" si="50"/>
        <v>481.26</v>
      </c>
      <c r="Y60" s="2"/>
      <c r="Z60" s="7">
        <f t="shared" si="51"/>
        <v>55.317241379310346</v>
      </c>
    </row>
    <row r="61" spans="1:26" s="24" customFormat="1" hidden="1" outlineLevel="2" x14ac:dyDescent="0.25">
      <c r="A61" s="26"/>
      <c r="B61" s="11" t="str">
        <f>CONCATENATE("          ", "6243", " - ", "PAPER SUPPLIES")</f>
        <v xml:space="preserve">          6243 - PAPER SUPPLIES</v>
      </c>
      <c r="C61" s="11"/>
      <c r="D61" s="6">
        <v>332.52</v>
      </c>
      <c r="E61" s="2"/>
      <c r="F61" s="7">
        <f t="shared" si="44"/>
        <v>7.6704166019814545E-3</v>
      </c>
      <c r="G61" s="2"/>
      <c r="H61" s="6">
        <v>370.15</v>
      </c>
      <c r="I61" s="2"/>
      <c r="J61" s="7">
        <f t="shared" si="45"/>
        <v>9.0665906361457032E-3</v>
      </c>
      <c r="K61" s="2"/>
      <c r="L61" s="6">
        <f t="shared" si="46"/>
        <v>-37.629999999999995</v>
      </c>
      <c r="M61" s="2"/>
      <c r="N61" s="7">
        <f t="shared" si="47"/>
        <v>-0.10166148858570849</v>
      </c>
      <c r="O61" s="11"/>
      <c r="P61" s="6">
        <v>881.32</v>
      </c>
      <c r="Q61" s="2"/>
      <c r="R61" s="7">
        <f t="shared" si="48"/>
        <v>8.8939319995462816E-3</v>
      </c>
      <c r="S61" s="2"/>
      <c r="T61" s="6">
        <v>952.86</v>
      </c>
      <c r="U61" s="2"/>
      <c r="V61" s="7">
        <f t="shared" si="49"/>
        <v>1.0532441757706089E-2</v>
      </c>
      <c r="W61" s="2"/>
      <c r="X61" s="6">
        <f t="shared" si="50"/>
        <v>-71.539999999999964</v>
      </c>
      <c r="Y61" s="2"/>
      <c r="Z61" s="7">
        <f t="shared" si="51"/>
        <v>-7.5079235144722159E-2</v>
      </c>
    </row>
    <row r="62" spans="1:26" s="24" customFormat="1" hidden="1" outlineLevel="2" x14ac:dyDescent="0.25">
      <c r="A62" s="26"/>
      <c r="B62" s="11" t="str">
        <f>CONCATENATE("          ", "6247", " - ", "STORE SUPPLIES")</f>
        <v xml:space="preserve">          6247 - STORE SUPPLIES</v>
      </c>
      <c r="C62" s="11"/>
      <c r="D62" s="6"/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>
        <v>102.64</v>
      </c>
      <c r="Q62" s="2"/>
      <c r="R62" s="7">
        <f t="shared" si="48"/>
        <v>1.0358021835807996E-3</v>
      </c>
      <c r="S62" s="2"/>
      <c r="T62" s="6">
        <v>771.1</v>
      </c>
      <c r="U62" s="2"/>
      <c r="V62" s="7">
        <f t="shared" si="49"/>
        <v>8.5233568828234629E-3</v>
      </c>
      <c r="W62" s="2"/>
      <c r="X62" s="6">
        <f t="shared" si="50"/>
        <v>-668.46</v>
      </c>
      <c r="Y62" s="2"/>
      <c r="Z62" s="7">
        <f t="shared" si="51"/>
        <v>-0.86689145376734533</v>
      </c>
    </row>
    <row r="63" spans="1:26" s="24" customFormat="1" hidden="1" outlineLevel="2" x14ac:dyDescent="0.25">
      <c r="A63" s="26"/>
      <c r="B63" s="11" t="str">
        <f>CONCATENATE("          ", "6248", " - ", "UNIFORMS")</f>
        <v xml:space="preserve">          6248 - UNIFORMS</v>
      </c>
      <c r="C63" s="11"/>
      <c r="D63" s="6"/>
      <c r="E63" s="2"/>
      <c r="F63" s="7">
        <f t="shared" si="44"/>
        <v>0</v>
      </c>
      <c r="G63" s="2"/>
      <c r="H63" s="6"/>
      <c r="I63" s="2"/>
      <c r="J63" s="7">
        <f t="shared" si="45"/>
        <v>0</v>
      </c>
      <c r="K63" s="2"/>
      <c r="L63" s="6">
        <f t="shared" si="46"/>
        <v>0</v>
      </c>
      <c r="M63" s="2"/>
      <c r="N63" s="7">
        <f t="shared" si="47"/>
        <v>0</v>
      </c>
      <c r="O63" s="11"/>
      <c r="P63" s="6">
        <v>637.03</v>
      </c>
      <c r="Q63" s="2"/>
      <c r="R63" s="7">
        <f t="shared" si="48"/>
        <v>6.4286541797201552E-3</v>
      </c>
      <c r="S63" s="2"/>
      <c r="T63" s="6">
        <v>652.57000000000005</v>
      </c>
      <c r="U63" s="2"/>
      <c r="V63" s="7">
        <f t="shared" si="49"/>
        <v>7.2131850616315753E-3</v>
      </c>
      <c r="W63" s="2"/>
      <c r="X63" s="6">
        <f t="shared" si="50"/>
        <v>-15.540000000000077</v>
      </c>
      <c r="Y63" s="2"/>
      <c r="Z63" s="7">
        <f t="shared" si="51"/>
        <v>-2.3813537245046625E-2</v>
      </c>
    </row>
    <row r="64" spans="1:26" s="27" customFormat="1" outlineLevel="1" collapsed="1" x14ac:dyDescent="0.25">
      <c r="A64" s="25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SUM(OSRRefD22_11x_0)</f>
        <v>86</v>
      </c>
      <c r="E64" s="1"/>
      <c r="F64" s="5">
        <f t="shared" ref="F64:F67" si="52">IF(D$12=0,0,D64/D$12)</f>
        <v>1.9838079747696532E-3</v>
      </c>
      <c r="G64" s="1"/>
      <c r="H64" s="1">
        <f>SUM(OSRRefH22_11x_0)</f>
        <v>86.05</v>
      </c>
      <c r="I64" s="1"/>
      <c r="J64" s="5">
        <f t="shared" ref="J64:J67" si="53">IF(H$12=0,0,H64/H$12)</f>
        <v>2.1077404410113137E-3</v>
      </c>
      <c r="K64" s="1"/>
      <c r="L64" s="1">
        <f t="shared" ref="L64:L67" si="54">+D64-H64</f>
        <v>-4.9999999999997158E-2</v>
      </c>
      <c r="M64" s="1"/>
      <c r="N64" s="5">
        <f t="shared" ref="N64:N67" si="55">IF(H64=0,0,L64/H64)</f>
        <v>-5.8105752469491182E-4</v>
      </c>
      <c r="O64" s="13"/>
      <c r="P64" s="1">
        <f>SUM(OSRRefP22_11x_0)</f>
        <v>349</v>
      </c>
      <c r="Q64" s="1"/>
      <c r="R64" s="5">
        <f t="shared" ref="R64:R67" si="56">IF(P$12=0,0,P64/P$12)</f>
        <v>3.5219696226587984E-3</v>
      </c>
      <c r="S64" s="1"/>
      <c r="T64" s="1">
        <f>SUM(OSRRefT22_11x_0)</f>
        <v>339.45</v>
      </c>
      <c r="U64" s="1"/>
      <c r="V64" s="5">
        <f t="shared" ref="V64:V67" si="57">IF(T$12=0,0,T64/T$12)</f>
        <v>3.7521119100952204E-3</v>
      </c>
      <c r="W64" s="1"/>
      <c r="X64" s="1">
        <f t="shared" ref="X64:X67" si="58">+P64-T64</f>
        <v>9.5500000000000114</v>
      </c>
      <c r="Y64" s="1"/>
      <c r="Z64" s="5">
        <f t="shared" ref="Z64:Z67" si="59">IF(T64=0,0,X64/T64)</f>
        <v>2.8133745765208461E-2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6">
        <v>86</v>
      </c>
      <c r="E65" s="2"/>
      <c r="F65" s="7">
        <f t="shared" si="52"/>
        <v>1.9838079747696532E-3</v>
      </c>
      <c r="G65" s="2"/>
      <c r="H65" s="6">
        <v>86.05</v>
      </c>
      <c r="I65" s="2"/>
      <c r="J65" s="7">
        <f t="shared" si="53"/>
        <v>2.1077404410113137E-3</v>
      </c>
      <c r="K65" s="2"/>
      <c r="L65" s="6">
        <f t="shared" si="54"/>
        <v>-4.9999999999997158E-2</v>
      </c>
      <c r="M65" s="2"/>
      <c r="N65" s="7">
        <f t="shared" si="55"/>
        <v>-5.8105752469491182E-4</v>
      </c>
      <c r="O65" s="11"/>
      <c r="P65" s="6">
        <v>349</v>
      </c>
      <c r="Q65" s="2"/>
      <c r="R65" s="7">
        <f t="shared" si="56"/>
        <v>3.5219696226587984E-3</v>
      </c>
      <c r="S65" s="2"/>
      <c r="T65" s="6">
        <v>339.45</v>
      </c>
      <c r="U65" s="2"/>
      <c r="V65" s="7">
        <f t="shared" si="57"/>
        <v>3.7521119100952204E-3</v>
      </c>
      <c r="W65" s="2"/>
      <c r="X65" s="6">
        <f t="shared" si="58"/>
        <v>9.5500000000000114</v>
      </c>
      <c r="Y65" s="2"/>
      <c r="Z65" s="7">
        <f t="shared" si="59"/>
        <v>2.8133745765208461E-2</v>
      </c>
    </row>
    <row r="66" spans="1:26" s="27" customFormat="1" outlineLevel="1" collapsed="1" x14ac:dyDescent="0.25">
      <c r="A66" s="25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SUM(OSRRefD22_12x_0)</f>
        <v>0</v>
      </c>
      <c r="E66" s="1"/>
      <c r="F66" s="5">
        <f t="shared" si="52"/>
        <v>0</v>
      </c>
      <c r="G66" s="1"/>
      <c r="H66" s="1">
        <f>SUM(OSRRefH22_12x_0)</f>
        <v>0</v>
      </c>
      <c r="I66" s="1"/>
      <c r="J66" s="5">
        <f t="shared" si="53"/>
        <v>0</v>
      </c>
      <c r="K66" s="1"/>
      <c r="L66" s="1">
        <f t="shared" si="54"/>
        <v>0</v>
      </c>
      <c r="M66" s="1"/>
      <c r="N66" s="5">
        <f t="shared" si="55"/>
        <v>0</v>
      </c>
      <c r="O66" s="13"/>
      <c r="P66" s="1">
        <f>SUM(OSRRefP22_12x_0)</f>
        <v>152.94999999999999</v>
      </c>
      <c r="Q66" s="1"/>
      <c r="R66" s="5">
        <f t="shared" si="56"/>
        <v>1.5435107558328459E-3</v>
      </c>
      <c r="S66" s="1"/>
      <c r="T66" s="1">
        <f>SUM(OSRRefT22_12x_0)</f>
        <v>0</v>
      </c>
      <c r="U66" s="1"/>
      <c r="V66" s="5">
        <f t="shared" si="57"/>
        <v>0</v>
      </c>
      <c r="W66" s="1"/>
      <c r="X66" s="1">
        <f t="shared" si="58"/>
        <v>152.94999999999999</v>
      </c>
      <c r="Y66" s="1"/>
      <c r="Z66" s="5">
        <f t="shared" si="59"/>
        <v>0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6"/>
      <c r="E67" s="2"/>
      <c r="F67" s="7">
        <f t="shared" si="52"/>
        <v>0</v>
      </c>
      <c r="G67" s="2"/>
      <c r="H67" s="6"/>
      <c r="I67" s="2"/>
      <c r="J67" s="7">
        <f t="shared" si="53"/>
        <v>0</v>
      </c>
      <c r="K67" s="2"/>
      <c r="L67" s="6">
        <f t="shared" si="54"/>
        <v>0</v>
      </c>
      <c r="M67" s="2"/>
      <c r="N67" s="7">
        <f t="shared" si="55"/>
        <v>0</v>
      </c>
      <c r="O67" s="11"/>
      <c r="P67" s="6">
        <v>152.94999999999999</v>
      </c>
      <c r="Q67" s="2"/>
      <c r="R67" s="7">
        <f t="shared" si="56"/>
        <v>1.5435107558328459E-3</v>
      </c>
      <c r="S67" s="2"/>
      <c r="T67" s="6"/>
      <c r="U67" s="2"/>
      <c r="V67" s="7">
        <f t="shared" si="57"/>
        <v>0</v>
      </c>
      <c r="W67" s="2"/>
      <c r="X67" s="6">
        <f t="shared" si="58"/>
        <v>152.94999999999999</v>
      </c>
      <c r="Y67" s="2"/>
      <c r="Z67" s="7">
        <f t="shared" si="59"/>
        <v>0</v>
      </c>
    </row>
    <row r="68" spans="1:26" s="55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1">
        <f>+D20-D22+D69</f>
        <v>-892.2300000000032</v>
      </c>
      <c r="E71" s="14"/>
      <c r="F71" s="22">
        <f>IF(D$12=0,0,D71/D$12)</f>
        <v>-2.058154638754342E-2</v>
      </c>
      <c r="G71" s="14"/>
      <c r="H71" s="21">
        <f>+H20-H22+H69</f>
        <v>1498.0699999999997</v>
      </c>
      <c r="I71" s="14"/>
      <c r="J71" s="22">
        <f>IF(H$12=0,0,H71/H$12)</f>
        <v>3.6694279168690509E-2</v>
      </c>
      <c r="K71" s="16"/>
      <c r="L71" s="21">
        <f>+D71-H71</f>
        <v>-2390.3000000000029</v>
      </c>
      <c r="M71" s="16"/>
      <c r="N71" s="22">
        <f>IF(H71=0,0,L71/H71)</f>
        <v>-1.5955863210664412</v>
      </c>
      <c r="O71" s="29"/>
      <c r="P71" s="21">
        <f>+P20-P22+P69</f>
        <v>-22978.250000000029</v>
      </c>
      <c r="Q71" s="14"/>
      <c r="R71" s="22">
        <f>IF(P$12=0,0,P71/P$12)</f>
        <v>-0.23188738820017088</v>
      </c>
      <c r="S71" s="14"/>
      <c r="T71" s="21">
        <f>+T20-T22+T69</f>
        <v>-9623.320000000007</v>
      </c>
      <c r="U71" s="14"/>
      <c r="V71" s="22">
        <f>IF(T$12=0,0,T71/T$12)</f>
        <v>-0.10637140546960543</v>
      </c>
      <c r="W71" s="16"/>
      <c r="X71" s="21">
        <f>+P71-T71</f>
        <v>-13354.930000000022</v>
      </c>
      <c r="Y71" s="16"/>
      <c r="Z71" s="22">
        <f>IF(T71=0,0,X71/T71)</f>
        <v>1.3877674233008994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>
        <v>3987.52</v>
      </c>
      <c r="E73" s="4"/>
      <c r="F73" s="12">
        <f>IF(D$12=0,0,D73/D$12)</f>
        <v>9.198225552969172E-2</v>
      </c>
      <c r="G73" s="4"/>
      <c r="H73" s="4">
        <v>3897.99</v>
      </c>
      <c r="I73" s="4"/>
      <c r="J73" s="12">
        <f>IF(H$12=0,0,H73/H$12)</f>
        <v>9.5478804900147471E-2</v>
      </c>
      <c r="K73" s="4"/>
      <c r="L73" s="4">
        <f>+D73-H73</f>
        <v>89.5300000000002</v>
      </c>
      <c r="M73" s="4"/>
      <c r="N73" s="12">
        <f>IF(H73=0,0,L73/H73)</f>
        <v>2.2968247737936785E-2</v>
      </c>
      <c r="O73" s="10"/>
      <c r="P73" s="4">
        <v>9974.8799999999992</v>
      </c>
      <c r="Q73" s="4"/>
      <c r="R73" s="12">
        <f>IF(P$12=0,0,P73/P$12)</f>
        <v>0.10066253395319998</v>
      </c>
      <c r="S73" s="4"/>
      <c r="T73" s="4">
        <v>8308.66</v>
      </c>
      <c r="U73" s="4"/>
      <c r="V73" s="12">
        <f>IF(T$12=0,0,T73/T$12)</f>
        <v>9.1839805988898959E-2</v>
      </c>
      <c r="W73" s="4"/>
      <c r="X73" s="4">
        <f>+P73-T73</f>
        <v>1666.2199999999993</v>
      </c>
      <c r="Y73" s="4"/>
      <c r="Z73" s="12">
        <f>IF(T73=0,0,X73/T73)</f>
        <v>0.20054015930366623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1">
        <f>+D71-D73</f>
        <v>-4879.7500000000036</v>
      </c>
      <c r="E75" s="14"/>
      <c r="F75" s="34">
        <f>IF(D$12=0,0,D75/D$12)</f>
        <v>-0.11256380191723515</v>
      </c>
      <c r="G75" s="14"/>
      <c r="H75" s="31">
        <f>+H71-H73</f>
        <v>-2399.92</v>
      </c>
      <c r="I75" s="14"/>
      <c r="J75" s="34">
        <f>IF(H$12=0,0,H75/H$12)</f>
        <v>-5.8784525731456969E-2</v>
      </c>
      <c r="K75" s="16"/>
      <c r="L75" s="31">
        <f>D75-H75</f>
        <v>-2479.8300000000036</v>
      </c>
      <c r="M75" s="16"/>
      <c r="N75" s="34">
        <f>IF(H75=0,0,L75/H75)</f>
        <v>1.0332969432314425</v>
      </c>
      <c r="O75" s="29"/>
      <c r="P75" s="31">
        <f>+P71-P73</f>
        <v>-32953.130000000026</v>
      </c>
      <c r="Q75" s="14"/>
      <c r="R75" s="34">
        <f>IF(P$12=0,0,P75/P$12)</f>
        <v>-0.33254992215337087</v>
      </c>
      <c r="S75" s="14"/>
      <c r="T75" s="31">
        <f>+T71-T73</f>
        <v>-17931.980000000007</v>
      </c>
      <c r="U75" s="14"/>
      <c r="V75" s="34">
        <f>IF(T$12=0,0,T75/T$12)</f>
        <v>-0.1982112114585044</v>
      </c>
      <c r="W75" s="16"/>
      <c r="X75" s="31">
        <f>P75-T75</f>
        <v>-15021.15000000002</v>
      </c>
      <c r="Y75" s="16"/>
      <c r="Z75" s="34">
        <f>IF(T75=0,0,X75/T75)</f>
        <v>0.83767380958488769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6">
        <f>SUM(D75:D77)</f>
        <v>-4879.7500000000036</v>
      </c>
      <c r="E78" s="14"/>
      <c r="F78" s="33">
        <f>IF(D$12=0,0,D78/D$12)</f>
        <v>-0.11256380191723515</v>
      </c>
      <c r="G78" s="14"/>
      <c r="H78" s="36">
        <f>SUM(H75:H77)</f>
        <v>-2399.92</v>
      </c>
      <c r="I78" s="14"/>
      <c r="J78" s="33">
        <f>IF(H$12=0,0,H78/H$12)</f>
        <v>-5.8784525731456969E-2</v>
      </c>
      <c r="K78" s="16"/>
      <c r="L78" s="36">
        <f>+D78-H78</f>
        <v>-2479.8300000000036</v>
      </c>
      <c r="M78" s="16"/>
      <c r="N78" s="33">
        <f>IF(H78=0,0,L78/H78)</f>
        <v>1.0332969432314425</v>
      </c>
      <c r="O78" s="29"/>
      <c r="P78" s="36">
        <f>SUM(P75:P77)</f>
        <v>-32953.130000000026</v>
      </c>
      <c r="Q78" s="14"/>
      <c r="R78" s="33">
        <f>IF(P$12=0,0,P78/P$12)</f>
        <v>-0.33254992215337087</v>
      </c>
      <c r="S78" s="14"/>
      <c r="T78" s="36">
        <f>SUM(T75:T77)</f>
        <v>-17931.980000000007</v>
      </c>
      <c r="U78" s="14"/>
      <c r="V78" s="33">
        <f>IF(T$12=0,0,T78/T$12)</f>
        <v>-0.1982112114585044</v>
      </c>
      <c r="W78" s="16"/>
      <c r="X78" s="36">
        <f>+P78-T78</f>
        <v>-15021.15000000002</v>
      </c>
      <c r="Y78" s="16"/>
      <c r="Z78" s="33">
        <f>IF(T78=0,0,X78/T78)</f>
        <v>0.83767380958488769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61">
        <v>43791.355546261577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6" t="s">
        <v>313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7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","411", " - ", "University Dining")</f>
        <v>Department 411 - University Dining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107180.18999999997</v>
      </c>
      <c r="E18" s="20"/>
      <c r="F18" s="35">
        <f t="shared" ref="F18:F28" si="0">IF(D$12=0,0,D18/D$12)</f>
        <v>0</v>
      </c>
      <c r="G18" s="20"/>
      <c r="H18" s="20">
        <f>SUM(OSRRefH22x_0)</f>
        <v>97302.01</v>
      </c>
      <c r="I18" s="20"/>
      <c r="J18" s="35">
        <f t="shared" ref="J18:J28" si="1">IF(H$12=0,0,H18/H$12)</f>
        <v>0</v>
      </c>
      <c r="K18" s="4"/>
      <c r="L18" s="20">
        <f t="shared" ref="L18:L28" si="2">+D18-H18</f>
        <v>9878.1799999999785</v>
      </c>
      <c r="M18" s="4"/>
      <c r="N18" s="35">
        <f t="shared" ref="N18:N28" si="3">IF(H18=0,0,L18/H18)</f>
        <v>0.10152082161509283</v>
      </c>
      <c r="O18" s="10"/>
      <c r="P18" s="20">
        <f>SUM(OSRRefP22x_0)</f>
        <v>378670.70999999996</v>
      </c>
      <c r="Q18" s="20"/>
      <c r="R18" s="35">
        <f t="shared" ref="R18:R28" si="4">IF(P$12=0,0,P18/P$12)</f>
        <v>0</v>
      </c>
      <c r="S18" s="20"/>
      <c r="T18" s="20">
        <f>SUM(OSRRefT22x_0)</f>
        <v>372718.20000000007</v>
      </c>
      <c r="U18" s="20"/>
      <c r="V18" s="35">
        <f t="shared" ref="V18:V28" si="5">IF(T$12=0,0,T18/T$12)</f>
        <v>0</v>
      </c>
      <c r="W18" s="4"/>
      <c r="X18" s="20">
        <f t="shared" ref="X18:X28" si="6">+P18-T18</f>
        <v>5952.5099999998929</v>
      </c>
      <c r="Y18" s="4"/>
      <c r="Z18" s="35">
        <f t="shared" ref="Z18:Z28" si="7">IF(T18=0,0,X18/T18)</f>
        <v>1.5970537526742434E-2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14246.05</v>
      </c>
      <c r="E19" s="1"/>
      <c r="F19" s="5">
        <f t="shared" si="0"/>
        <v>0</v>
      </c>
      <c r="G19" s="1"/>
      <c r="H19" s="1">
        <f>SUM(OSRRefH22_0x_0)</f>
        <v>13607.77</v>
      </c>
      <c r="I19" s="1"/>
      <c r="J19" s="5">
        <f t="shared" si="1"/>
        <v>0</v>
      </c>
      <c r="K19" s="1"/>
      <c r="L19" s="1">
        <f t="shared" si="2"/>
        <v>638.27999999999884</v>
      </c>
      <c r="M19" s="1"/>
      <c r="N19" s="5">
        <f t="shared" si="3"/>
        <v>4.6905554694119521E-2</v>
      </c>
      <c r="O19" s="13"/>
      <c r="P19" s="1">
        <f>SUM(OSRRefP22_0x_0)</f>
        <v>46278.049999999996</v>
      </c>
      <c r="Q19" s="1"/>
      <c r="R19" s="5">
        <f t="shared" si="4"/>
        <v>0</v>
      </c>
      <c r="S19" s="1"/>
      <c r="T19" s="1">
        <f>SUM(OSRRefT22_0x_0)</f>
        <v>42767.380000000005</v>
      </c>
      <c r="U19" s="1"/>
      <c r="V19" s="5">
        <f t="shared" si="5"/>
        <v>0</v>
      </c>
      <c r="W19" s="1"/>
      <c r="X19" s="1">
        <f t="shared" si="6"/>
        <v>3510.669999999991</v>
      </c>
      <c r="Y19" s="1"/>
      <c r="Z19" s="5">
        <f t="shared" si="7"/>
        <v>8.2087562997779862E-2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4186.57</v>
      </c>
      <c r="E20" s="2"/>
      <c r="F20" s="7">
        <f t="shared" si="0"/>
        <v>0</v>
      </c>
      <c r="G20" s="2"/>
      <c r="H20" s="6">
        <v>3487.92</v>
      </c>
      <c r="I20" s="2"/>
      <c r="J20" s="7">
        <f t="shared" si="1"/>
        <v>0</v>
      </c>
      <c r="K20" s="2"/>
      <c r="L20" s="6">
        <f t="shared" si="2"/>
        <v>698.64999999999964</v>
      </c>
      <c r="M20" s="2"/>
      <c r="N20" s="7">
        <f t="shared" si="3"/>
        <v>0.2003056262758319</v>
      </c>
      <c r="O20" s="11"/>
      <c r="P20" s="6">
        <v>10249.77</v>
      </c>
      <c r="Q20" s="2"/>
      <c r="R20" s="7">
        <f t="shared" si="4"/>
        <v>0</v>
      </c>
      <c r="S20" s="2"/>
      <c r="T20" s="6">
        <v>7979.46</v>
      </c>
      <c r="U20" s="2"/>
      <c r="V20" s="7">
        <f t="shared" si="5"/>
        <v>0</v>
      </c>
      <c r="W20" s="2"/>
      <c r="X20" s="6">
        <f t="shared" si="6"/>
        <v>2270.3100000000004</v>
      </c>
      <c r="Y20" s="2"/>
      <c r="Z20" s="7">
        <f t="shared" si="7"/>
        <v>0.28451925318254623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196.48</v>
      </c>
      <c r="E21" s="2"/>
      <c r="F21" s="7">
        <f t="shared" si="0"/>
        <v>0</v>
      </c>
      <c r="G21" s="2"/>
      <c r="H21" s="6">
        <v>1842.63</v>
      </c>
      <c r="I21" s="2"/>
      <c r="J21" s="7">
        <f t="shared" si="1"/>
        <v>0</v>
      </c>
      <c r="K21" s="2"/>
      <c r="L21" s="6">
        <f t="shared" si="2"/>
        <v>-1646.15</v>
      </c>
      <c r="M21" s="2"/>
      <c r="N21" s="7">
        <f t="shared" si="3"/>
        <v>-0.89336980294470403</v>
      </c>
      <c r="O21" s="11"/>
      <c r="P21" s="6">
        <v>2587.7399999999998</v>
      </c>
      <c r="Q21" s="2"/>
      <c r="R21" s="7">
        <f t="shared" si="4"/>
        <v>0</v>
      </c>
      <c r="S21" s="2"/>
      <c r="T21" s="6">
        <v>3266.58</v>
      </c>
      <c r="U21" s="2"/>
      <c r="V21" s="7">
        <f t="shared" si="5"/>
        <v>0</v>
      </c>
      <c r="W21" s="2"/>
      <c r="X21" s="6">
        <f t="shared" si="6"/>
        <v>-678.84000000000015</v>
      </c>
      <c r="Y21" s="2"/>
      <c r="Z21" s="7">
        <f t="shared" si="7"/>
        <v>-0.20781367668938161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3654.84</v>
      </c>
      <c r="E22" s="2"/>
      <c r="F22" s="7">
        <f t="shared" si="0"/>
        <v>0</v>
      </c>
      <c r="G22" s="2"/>
      <c r="H22" s="6">
        <v>3578.11</v>
      </c>
      <c r="I22" s="2"/>
      <c r="J22" s="7">
        <f t="shared" si="1"/>
        <v>0</v>
      </c>
      <c r="K22" s="2"/>
      <c r="L22" s="6">
        <f t="shared" si="2"/>
        <v>76.730000000000018</v>
      </c>
      <c r="M22" s="2"/>
      <c r="N22" s="7">
        <f t="shared" si="3"/>
        <v>2.1444282037164877E-2</v>
      </c>
      <c r="O22" s="11"/>
      <c r="P22" s="6">
        <v>14619.44</v>
      </c>
      <c r="Q22" s="2"/>
      <c r="R22" s="7">
        <f t="shared" si="4"/>
        <v>0</v>
      </c>
      <c r="S22" s="2"/>
      <c r="T22" s="6">
        <v>12092.77</v>
      </c>
      <c r="U22" s="2"/>
      <c r="V22" s="7">
        <f t="shared" si="5"/>
        <v>0</v>
      </c>
      <c r="W22" s="2"/>
      <c r="X22" s="6">
        <f t="shared" si="6"/>
        <v>2526.67</v>
      </c>
      <c r="Y22" s="2"/>
      <c r="Z22" s="7">
        <f t="shared" si="7"/>
        <v>0.20894054877418491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113.45</v>
      </c>
      <c r="E23" s="2"/>
      <c r="F23" s="7">
        <f t="shared" si="0"/>
        <v>0</v>
      </c>
      <c r="G23" s="2"/>
      <c r="H23" s="6">
        <v>91.76</v>
      </c>
      <c r="I23" s="2"/>
      <c r="J23" s="7">
        <f t="shared" si="1"/>
        <v>0</v>
      </c>
      <c r="K23" s="2"/>
      <c r="L23" s="6">
        <f t="shared" si="2"/>
        <v>21.689999999999998</v>
      </c>
      <c r="M23" s="2"/>
      <c r="N23" s="7">
        <f t="shared" si="3"/>
        <v>0.23637750653879683</v>
      </c>
      <c r="O23" s="11"/>
      <c r="P23" s="6">
        <v>309.62</v>
      </c>
      <c r="Q23" s="2"/>
      <c r="R23" s="7">
        <f t="shared" si="4"/>
        <v>0</v>
      </c>
      <c r="S23" s="2"/>
      <c r="T23" s="6">
        <v>271.24</v>
      </c>
      <c r="U23" s="2"/>
      <c r="V23" s="7">
        <f t="shared" si="5"/>
        <v>0</v>
      </c>
      <c r="W23" s="2"/>
      <c r="X23" s="6">
        <f t="shared" si="6"/>
        <v>38.379999999999995</v>
      </c>
      <c r="Y23" s="2"/>
      <c r="Z23" s="7">
        <f t="shared" si="7"/>
        <v>0.14149830408494321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2498.5500000000002</v>
      </c>
      <c r="E24" s="2"/>
      <c r="F24" s="7">
        <f t="shared" si="0"/>
        <v>0</v>
      </c>
      <c r="G24" s="2"/>
      <c r="H24" s="6">
        <v>2034.47</v>
      </c>
      <c r="I24" s="2"/>
      <c r="J24" s="7">
        <f t="shared" si="1"/>
        <v>0</v>
      </c>
      <c r="K24" s="2"/>
      <c r="L24" s="6">
        <f t="shared" si="2"/>
        <v>464.08000000000015</v>
      </c>
      <c r="M24" s="2"/>
      <c r="N24" s="7">
        <f t="shared" si="3"/>
        <v>0.22810854915530834</v>
      </c>
      <c r="O24" s="11"/>
      <c r="P24" s="6">
        <v>6005.82</v>
      </c>
      <c r="Q24" s="2"/>
      <c r="R24" s="7">
        <f t="shared" si="4"/>
        <v>0</v>
      </c>
      <c r="S24" s="2"/>
      <c r="T24" s="6">
        <v>5705.34</v>
      </c>
      <c r="U24" s="2"/>
      <c r="V24" s="7">
        <f t="shared" si="5"/>
        <v>0</v>
      </c>
      <c r="W24" s="2"/>
      <c r="X24" s="6">
        <f t="shared" si="6"/>
        <v>300.47999999999956</v>
      </c>
      <c r="Y24" s="2"/>
      <c r="Z24" s="7">
        <f t="shared" si="7"/>
        <v>5.2666449326420436E-2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6">
        <v>56</v>
      </c>
      <c r="E25" s="2"/>
      <c r="F25" s="7">
        <f t="shared" si="0"/>
        <v>0</v>
      </c>
      <c r="G25" s="2"/>
      <c r="H25" s="6">
        <v>56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252</v>
      </c>
      <c r="Q25" s="2"/>
      <c r="R25" s="7">
        <f t="shared" si="4"/>
        <v>0</v>
      </c>
      <c r="S25" s="2"/>
      <c r="T25" s="6">
        <v>252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2101.75</v>
      </c>
      <c r="E26" s="2"/>
      <c r="F26" s="7">
        <f t="shared" si="0"/>
        <v>0</v>
      </c>
      <c r="G26" s="2"/>
      <c r="H26" s="6">
        <v>1180.04</v>
      </c>
      <c r="I26" s="2"/>
      <c r="J26" s="7">
        <f t="shared" si="1"/>
        <v>0</v>
      </c>
      <c r="K26" s="2"/>
      <c r="L26" s="6">
        <f t="shared" si="2"/>
        <v>921.71</v>
      </c>
      <c r="M26" s="2"/>
      <c r="N26" s="7">
        <f t="shared" si="3"/>
        <v>0.78108369207823469</v>
      </c>
      <c r="O26" s="11"/>
      <c r="P26" s="6">
        <v>6314.59</v>
      </c>
      <c r="Q26" s="2"/>
      <c r="R26" s="7">
        <f t="shared" si="4"/>
        <v>0</v>
      </c>
      <c r="S26" s="2"/>
      <c r="T26" s="6">
        <v>5715.34</v>
      </c>
      <c r="U26" s="2"/>
      <c r="V26" s="7">
        <f t="shared" si="5"/>
        <v>0</v>
      </c>
      <c r="W26" s="2"/>
      <c r="X26" s="6">
        <f t="shared" si="6"/>
        <v>599.25</v>
      </c>
      <c r="Y26" s="2"/>
      <c r="Z26" s="7">
        <f t="shared" si="7"/>
        <v>0.10484940528472497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1074.51</v>
      </c>
      <c r="E27" s="2"/>
      <c r="F27" s="7">
        <f t="shared" si="0"/>
        <v>0</v>
      </c>
      <c r="G27" s="2"/>
      <c r="H27" s="6">
        <v>985.59</v>
      </c>
      <c r="I27" s="2"/>
      <c r="J27" s="7">
        <f t="shared" si="1"/>
        <v>0</v>
      </c>
      <c r="K27" s="2"/>
      <c r="L27" s="6">
        <f t="shared" si="2"/>
        <v>88.919999999999959</v>
      </c>
      <c r="M27" s="2"/>
      <c r="N27" s="7">
        <f t="shared" si="3"/>
        <v>9.0220071226371976E-2</v>
      </c>
      <c r="O27" s="11"/>
      <c r="P27" s="6">
        <v>4469.72</v>
      </c>
      <c r="Q27" s="2"/>
      <c r="R27" s="7">
        <f t="shared" si="4"/>
        <v>0</v>
      </c>
      <c r="S27" s="2"/>
      <c r="T27" s="6">
        <v>4947.37</v>
      </c>
      <c r="U27" s="2"/>
      <c r="V27" s="7">
        <f t="shared" si="5"/>
        <v>0</v>
      </c>
      <c r="W27" s="2"/>
      <c r="X27" s="6">
        <f t="shared" si="6"/>
        <v>-477.64999999999964</v>
      </c>
      <c r="Y27" s="2"/>
      <c r="Z27" s="7">
        <f t="shared" si="7"/>
        <v>-9.654624578311298E-2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363.9</v>
      </c>
      <c r="E28" s="2"/>
      <c r="F28" s="7">
        <f t="shared" si="0"/>
        <v>0</v>
      </c>
      <c r="G28" s="2"/>
      <c r="H28" s="6">
        <v>351.25</v>
      </c>
      <c r="I28" s="2"/>
      <c r="J28" s="7">
        <f t="shared" si="1"/>
        <v>0</v>
      </c>
      <c r="K28" s="2"/>
      <c r="L28" s="6">
        <f t="shared" si="2"/>
        <v>12.649999999999977</v>
      </c>
      <c r="M28" s="2"/>
      <c r="N28" s="7">
        <f t="shared" si="3"/>
        <v>3.6014234875444778E-2</v>
      </c>
      <c r="O28" s="11"/>
      <c r="P28" s="6">
        <v>1469.35</v>
      </c>
      <c r="Q28" s="2"/>
      <c r="R28" s="7">
        <f t="shared" si="4"/>
        <v>0</v>
      </c>
      <c r="S28" s="2"/>
      <c r="T28" s="6">
        <v>2537.2800000000002</v>
      </c>
      <c r="U28" s="2"/>
      <c r="V28" s="7">
        <f t="shared" si="5"/>
        <v>0</v>
      </c>
      <c r="W28" s="2"/>
      <c r="X28" s="6">
        <f t="shared" si="6"/>
        <v>-1067.9300000000003</v>
      </c>
      <c r="Y28" s="2"/>
      <c r="Z28" s="7">
        <f t="shared" si="7"/>
        <v>-0.42089560474208609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31681.440000000002</v>
      </c>
      <c r="E29" s="1"/>
      <c r="F29" s="5">
        <f t="shared" ref="F29:F35" si="8">IF(D$12=0,0,D29/D$12)</f>
        <v>0</v>
      </c>
      <c r="G29" s="1"/>
      <c r="H29" s="1">
        <f>SUM(OSRRefH22_1x_0)</f>
        <v>26920.589999999997</v>
      </c>
      <c r="I29" s="1"/>
      <c r="J29" s="5">
        <f t="shared" ref="J29:J35" si="9">IF(H$12=0,0,H29/H$12)</f>
        <v>0</v>
      </c>
      <c r="K29" s="1"/>
      <c r="L29" s="1">
        <f t="shared" ref="L29:L35" si="10">+D29-H29</f>
        <v>4760.8500000000058</v>
      </c>
      <c r="M29" s="1"/>
      <c r="N29" s="5">
        <f t="shared" ref="N29:N35" si="11">IF(H29=0,0,L29/H29)</f>
        <v>0.17684790712239243</v>
      </c>
      <c r="O29" s="13"/>
      <c r="P29" s="1">
        <f>SUM(OSRRefP22_1x_0)</f>
        <v>114194.28000000001</v>
      </c>
      <c r="Q29" s="1"/>
      <c r="R29" s="5">
        <f t="shared" ref="R29:R35" si="12">IF(P$12=0,0,P29/P$12)</f>
        <v>0</v>
      </c>
      <c r="S29" s="1"/>
      <c r="T29" s="1">
        <f>SUM(OSRRefT22_1x_0)</f>
        <v>85962.39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28231.890000000014</v>
      </c>
      <c r="Y29" s="1"/>
      <c r="Z29" s="5">
        <f t="shared" ref="Z29:Z35" si="15">IF(T29=0,0,X29/T29)</f>
        <v>0.32842141778515016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7492.27</v>
      </c>
      <c r="E30" s="2"/>
      <c r="F30" s="7">
        <f t="shared" si="8"/>
        <v>0</v>
      </c>
      <c r="G30" s="2"/>
      <c r="H30" s="6">
        <v>8985.31</v>
      </c>
      <c r="I30" s="2"/>
      <c r="J30" s="7">
        <f t="shared" si="9"/>
        <v>0</v>
      </c>
      <c r="K30" s="2"/>
      <c r="L30" s="6">
        <f t="shared" si="10"/>
        <v>-1493.0399999999991</v>
      </c>
      <c r="M30" s="2"/>
      <c r="N30" s="7">
        <f t="shared" si="11"/>
        <v>-0.16616455080570389</v>
      </c>
      <c r="O30" s="11"/>
      <c r="P30" s="6">
        <v>32611.350000000002</v>
      </c>
      <c r="Q30" s="2"/>
      <c r="R30" s="7">
        <f t="shared" si="12"/>
        <v>0</v>
      </c>
      <c r="S30" s="2"/>
      <c r="T30" s="6">
        <v>33800.780000000006</v>
      </c>
      <c r="U30" s="2"/>
      <c r="V30" s="7">
        <f t="shared" si="13"/>
        <v>0</v>
      </c>
      <c r="W30" s="2"/>
      <c r="X30" s="6">
        <f t="shared" si="14"/>
        <v>-1189.4300000000039</v>
      </c>
      <c r="Y30" s="2"/>
      <c r="Z30" s="7">
        <f t="shared" si="15"/>
        <v>-3.5189424622745505E-2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5319.86</v>
      </c>
      <c r="E31" s="2"/>
      <c r="F31" s="7">
        <f t="shared" si="8"/>
        <v>0</v>
      </c>
      <c r="G31" s="2"/>
      <c r="H31" s="6">
        <v>4351.12</v>
      </c>
      <c r="I31" s="2"/>
      <c r="J31" s="7">
        <f t="shared" si="9"/>
        <v>0</v>
      </c>
      <c r="K31" s="2"/>
      <c r="L31" s="6">
        <f t="shared" si="10"/>
        <v>968.73999999999978</v>
      </c>
      <c r="M31" s="2"/>
      <c r="N31" s="7">
        <f t="shared" si="11"/>
        <v>0.22264152677931195</v>
      </c>
      <c r="O31" s="11"/>
      <c r="P31" s="6">
        <v>18305.580000000002</v>
      </c>
      <c r="Q31" s="2"/>
      <c r="R31" s="7">
        <f t="shared" si="12"/>
        <v>0</v>
      </c>
      <c r="S31" s="2"/>
      <c r="T31" s="6">
        <v>15227.52</v>
      </c>
      <c r="U31" s="2"/>
      <c r="V31" s="7">
        <f t="shared" si="13"/>
        <v>0</v>
      </c>
      <c r="W31" s="2"/>
      <c r="X31" s="6">
        <f t="shared" si="14"/>
        <v>3078.0600000000013</v>
      </c>
      <c r="Y31" s="2"/>
      <c r="Z31" s="7">
        <f t="shared" si="15"/>
        <v>0.20213797125204899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>
        <v>3460.8</v>
      </c>
      <c r="E32" s="2"/>
      <c r="F32" s="7">
        <f t="shared" si="8"/>
        <v>0</v>
      </c>
      <c r="G32" s="2"/>
      <c r="H32" s="6">
        <v>3093.6</v>
      </c>
      <c r="I32" s="2"/>
      <c r="J32" s="7">
        <f t="shared" si="9"/>
        <v>0</v>
      </c>
      <c r="K32" s="2"/>
      <c r="L32" s="6">
        <f t="shared" si="10"/>
        <v>367.20000000000027</v>
      </c>
      <c r="M32" s="2"/>
      <c r="N32" s="7">
        <f t="shared" si="11"/>
        <v>0.11869666408068279</v>
      </c>
      <c r="O32" s="11"/>
      <c r="P32" s="6">
        <v>9690.24</v>
      </c>
      <c r="Q32" s="2"/>
      <c r="R32" s="7">
        <f t="shared" si="12"/>
        <v>0</v>
      </c>
      <c r="S32" s="2"/>
      <c r="T32" s="6">
        <v>6902.6</v>
      </c>
      <c r="U32" s="2"/>
      <c r="V32" s="7">
        <f t="shared" si="13"/>
        <v>0</v>
      </c>
      <c r="W32" s="2"/>
      <c r="X32" s="6">
        <f t="shared" si="14"/>
        <v>2787.6399999999994</v>
      </c>
      <c r="Y32" s="2"/>
      <c r="Z32" s="7">
        <f t="shared" si="15"/>
        <v>0.40385362037493105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>
        <v>16837.009999999998</v>
      </c>
      <c r="E33" s="2"/>
      <c r="F33" s="7">
        <f t="shared" si="8"/>
        <v>0</v>
      </c>
      <c r="G33" s="2"/>
      <c r="H33" s="6">
        <v>11061.81</v>
      </c>
      <c r="I33" s="2"/>
      <c r="J33" s="7">
        <f t="shared" si="9"/>
        <v>0</v>
      </c>
      <c r="K33" s="2"/>
      <c r="L33" s="6">
        <f t="shared" si="10"/>
        <v>5775.1999999999989</v>
      </c>
      <c r="M33" s="2"/>
      <c r="N33" s="7">
        <f t="shared" si="11"/>
        <v>0.5220845413182833</v>
      </c>
      <c r="O33" s="11"/>
      <c r="P33" s="6">
        <v>44173.29</v>
      </c>
      <c r="Q33" s="2"/>
      <c r="R33" s="7">
        <f t="shared" si="12"/>
        <v>0</v>
      </c>
      <c r="S33" s="2"/>
      <c r="T33" s="6">
        <v>27652.74</v>
      </c>
      <c r="U33" s="2"/>
      <c r="V33" s="7">
        <f t="shared" si="13"/>
        <v>0</v>
      </c>
      <c r="W33" s="2"/>
      <c r="X33" s="6">
        <f t="shared" si="14"/>
        <v>16520.55</v>
      </c>
      <c r="Y33" s="2"/>
      <c r="Z33" s="7">
        <f t="shared" si="15"/>
        <v>0.59742904319788914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244.75</v>
      </c>
      <c r="I34" s="2"/>
      <c r="J34" s="7">
        <f t="shared" si="9"/>
        <v>0</v>
      </c>
      <c r="K34" s="2"/>
      <c r="L34" s="6">
        <f t="shared" si="10"/>
        <v>-244.75</v>
      </c>
      <c r="M34" s="2"/>
      <c r="N34" s="7">
        <f t="shared" si="11"/>
        <v>-1</v>
      </c>
      <c r="O34" s="11"/>
      <c r="P34" s="6">
        <v>1236.8800000000001</v>
      </c>
      <c r="Q34" s="2"/>
      <c r="R34" s="7">
        <f t="shared" si="12"/>
        <v>0</v>
      </c>
      <c r="S34" s="2"/>
      <c r="T34" s="6">
        <v>244.75</v>
      </c>
      <c r="U34" s="2"/>
      <c r="V34" s="7">
        <f t="shared" si="13"/>
        <v>0</v>
      </c>
      <c r="W34" s="2"/>
      <c r="X34" s="6">
        <f t="shared" si="14"/>
        <v>992.13000000000011</v>
      </c>
      <c r="Y34" s="2"/>
      <c r="Z34" s="7">
        <f t="shared" si="15"/>
        <v>4.0536465781409605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>
        <v>-1428.5</v>
      </c>
      <c r="E35" s="2"/>
      <c r="F35" s="7">
        <f t="shared" si="8"/>
        <v>0</v>
      </c>
      <c r="G35" s="2"/>
      <c r="H35" s="6">
        <v>-816</v>
      </c>
      <c r="I35" s="2"/>
      <c r="J35" s="7">
        <f t="shared" si="9"/>
        <v>0</v>
      </c>
      <c r="K35" s="2"/>
      <c r="L35" s="6">
        <f t="shared" si="10"/>
        <v>-612.5</v>
      </c>
      <c r="M35" s="2"/>
      <c r="N35" s="7">
        <f t="shared" si="11"/>
        <v>0.75061274509803921</v>
      </c>
      <c r="O35" s="11"/>
      <c r="P35" s="6">
        <v>8176.94</v>
      </c>
      <c r="Q35" s="2"/>
      <c r="R35" s="7">
        <f t="shared" si="12"/>
        <v>0</v>
      </c>
      <c r="S35" s="2"/>
      <c r="T35" s="6">
        <v>2134</v>
      </c>
      <c r="U35" s="2"/>
      <c r="V35" s="7">
        <f t="shared" si="13"/>
        <v>0</v>
      </c>
      <c r="W35" s="2"/>
      <c r="X35" s="6">
        <f t="shared" si="14"/>
        <v>6042.94</v>
      </c>
      <c r="Y35" s="2"/>
      <c r="Z35" s="7">
        <f t="shared" si="15"/>
        <v>2.8317432052483595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2142.75</v>
      </c>
      <c r="E36" s="1"/>
      <c r="F36" s="5">
        <f t="shared" ref="F36:F41" si="16">IF(D$12=0,0,D36/D$12)</f>
        <v>0</v>
      </c>
      <c r="G36" s="1"/>
      <c r="H36" s="1">
        <f>SUM(OSRRefH22_2x_0)</f>
        <v>474.04</v>
      </c>
      <c r="I36" s="1"/>
      <c r="J36" s="5">
        <f t="shared" ref="J36:J41" si="17">IF(H$12=0,0,H36/H$12)</f>
        <v>0</v>
      </c>
      <c r="K36" s="1"/>
      <c r="L36" s="1">
        <f t="shared" ref="L36:L41" si="18">+D36-H36</f>
        <v>1668.71</v>
      </c>
      <c r="M36" s="1"/>
      <c r="N36" s="5">
        <f t="shared" ref="N36:N41" si="19">IF(H36=0,0,L36/H36)</f>
        <v>3.5201881697747024</v>
      </c>
      <c r="O36" s="13"/>
      <c r="P36" s="1">
        <f>SUM(OSRRefP22_2x_0)</f>
        <v>2448.56</v>
      </c>
      <c r="Q36" s="1"/>
      <c r="R36" s="5">
        <f t="shared" ref="R36:R41" si="20">IF(P$12=0,0,P36/P$12)</f>
        <v>0</v>
      </c>
      <c r="S36" s="1"/>
      <c r="T36" s="1">
        <f>SUM(OSRRefT22_2x_0)</f>
        <v>1171.8399999999999</v>
      </c>
      <c r="U36" s="1"/>
      <c r="V36" s="5">
        <f t="shared" ref="V36:V41" si="21">IF(T$12=0,0,T36/T$12)</f>
        <v>0</v>
      </c>
      <c r="W36" s="1"/>
      <c r="X36" s="1">
        <f t="shared" ref="X36:X41" si="22">+P36-T36</f>
        <v>1276.72</v>
      </c>
      <c r="Y36" s="1"/>
      <c r="Z36" s="5">
        <f t="shared" ref="Z36:Z41" si="23">IF(T36=0,0,X36/T36)</f>
        <v>1.0895002730748227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>
        <v>2142.75</v>
      </c>
      <c r="E37" s="2"/>
      <c r="F37" s="7">
        <f t="shared" si="16"/>
        <v>0</v>
      </c>
      <c r="G37" s="2"/>
      <c r="H37" s="6">
        <v>474.04</v>
      </c>
      <c r="I37" s="2"/>
      <c r="J37" s="7">
        <f t="shared" si="17"/>
        <v>0</v>
      </c>
      <c r="K37" s="2"/>
      <c r="L37" s="6">
        <f t="shared" si="18"/>
        <v>1668.71</v>
      </c>
      <c r="M37" s="2"/>
      <c r="N37" s="7">
        <f t="shared" si="19"/>
        <v>3.5201881697747024</v>
      </c>
      <c r="O37" s="11"/>
      <c r="P37" s="6">
        <v>2448.56</v>
      </c>
      <c r="Q37" s="2"/>
      <c r="R37" s="7">
        <f t="shared" si="20"/>
        <v>0</v>
      </c>
      <c r="S37" s="2"/>
      <c r="T37" s="6">
        <v>1171.8399999999999</v>
      </c>
      <c r="U37" s="2"/>
      <c r="V37" s="7">
        <f t="shared" si="21"/>
        <v>0</v>
      </c>
      <c r="W37" s="2"/>
      <c r="X37" s="6">
        <f t="shared" si="22"/>
        <v>1276.72</v>
      </c>
      <c r="Y37" s="2"/>
      <c r="Z37" s="7">
        <f t="shared" si="23"/>
        <v>1.0895002730748227</v>
      </c>
    </row>
    <row r="38" spans="1:26" s="27" customFormat="1" outlineLevel="1" collapsed="1" x14ac:dyDescent="0.25">
      <c r="A38" s="25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6821.6399999999994</v>
      </c>
      <c r="E38" s="1"/>
      <c r="F38" s="5">
        <f t="shared" si="16"/>
        <v>0</v>
      </c>
      <c r="G38" s="1"/>
      <c r="H38" s="1">
        <f>SUM(OSRRefH22_3x_0)</f>
        <v>7198.51</v>
      </c>
      <c r="I38" s="1"/>
      <c r="J38" s="5">
        <f t="shared" si="17"/>
        <v>0</v>
      </c>
      <c r="K38" s="1"/>
      <c r="L38" s="1">
        <f t="shared" si="18"/>
        <v>-376.8700000000008</v>
      </c>
      <c r="M38" s="1"/>
      <c r="N38" s="5">
        <f t="shared" si="19"/>
        <v>-5.2353889902215983E-2</v>
      </c>
      <c r="O38" s="13"/>
      <c r="P38" s="1">
        <f>SUM(OSRRefP22_3x_0)</f>
        <v>27286.559999999998</v>
      </c>
      <c r="Q38" s="1"/>
      <c r="R38" s="5">
        <f t="shared" si="20"/>
        <v>0</v>
      </c>
      <c r="S38" s="1"/>
      <c r="T38" s="1">
        <f>SUM(OSRRefT22_3x_0)</f>
        <v>47767.900000000009</v>
      </c>
      <c r="U38" s="1"/>
      <c r="V38" s="5">
        <f t="shared" si="21"/>
        <v>0</v>
      </c>
      <c r="W38" s="1"/>
      <c r="X38" s="1">
        <f t="shared" si="22"/>
        <v>-20481.340000000011</v>
      </c>
      <c r="Y38" s="1"/>
      <c r="Z38" s="5">
        <f t="shared" si="23"/>
        <v>-0.42876785456342037</v>
      </c>
    </row>
    <row r="39" spans="1:26" s="24" customFormat="1" hidden="1" outlineLevel="2" x14ac:dyDescent="0.25">
      <c r="A39" s="26"/>
      <c r="B39" s="11" t="str">
        <f>CONCATENATE("          ", "6321", " - ", "BUILDING DEPRECIATION")</f>
        <v xml:space="preserve">          6321 - BUILDING DEPRECIATION</v>
      </c>
      <c r="C39" s="11"/>
      <c r="D39" s="6">
        <v>2266.9499999999998</v>
      </c>
      <c r="E39" s="2"/>
      <c r="F39" s="7">
        <f t="shared" si="16"/>
        <v>0</v>
      </c>
      <c r="G39" s="2"/>
      <c r="H39" s="6">
        <v>4040.07</v>
      </c>
      <c r="I39" s="2"/>
      <c r="J39" s="7">
        <f t="shared" si="17"/>
        <v>0</v>
      </c>
      <c r="K39" s="2"/>
      <c r="L39" s="6">
        <f t="shared" si="18"/>
        <v>-1773.1200000000003</v>
      </c>
      <c r="M39" s="2"/>
      <c r="N39" s="7">
        <f t="shared" si="19"/>
        <v>-0.43888348469209698</v>
      </c>
      <c r="O39" s="11"/>
      <c r="P39" s="6">
        <v>9067.7999999999993</v>
      </c>
      <c r="Q39" s="2"/>
      <c r="R39" s="7">
        <f t="shared" si="20"/>
        <v>0</v>
      </c>
      <c r="S39" s="2"/>
      <c r="T39" s="6">
        <v>35134.140000000007</v>
      </c>
      <c r="U39" s="2"/>
      <c r="V39" s="7">
        <f t="shared" si="21"/>
        <v>0</v>
      </c>
      <c r="W39" s="2"/>
      <c r="X39" s="6">
        <f t="shared" si="22"/>
        <v>-26066.340000000007</v>
      </c>
      <c r="Y39" s="2"/>
      <c r="Z39" s="7">
        <f t="shared" si="23"/>
        <v>-0.74190915161150961</v>
      </c>
    </row>
    <row r="40" spans="1:26" s="24" customFormat="1" hidden="1" outlineLevel="2" x14ac:dyDescent="0.25">
      <c r="A40" s="26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4130.4399999999996</v>
      </c>
      <c r="E40" s="2"/>
      <c r="F40" s="7">
        <f t="shared" si="16"/>
        <v>0</v>
      </c>
      <c r="G40" s="2"/>
      <c r="H40" s="6">
        <v>2734.19</v>
      </c>
      <c r="I40" s="2"/>
      <c r="J40" s="7">
        <f t="shared" si="17"/>
        <v>0</v>
      </c>
      <c r="K40" s="2"/>
      <c r="L40" s="6">
        <f t="shared" si="18"/>
        <v>1396.2499999999995</v>
      </c>
      <c r="M40" s="2"/>
      <c r="N40" s="7">
        <f t="shared" si="19"/>
        <v>0.51066312143633019</v>
      </c>
      <c r="O40" s="11"/>
      <c r="P40" s="6">
        <v>16521.759999999998</v>
      </c>
      <c r="Q40" s="2"/>
      <c r="R40" s="7">
        <f t="shared" si="20"/>
        <v>0</v>
      </c>
      <c r="S40" s="2"/>
      <c r="T40" s="6">
        <v>10936.76</v>
      </c>
      <c r="U40" s="2"/>
      <c r="V40" s="7">
        <f t="shared" si="21"/>
        <v>0</v>
      </c>
      <c r="W40" s="2"/>
      <c r="X40" s="6">
        <f t="shared" si="22"/>
        <v>5584.9999999999982</v>
      </c>
      <c r="Y40" s="2"/>
      <c r="Z40" s="7">
        <f t="shared" si="23"/>
        <v>0.51066312143633019</v>
      </c>
    </row>
    <row r="41" spans="1:26" s="24" customFormat="1" hidden="1" outlineLevel="2" x14ac:dyDescent="0.25">
      <c r="A41" s="26"/>
      <c r="B41" s="11" t="str">
        <f>CONCATENATE("          ", "6326", " - ", "VEHICLES DEPRECIATION EXPENSE")</f>
        <v xml:space="preserve">          6326 - VEHICLES DEPRECIATION EXPENSE</v>
      </c>
      <c r="C41" s="11"/>
      <c r="D41" s="6">
        <v>424.25</v>
      </c>
      <c r="E41" s="2"/>
      <c r="F41" s="7">
        <f t="shared" si="16"/>
        <v>0</v>
      </c>
      <c r="G41" s="2"/>
      <c r="H41" s="6">
        <v>424.25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1697</v>
      </c>
      <c r="Q41" s="2"/>
      <c r="R41" s="7">
        <f t="shared" si="20"/>
        <v>0</v>
      </c>
      <c r="S41" s="2"/>
      <c r="T41" s="6">
        <v>1697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7" customFormat="1" outlineLevel="1" collapsed="1" x14ac:dyDescent="0.25">
      <c r="A42" s="25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SUM(OSRRefD22_4x_0)</f>
        <v>163.68</v>
      </c>
      <c r="E42" s="1"/>
      <c r="F42" s="5">
        <f t="shared" ref="F42:F57" si="24">IF(D$12=0,0,D42/D$12)</f>
        <v>0</v>
      </c>
      <c r="G42" s="1"/>
      <c r="H42" s="1">
        <f>SUM(OSRRefH22_4x_0)</f>
        <v>188.24</v>
      </c>
      <c r="I42" s="1"/>
      <c r="J42" s="5">
        <f t="shared" ref="J42:J57" si="25">IF(H$12=0,0,H42/H$12)</f>
        <v>0</v>
      </c>
      <c r="K42" s="1"/>
      <c r="L42" s="1">
        <f t="shared" ref="L42:L57" si="26">+D42-H42</f>
        <v>-24.560000000000002</v>
      </c>
      <c r="M42" s="1"/>
      <c r="N42" s="5">
        <f t="shared" ref="N42:N57" si="27">IF(H42=0,0,L42/H42)</f>
        <v>-0.13047173820654484</v>
      </c>
      <c r="O42" s="13"/>
      <c r="P42" s="1">
        <f>SUM(OSRRefP22_4x_0)</f>
        <v>163.68</v>
      </c>
      <c r="Q42" s="1"/>
      <c r="R42" s="5">
        <f t="shared" ref="R42:R57" si="28">IF(P$12=0,0,P42/P$12)</f>
        <v>0</v>
      </c>
      <c r="S42" s="1"/>
      <c r="T42" s="1">
        <f>SUM(OSRRefT22_4x_0)</f>
        <v>688.24</v>
      </c>
      <c r="U42" s="1"/>
      <c r="V42" s="5">
        <f t="shared" ref="V42:V57" si="29">IF(T$12=0,0,T42/T$12)</f>
        <v>0</v>
      </c>
      <c r="W42" s="1"/>
      <c r="X42" s="1">
        <f t="shared" ref="X42:X57" si="30">+P42-T42</f>
        <v>-524.55999999999995</v>
      </c>
      <c r="Y42" s="1"/>
      <c r="Z42" s="5">
        <f t="shared" ref="Z42:Z57" si="31">IF(T42=0,0,X42/T42)</f>
        <v>-0.76217598512146911</v>
      </c>
    </row>
    <row r="43" spans="1:26" s="24" customFormat="1" hidden="1" outlineLevel="2" x14ac:dyDescent="0.25">
      <c r="A43" s="26"/>
      <c r="B43" s="11" t="str">
        <f>CONCATENATE("          ", "6399", " - ", "DONATION-ON CAMPUS")</f>
        <v xml:space="preserve">          6399 - DONATION-ON CAMPUS</v>
      </c>
      <c r="C43" s="11"/>
      <c r="D43" s="6">
        <v>163.68</v>
      </c>
      <c r="E43" s="2"/>
      <c r="F43" s="7">
        <f t="shared" si="24"/>
        <v>0</v>
      </c>
      <c r="G43" s="2"/>
      <c r="H43" s="6">
        <v>188.24</v>
      </c>
      <c r="I43" s="2"/>
      <c r="J43" s="7">
        <f t="shared" si="25"/>
        <v>0</v>
      </c>
      <c r="K43" s="2"/>
      <c r="L43" s="6">
        <f t="shared" si="26"/>
        <v>-24.560000000000002</v>
      </c>
      <c r="M43" s="2"/>
      <c r="N43" s="7">
        <f t="shared" si="27"/>
        <v>-0.13047173820654484</v>
      </c>
      <c r="O43" s="11"/>
      <c r="P43" s="6">
        <v>163.68</v>
      </c>
      <c r="Q43" s="2"/>
      <c r="R43" s="7">
        <f t="shared" si="28"/>
        <v>0</v>
      </c>
      <c r="S43" s="2"/>
      <c r="T43" s="6">
        <v>688.24</v>
      </c>
      <c r="U43" s="2"/>
      <c r="V43" s="7">
        <f t="shared" si="29"/>
        <v>0</v>
      </c>
      <c r="W43" s="2"/>
      <c r="X43" s="6">
        <f t="shared" si="30"/>
        <v>-524.55999999999995</v>
      </c>
      <c r="Y43" s="2"/>
      <c r="Z43" s="7">
        <f t="shared" si="31"/>
        <v>-0.76217598512146911</v>
      </c>
    </row>
    <row r="44" spans="1:26" s="27" customFormat="1" outlineLevel="1" collapsed="1" x14ac:dyDescent="0.25">
      <c r="A44" s="25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SUM(OSRRefD22_5x_0)</f>
        <v>0</v>
      </c>
      <c r="E44" s="1"/>
      <c r="F44" s="5">
        <f t="shared" si="24"/>
        <v>0</v>
      </c>
      <c r="G44" s="1"/>
      <c r="H44" s="1">
        <f>SUM(OSRRefH22_5x_0)</f>
        <v>97.59</v>
      </c>
      <c r="I44" s="1"/>
      <c r="J44" s="5">
        <f t="shared" si="25"/>
        <v>0</v>
      </c>
      <c r="K44" s="1"/>
      <c r="L44" s="1">
        <f t="shared" si="26"/>
        <v>-97.59</v>
      </c>
      <c r="M44" s="1"/>
      <c r="N44" s="5">
        <f t="shared" si="27"/>
        <v>-1</v>
      </c>
      <c r="O44" s="13"/>
      <c r="P44" s="1">
        <f>SUM(OSRRefP22_5x_0)</f>
        <v>192.72</v>
      </c>
      <c r="Q44" s="1"/>
      <c r="R44" s="5">
        <f t="shared" si="28"/>
        <v>0</v>
      </c>
      <c r="S44" s="1"/>
      <c r="T44" s="1">
        <f>SUM(OSRRefT22_5x_0)</f>
        <v>697.28</v>
      </c>
      <c r="U44" s="1"/>
      <c r="V44" s="5">
        <f t="shared" si="29"/>
        <v>0</v>
      </c>
      <c r="W44" s="1"/>
      <c r="X44" s="1">
        <f t="shared" si="30"/>
        <v>-504.55999999999995</v>
      </c>
      <c r="Y44" s="1"/>
      <c r="Z44" s="5">
        <f t="shared" si="31"/>
        <v>-0.72361174850849008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24"/>
        <v>0</v>
      </c>
      <c r="G45" s="2"/>
      <c r="H45" s="6">
        <v>97.59</v>
      </c>
      <c r="I45" s="2"/>
      <c r="J45" s="7">
        <f t="shared" si="25"/>
        <v>0</v>
      </c>
      <c r="K45" s="2"/>
      <c r="L45" s="6">
        <f t="shared" si="26"/>
        <v>-97.59</v>
      </c>
      <c r="M45" s="2"/>
      <c r="N45" s="7">
        <f t="shared" si="27"/>
        <v>-1</v>
      </c>
      <c r="O45" s="11"/>
      <c r="P45" s="6">
        <v>192.72</v>
      </c>
      <c r="Q45" s="2"/>
      <c r="R45" s="7">
        <f t="shared" si="28"/>
        <v>0</v>
      </c>
      <c r="S45" s="2"/>
      <c r="T45" s="6">
        <v>697.28</v>
      </c>
      <c r="U45" s="2"/>
      <c r="V45" s="7">
        <f t="shared" si="29"/>
        <v>0</v>
      </c>
      <c r="W45" s="2"/>
      <c r="X45" s="6">
        <f t="shared" si="30"/>
        <v>-504.55999999999995</v>
      </c>
      <c r="Y45" s="2"/>
      <c r="Z45" s="7">
        <f t="shared" si="31"/>
        <v>-0.72361174850849008</v>
      </c>
    </row>
    <row r="46" spans="1:26" s="27" customFormat="1" outlineLevel="1" collapsed="1" x14ac:dyDescent="0.25">
      <c r="A46" s="25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SUM(OSRRefD22_6x_0)</f>
        <v>1794.84</v>
      </c>
      <c r="E46" s="1"/>
      <c r="F46" s="5">
        <f t="shared" si="24"/>
        <v>0</v>
      </c>
      <c r="G46" s="1"/>
      <c r="H46" s="1">
        <f>SUM(OSRRefH22_6x_0)</f>
        <v>831.82</v>
      </c>
      <c r="I46" s="1"/>
      <c r="J46" s="5">
        <f t="shared" si="25"/>
        <v>0</v>
      </c>
      <c r="K46" s="1"/>
      <c r="L46" s="1">
        <f t="shared" si="26"/>
        <v>963.01999999999987</v>
      </c>
      <c r="M46" s="1"/>
      <c r="N46" s="5">
        <f t="shared" si="27"/>
        <v>1.1577264311990572</v>
      </c>
      <c r="O46" s="13"/>
      <c r="P46" s="1">
        <f>SUM(OSRRefP22_6x_0)</f>
        <v>4646.28</v>
      </c>
      <c r="Q46" s="1"/>
      <c r="R46" s="5">
        <f t="shared" si="28"/>
        <v>0</v>
      </c>
      <c r="S46" s="1"/>
      <c r="T46" s="1">
        <f>SUM(OSRRefT22_6x_0)</f>
        <v>4020.54</v>
      </c>
      <c r="U46" s="1"/>
      <c r="V46" s="5">
        <f t="shared" si="29"/>
        <v>0</v>
      </c>
      <c r="W46" s="1"/>
      <c r="X46" s="1">
        <f t="shared" si="30"/>
        <v>625.73999999999978</v>
      </c>
      <c r="Y46" s="1"/>
      <c r="Z46" s="5">
        <f t="shared" si="31"/>
        <v>0.15563581011505911</v>
      </c>
    </row>
    <row r="47" spans="1:26" s="24" customFormat="1" hidden="1" outlineLevel="2" x14ac:dyDescent="0.25">
      <c r="A47" s="26"/>
      <c r="B47" s="11" t="str">
        <f>CONCATENATE("          ", "6351", " - ", "EQUIPMENT RENTAL")</f>
        <v xml:space="preserve">          6351 - EQUIPMENT RENTAL</v>
      </c>
      <c r="C47" s="11"/>
      <c r="D47" s="6">
        <v>1794.84</v>
      </c>
      <c r="E47" s="2"/>
      <c r="F47" s="7">
        <f t="shared" si="24"/>
        <v>0</v>
      </c>
      <c r="G47" s="2"/>
      <c r="H47" s="6">
        <v>831.82</v>
      </c>
      <c r="I47" s="2"/>
      <c r="J47" s="7">
        <f t="shared" si="25"/>
        <v>0</v>
      </c>
      <c r="K47" s="2"/>
      <c r="L47" s="6">
        <f t="shared" si="26"/>
        <v>963.01999999999987</v>
      </c>
      <c r="M47" s="2"/>
      <c r="N47" s="7">
        <f t="shared" si="27"/>
        <v>1.1577264311990572</v>
      </c>
      <c r="O47" s="11"/>
      <c r="P47" s="6">
        <v>4646.28</v>
      </c>
      <c r="Q47" s="2"/>
      <c r="R47" s="7">
        <f t="shared" si="28"/>
        <v>0</v>
      </c>
      <c r="S47" s="2"/>
      <c r="T47" s="6">
        <v>4020.54</v>
      </c>
      <c r="U47" s="2"/>
      <c r="V47" s="7">
        <f t="shared" si="29"/>
        <v>0</v>
      </c>
      <c r="W47" s="2"/>
      <c r="X47" s="6">
        <f t="shared" si="30"/>
        <v>625.73999999999978</v>
      </c>
      <c r="Y47" s="2"/>
      <c r="Z47" s="7">
        <f t="shared" si="31"/>
        <v>0.15563581011505911</v>
      </c>
    </row>
    <row r="48" spans="1:26" s="27" customFormat="1" outlineLevel="1" collapsed="1" x14ac:dyDescent="0.25">
      <c r="A48" s="25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SUM(OSRRefD22_7x_0)</f>
        <v>1136.44</v>
      </c>
      <c r="E48" s="1"/>
      <c r="F48" s="5">
        <f t="shared" si="24"/>
        <v>0</v>
      </c>
      <c r="G48" s="1"/>
      <c r="H48" s="1">
        <f>SUM(OSRRefH22_7x_0)</f>
        <v>0</v>
      </c>
      <c r="I48" s="1"/>
      <c r="J48" s="5">
        <f t="shared" si="25"/>
        <v>0</v>
      </c>
      <c r="K48" s="1"/>
      <c r="L48" s="1">
        <f t="shared" si="26"/>
        <v>1136.44</v>
      </c>
      <c r="M48" s="1"/>
      <c r="N48" s="5">
        <f t="shared" si="27"/>
        <v>0</v>
      </c>
      <c r="O48" s="13"/>
      <c r="P48" s="1">
        <f>SUM(OSRRefP22_7x_0)</f>
        <v>1136.44</v>
      </c>
      <c r="Q48" s="1"/>
      <c r="R48" s="5">
        <f t="shared" si="28"/>
        <v>0</v>
      </c>
      <c r="S48" s="1"/>
      <c r="T48" s="1">
        <f>SUM(OSRRefT22_7x_0)</f>
        <v>0</v>
      </c>
      <c r="U48" s="1"/>
      <c r="V48" s="5">
        <f t="shared" si="29"/>
        <v>0</v>
      </c>
      <c r="W48" s="1"/>
      <c r="X48" s="1">
        <f t="shared" si="30"/>
        <v>1136.44</v>
      </c>
      <c r="Y48" s="1"/>
      <c r="Z48" s="5">
        <f t="shared" si="31"/>
        <v>0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6">
        <v>1136.44</v>
      </c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1136.44</v>
      </c>
      <c r="M49" s="2"/>
      <c r="N49" s="7">
        <f t="shared" si="27"/>
        <v>0</v>
      </c>
      <c r="O49" s="11"/>
      <c r="P49" s="6">
        <v>1136.44</v>
      </c>
      <c r="Q49" s="2"/>
      <c r="R49" s="7">
        <f t="shared" si="28"/>
        <v>0</v>
      </c>
      <c r="S49" s="2"/>
      <c r="T49" s="6"/>
      <c r="U49" s="2"/>
      <c r="V49" s="7">
        <f t="shared" si="29"/>
        <v>0</v>
      </c>
      <c r="W49" s="2"/>
      <c r="X49" s="6">
        <f t="shared" si="30"/>
        <v>1136.44</v>
      </c>
      <c r="Y49" s="2"/>
      <c r="Z49" s="7">
        <f t="shared" si="31"/>
        <v>0</v>
      </c>
    </row>
    <row r="50" spans="1:26" s="27" customFormat="1" outlineLevel="1" collapsed="1" x14ac:dyDescent="0.25">
      <c r="A50" s="25"/>
      <c r="B50" s="13" t="str">
        <f>CONCATENATE("     ","Insurance                                         ")</f>
        <v xml:space="preserve">     Insurance                                         </v>
      </c>
      <c r="C50" s="13"/>
      <c r="D50" s="1">
        <f>SUM(OSRRefD22_8x_0)</f>
        <v>3598.85</v>
      </c>
      <c r="E50" s="1"/>
      <c r="F50" s="5">
        <f t="shared" si="24"/>
        <v>0</v>
      </c>
      <c r="G50" s="1"/>
      <c r="H50" s="1">
        <f>SUM(OSRRefH22_8x_0)</f>
        <v>3389.02</v>
      </c>
      <c r="I50" s="1"/>
      <c r="J50" s="5">
        <f t="shared" si="25"/>
        <v>0</v>
      </c>
      <c r="K50" s="1"/>
      <c r="L50" s="1">
        <f t="shared" si="26"/>
        <v>209.82999999999993</v>
      </c>
      <c r="M50" s="1"/>
      <c r="N50" s="5">
        <f t="shared" si="27"/>
        <v>6.191465379372206E-2</v>
      </c>
      <c r="O50" s="13"/>
      <c r="P50" s="1">
        <f>SUM(OSRRefP22_8x_0)</f>
        <v>14395.4</v>
      </c>
      <c r="Q50" s="1"/>
      <c r="R50" s="5">
        <f t="shared" si="28"/>
        <v>0</v>
      </c>
      <c r="S50" s="1"/>
      <c r="T50" s="1">
        <f>SUM(OSRRefT22_8x_0)</f>
        <v>18144.080000000002</v>
      </c>
      <c r="U50" s="1"/>
      <c r="V50" s="5">
        <f t="shared" si="29"/>
        <v>0</v>
      </c>
      <c r="W50" s="1"/>
      <c r="X50" s="1">
        <f t="shared" si="30"/>
        <v>-3748.6800000000021</v>
      </c>
      <c r="Y50" s="1"/>
      <c r="Z50" s="5">
        <f t="shared" si="31"/>
        <v>-0.20660623189492119</v>
      </c>
    </row>
    <row r="51" spans="1:26" s="24" customFormat="1" hidden="1" outlineLevel="2" x14ac:dyDescent="0.25">
      <c r="A51" s="26"/>
      <c r="B51" s="11" t="str">
        <f>CONCATENATE("          ", "6314", " - ", "LIABILITY INSURANCE")</f>
        <v xml:space="preserve">          6314 - LIABILITY INSURANCE</v>
      </c>
      <c r="C51" s="11"/>
      <c r="D51" s="6">
        <v>3598.85</v>
      </c>
      <c r="E51" s="2"/>
      <c r="F51" s="7">
        <f t="shared" si="24"/>
        <v>0</v>
      </c>
      <c r="G51" s="2"/>
      <c r="H51" s="6">
        <v>3389.02</v>
      </c>
      <c r="I51" s="2"/>
      <c r="J51" s="7">
        <f t="shared" si="25"/>
        <v>0</v>
      </c>
      <c r="K51" s="2"/>
      <c r="L51" s="6">
        <f t="shared" si="26"/>
        <v>209.82999999999993</v>
      </c>
      <c r="M51" s="2"/>
      <c r="N51" s="7">
        <f t="shared" si="27"/>
        <v>6.191465379372206E-2</v>
      </c>
      <c r="O51" s="11"/>
      <c r="P51" s="6">
        <v>14395.4</v>
      </c>
      <c r="Q51" s="2"/>
      <c r="R51" s="7">
        <f t="shared" si="28"/>
        <v>0</v>
      </c>
      <c r="S51" s="2"/>
      <c r="T51" s="6">
        <v>18144.080000000002</v>
      </c>
      <c r="U51" s="2"/>
      <c r="V51" s="7">
        <f t="shared" si="29"/>
        <v>0</v>
      </c>
      <c r="W51" s="2"/>
      <c r="X51" s="6">
        <f t="shared" si="30"/>
        <v>-3748.6800000000021</v>
      </c>
      <c r="Y51" s="2"/>
      <c r="Z51" s="7">
        <f t="shared" si="31"/>
        <v>-0.20660623189492119</v>
      </c>
    </row>
    <row r="52" spans="1:26" s="27" customFormat="1" outlineLevel="1" collapsed="1" x14ac:dyDescent="0.25">
      <c r="A52" s="25"/>
      <c r="B52" s="13" t="str">
        <f>CONCATENATE("     ","Professional Services                             ")</f>
        <v xml:space="preserve">     Professional Services                             </v>
      </c>
      <c r="C52" s="13"/>
      <c r="D52" s="1">
        <f>SUM(OSRRefD22_9x_0)</f>
        <v>0</v>
      </c>
      <c r="E52" s="1"/>
      <c r="F52" s="5">
        <f t="shared" si="24"/>
        <v>0</v>
      </c>
      <c r="G52" s="1"/>
      <c r="H52" s="1">
        <f>SUM(OSRRefH22_9x_0)</f>
        <v>0</v>
      </c>
      <c r="I52" s="1"/>
      <c r="J52" s="5">
        <f t="shared" si="25"/>
        <v>0</v>
      </c>
      <c r="K52" s="1"/>
      <c r="L52" s="1">
        <f t="shared" si="26"/>
        <v>0</v>
      </c>
      <c r="M52" s="1"/>
      <c r="N52" s="5">
        <f t="shared" si="27"/>
        <v>0</v>
      </c>
      <c r="O52" s="13"/>
      <c r="P52" s="1">
        <f>SUM(OSRRefP22_9x_0)</f>
        <v>125</v>
      </c>
      <c r="Q52" s="1"/>
      <c r="R52" s="5">
        <f t="shared" si="28"/>
        <v>0</v>
      </c>
      <c r="S52" s="1"/>
      <c r="T52" s="1">
        <f>SUM(OSRRefT22_9x_0)</f>
        <v>0</v>
      </c>
      <c r="U52" s="1"/>
      <c r="V52" s="5">
        <f t="shared" si="29"/>
        <v>0</v>
      </c>
      <c r="W52" s="1"/>
      <c r="X52" s="1">
        <f t="shared" si="30"/>
        <v>125</v>
      </c>
      <c r="Y52" s="1"/>
      <c r="Z52" s="5">
        <f t="shared" si="31"/>
        <v>0</v>
      </c>
    </row>
    <row r="53" spans="1:26" s="24" customFormat="1" hidden="1" outlineLevel="2" x14ac:dyDescent="0.25">
      <c r="A53" s="26"/>
      <c r="B53" s="11" t="str">
        <f>CONCATENATE("          ", "6336", " - ", "PROFESSIONAL SERVICES")</f>
        <v xml:space="preserve">          6336 - PROFESSIONAL SERVICES</v>
      </c>
      <c r="C53" s="11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>
        <v>125</v>
      </c>
      <c r="Q53" s="2"/>
      <c r="R53" s="7">
        <f t="shared" si="28"/>
        <v>0</v>
      </c>
      <c r="S53" s="2"/>
      <c r="T53" s="6"/>
      <c r="U53" s="2"/>
      <c r="V53" s="7">
        <f t="shared" si="29"/>
        <v>0</v>
      </c>
      <c r="W53" s="2"/>
      <c r="X53" s="6">
        <f t="shared" si="30"/>
        <v>125</v>
      </c>
      <c r="Y53" s="2"/>
      <c r="Z53" s="7">
        <f t="shared" si="31"/>
        <v>0</v>
      </c>
    </row>
    <row r="54" spans="1:26" s="27" customFormat="1" outlineLevel="1" collapsed="1" x14ac:dyDescent="0.25">
      <c r="A54" s="25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7515.44</v>
      </c>
      <c r="E54" s="1"/>
      <c r="F54" s="5">
        <f t="shared" si="24"/>
        <v>0</v>
      </c>
      <c r="G54" s="1"/>
      <c r="H54" s="1">
        <f>SUM(OSRRefH22_10x_0)</f>
        <v>22366.48</v>
      </c>
      <c r="I54" s="1"/>
      <c r="J54" s="5">
        <f t="shared" si="25"/>
        <v>0</v>
      </c>
      <c r="K54" s="1"/>
      <c r="L54" s="1">
        <f t="shared" si="26"/>
        <v>-14851.04</v>
      </c>
      <c r="M54" s="1"/>
      <c r="N54" s="5">
        <f t="shared" si="27"/>
        <v>-0.66398646546081463</v>
      </c>
      <c r="O54" s="13"/>
      <c r="P54" s="1">
        <f>SUM(OSRRefP22_10x_0)</f>
        <v>43567.91</v>
      </c>
      <c r="Q54" s="1"/>
      <c r="R54" s="5">
        <f t="shared" si="28"/>
        <v>0</v>
      </c>
      <c r="S54" s="1"/>
      <c r="T54" s="1">
        <f>SUM(OSRRefT22_10x_0)</f>
        <v>54333.36</v>
      </c>
      <c r="U54" s="1"/>
      <c r="V54" s="5">
        <f t="shared" si="29"/>
        <v>0</v>
      </c>
      <c r="W54" s="1"/>
      <c r="X54" s="1">
        <f t="shared" si="30"/>
        <v>-10765.449999999997</v>
      </c>
      <c r="Y54" s="1"/>
      <c r="Z54" s="5">
        <f t="shared" si="31"/>
        <v>-0.19813701931925426</v>
      </c>
    </row>
    <row r="55" spans="1:26" s="24" customFormat="1" hidden="1" outlineLevel="2" x14ac:dyDescent="0.25">
      <c r="A55" s="26"/>
      <c r="B55" s="11" t="str">
        <f>CONCATENATE("          ", "6371", " - ", "COMPUTER SOFTWARE MAINTENANCE")</f>
        <v xml:space="preserve">          6371 - COMPUTER SOFTWARE MAINTENANCE</v>
      </c>
      <c r="C55" s="11"/>
      <c r="D55" s="6"/>
      <c r="E55" s="2"/>
      <c r="F55" s="7">
        <f t="shared" si="24"/>
        <v>0</v>
      </c>
      <c r="G55" s="2"/>
      <c r="H55" s="6">
        <v>12516.31</v>
      </c>
      <c r="I55" s="2"/>
      <c r="J55" s="7">
        <f t="shared" si="25"/>
        <v>0</v>
      </c>
      <c r="K55" s="2"/>
      <c r="L55" s="6">
        <f t="shared" si="26"/>
        <v>-12516.31</v>
      </c>
      <c r="M55" s="2"/>
      <c r="N55" s="7">
        <f t="shared" si="27"/>
        <v>-1</v>
      </c>
      <c r="O55" s="11"/>
      <c r="P55" s="6"/>
      <c r="Q55" s="2"/>
      <c r="R55" s="7">
        <f t="shared" si="28"/>
        <v>0</v>
      </c>
      <c r="S55" s="2"/>
      <c r="T55" s="6">
        <v>12765.31</v>
      </c>
      <c r="U55" s="2"/>
      <c r="V55" s="7">
        <f t="shared" si="29"/>
        <v>0</v>
      </c>
      <c r="W55" s="2"/>
      <c r="X55" s="6">
        <f t="shared" si="30"/>
        <v>-12765.31</v>
      </c>
      <c r="Y55" s="2"/>
      <c r="Z55" s="7">
        <f t="shared" si="31"/>
        <v>-1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6">
        <v>5096.57</v>
      </c>
      <c r="E56" s="2"/>
      <c r="F56" s="7">
        <f t="shared" si="24"/>
        <v>0</v>
      </c>
      <c r="G56" s="2"/>
      <c r="H56" s="6">
        <v>5113.04</v>
      </c>
      <c r="I56" s="2"/>
      <c r="J56" s="7">
        <f t="shared" si="25"/>
        <v>0</v>
      </c>
      <c r="K56" s="2"/>
      <c r="L56" s="6">
        <f t="shared" si="26"/>
        <v>-16.470000000000255</v>
      </c>
      <c r="M56" s="2"/>
      <c r="N56" s="7">
        <f t="shared" si="27"/>
        <v>-3.2211756606637647E-3</v>
      </c>
      <c r="O56" s="11"/>
      <c r="P56" s="6">
        <v>24193.99</v>
      </c>
      <c r="Q56" s="2"/>
      <c r="R56" s="7">
        <f t="shared" si="28"/>
        <v>0</v>
      </c>
      <c r="S56" s="2"/>
      <c r="T56" s="6">
        <v>28648.230000000003</v>
      </c>
      <c r="U56" s="2"/>
      <c r="V56" s="7">
        <f t="shared" si="29"/>
        <v>0</v>
      </c>
      <c r="W56" s="2"/>
      <c r="X56" s="6">
        <f t="shared" si="30"/>
        <v>-4454.2400000000016</v>
      </c>
      <c r="Y56" s="2"/>
      <c r="Z56" s="7">
        <f t="shared" si="31"/>
        <v>-0.15548046074748775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6">
        <v>2418.87</v>
      </c>
      <c r="E57" s="2"/>
      <c r="F57" s="7">
        <f t="shared" si="24"/>
        <v>0</v>
      </c>
      <c r="G57" s="2"/>
      <c r="H57" s="6">
        <v>4737.13</v>
      </c>
      <c r="I57" s="2"/>
      <c r="J57" s="7">
        <f t="shared" si="25"/>
        <v>0</v>
      </c>
      <c r="K57" s="2"/>
      <c r="L57" s="6">
        <f t="shared" si="26"/>
        <v>-2318.2600000000002</v>
      </c>
      <c r="M57" s="2"/>
      <c r="N57" s="7">
        <f t="shared" si="27"/>
        <v>-0.489380700972952</v>
      </c>
      <c r="O57" s="11"/>
      <c r="P57" s="6">
        <v>19373.919999999998</v>
      </c>
      <c r="Q57" s="2"/>
      <c r="R57" s="7">
        <f t="shared" si="28"/>
        <v>0</v>
      </c>
      <c r="S57" s="2"/>
      <c r="T57" s="6">
        <v>12919.82</v>
      </c>
      <c r="U57" s="2"/>
      <c r="V57" s="7">
        <f t="shared" si="29"/>
        <v>0</v>
      </c>
      <c r="W57" s="2"/>
      <c r="X57" s="6">
        <f t="shared" si="30"/>
        <v>6454.0999999999985</v>
      </c>
      <c r="Y57" s="2"/>
      <c r="Z57" s="7">
        <f t="shared" si="31"/>
        <v>0.49955030333239925</v>
      </c>
    </row>
    <row r="58" spans="1:26" s="27" customFormat="1" outlineLevel="1" collapsed="1" x14ac:dyDescent="0.25">
      <c r="A58" s="25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14185.33</v>
      </c>
      <c r="E58" s="1"/>
      <c r="F58" s="5">
        <f t="shared" ref="F58:F63" si="32">IF(D$12=0,0,D58/D$12)</f>
        <v>0</v>
      </c>
      <c r="G58" s="1"/>
      <c r="H58" s="1">
        <f>SUM(OSRRefH22_11x_0)</f>
        <v>21949.57</v>
      </c>
      <c r="I58" s="1"/>
      <c r="J58" s="5">
        <f t="shared" ref="J58:J63" si="33">IF(H$12=0,0,H58/H$12)</f>
        <v>0</v>
      </c>
      <c r="K58" s="1"/>
      <c r="L58" s="1">
        <f t="shared" ref="L58:L63" si="34">+D58-H58</f>
        <v>-7764.24</v>
      </c>
      <c r="M58" s="1"/>
      <c r="N58" s="5">
        <f t="shared" ref="N58:N63" si="35">IF(H58=0,0,L58/H58)</f>
        <v>-0.35373084757469053</v>
      </c>
      <c r="O58" s="13"/>
      <c r="P58" s="1">
        <f>SUM(OSRRefP22_11x_0)</f>
        <v>50072.67</v>
      </c>
      <c r="Q58" s="1"/>
      <c r="R58" s="5">
        <f t="shared" ref="R58:R63" si="36">IF(P$12=0,0,P58/P$12)</f>
        <v>0</v>
      </c>
      <c r="S58" s="1"/>
      <c r="T58" s="1">
        <f>SUM(OSRRefT22_11x_0)</f>
        <v>63433.760000000002</v>
      </c>
      <c r="U58" s="1"/>
      <c r="V58" s="5">
        <f t="shared" ref="V58:V63" si="37">IF(T$12=0,0,T58/T$12)</f>
        <v>0</v>
      </c>
      <c r="W58" s="1"/>
      <c r="X58" s="1">
        <f t="shared" ref="X58:X63" si="38">+P58-T58</f>
        <v>-13361.090000000004</v>
      </c>
      <c r="Y58" s="1"/>
      <c r="Z58" s="5">
        <f t="shared" ref="Z58:Z63" si="39">IF(T58=0,0,X58/T58)</f>
        <v>-0.21063058535391885</v>
      </c>
    </row>
    <row r="59" spans="1:26" s="24" customFormat="1" hidden="1" outlineLevel="2" x14ac:dyDescent="0.25">
      <c r="A59" s="26"/>
      <c r="B59" s="11" t="str">
        <f>CONCATENATE("          ", "6282", " - ", "JANITORIAL/EXTERMINATOR EXPENS")</f>
        <v xml:space="preserve">          6282 - JANITORIAL/EXTERMINATOR EXPENS</v>
      </c>
      <c r="C59" s="11"/>
      <c r="D59" s="6">
        <v>626.26</v>
      </c>
      <c r="E59" s="2"/>
      <c r="F59" s="7">
        <f t="shared" si="32"/>
        <v>0</v>
      </c>
      <c r="G59" s="2"/>
      <c r="H59" s="6">
        <v>626.26</v>
      </c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1"/>
      <c r="P59" s="6">
        <v>2505.04</v>
      </c>
      <c r="Q59" s="2"/>
      <c r="R59" s="7">
        <f t="shared" si="36"/>
        <v>0</v>
      </c>
      <c r="S59" s="2"/>
      <c r="T59" s="6">
        <v>2505.04</v>
      </c>
      <c r="U59" s="2"/>
      <c r="V59" s="7">
        <f t="shared" si="37"/>
        <v>0</v>
      </c>
      <c r="W59" s="2"/>
      <c r="X59" s="6">
        <f t="shared" si="38"/>
        <v>0</v>
      </c>
      <c r="Y59" s="2"/>
      <c r="Z59" s="7">
        <f t="shared" si="39"/>
        <v>0</v>
      </c>
    </row>
    <row r="60" spans="1:26" s="24" customFormat="1" hidden="1" outlineLevel="2" x14ac:dyDescent="0.25">
      <c r="A60" s="26"/>
      <c r="B60" s="11" t="str">
        <f>CONCATENATE("          ", "6283", " - ", "PLANT SERVICE")</f>
        <v xml:space="preserve">          6283 - PLANT SERVICE</v>
      </c>
      <c r="C60" s="11"/>
      <c r="D60" s="6"/>
      <c r="E60" s="2"/>
      <c r="F60" s="7">
        <f t="shared" si="32"/>
        <v>0</v>
      </c>
      <c r="G60" s="2"/>
      <c r="H60" s="6">
        <v>33</v>
      </c>
      <c r="I60" s="2"/>
      <c r="J60" s="7">
        <f t="shared" si="33"/>
        <v>0</v>
      </c>
      <c r="K60" s="2"/>
      <c r="L60" s="6">
        <f t="shared" si="34"/>
        <v>-33</v>
      </c>
      <c r="M60" s="2"/>
      <c r="N60" s="7">
        <f t="shared" si="35"/>
        <v>-1</v>
      </c>
      <c r="O60" s="11"/>
      <c r="P60" s="6">
        <v>106.59</v>
      </c>
      <c r="Q60" s="2"/>
      <c r="R60" s="7">
        <f t="shared" si="36"/>
        <v>0</v>
      </c>
      <c r="S60" s="2"/>
      <c r="T60" s="6">
        <v>132</v>
      </c>
      <c r="U60" s="2"/>
      <c r="V60" s="7">
        <f t="shared" si="37"/>
        <v>0</v>
      </c>
      <c r="W60" s="2"/>
      <c r="X60" s="6">
        <f t="shared" si="38"/>
        <v>-25.409999999999997</v>
      </c>
      <c r="Y60" s="2"/>
      <c r="Z60" s="7">
        <f t="shared" si="39"/>
        <v>-0.19249999999999998</v>
      </c>
    </row>
    <row r="61" spans="1:26" s="24" customFormat="1" hidden="1" outlineLevel="2" x14ac:dyDescent="0.25">
      <c r="A61" s="26"/>
      <c r="B61" s="11" t="str">
        <f>CONCATENATE("          ", "6284", " - ", "TRASH REMOVAL EXPENSE")</f>
        <v xml:space="preserve">          6284 - TRASH REMOVAL EXPENSE</v>
      </c>
      <c r="C61" s="11"/>
      <c r="D61" s="6">
        <v>3482</v>
      </c>
      <c r="E61" s="2"/>
      <c r="F61" s="7">
        <f t="shared" si="32"/>
        <v>0</v>
      </c>
      <c r="G61" s="2"/>
      <c r="H61" s="6">
        <v>11881.99</v>
      </c>
      <c r="I61" s="2"/>
      <c r="J61" s="7">
        <f t="shared" si="33"/>
        <v>0</v>
      </c>
      <c r="K61" s="2"/>
      <c r="L61" s="6">
        <f t="shared" si="34"/>
        <v>-8399.99</v>
      </c>
      <c r="M61" s="2"/>
      <c r="N61" s="7">
        <f t="shared" si="35"/>
        <v>-0.70695144500205775</v>
      </c>
      <c r="O61" s="11"/>
      <c r="P61" s="6">
        <v>6964</v>
      </c>
      <c r="Q61" s="2"/>
      <c r="R61" s="7">
        <f t="shared" si="36"/>
        <v>0</v>
      </c>
      <c r="S61" s="2"/>
      <c r="T61" s="6">
        <v>22327.99</v>
      </c>
      <c r="U61" s="2"/>
      <c r="V61" s="7">
        <f t="shared" si="37"/>
        <v>0</v>
      </c>
      <c r="W61" s="2"/>
      <c r="X61" s="6">
        <f t="shared" si="38"/>
        <v>-15363.990000000002</v>
      </c>
      <c r="Y61" s="2"/>
      <c r="Z61" s="7">
        <f t="shared" si="39"/>
        <v>-0.68810448231121568</v>
      </c>
    </row>
    <row r="62" spans="1:26" s="24" customFormat="1" hidden="1" outlineLevel="2" x14ac:dyDescent="0.25">
      <c r="A62" s="26"/>
      <c r="B62" s="11" t="str">
        <f>CONCATENATE("          ", "6285", " - ", "JANITORIAL SERVICES")</f>
        <v xml:space="preserve">          6285 - JANITORIAL SERVICES</v>
      </c>
      <c r="C62" s="11"/>
      <c r="D62" s="6">
        <v>9853.51</v>
      </c>
      <c r="E62" s="2"/>
      <c r="F62" s="7">
        <f t="shared" si="32"/>
        <v>0</v>
      </c>
      <c r="G62" s="2"/>
      <c r="H62" s="6">
        <v>9146.7199999999993</v>
      </c>
      <c r="I62" s="2"/>
      <c r="J62" s="7">
        <f t="shared" si="33"/>
        <v>0</v>
      </c>
      <c r="K62" s="2"/>
      <c r="L62" s="6">
        <f t="shared" si="34"/>
        <v>706.79000000000087</v>
      </c>
      <c r="M62" s="2"/>
      <c r="N62" s="7">
        <f t="shared" si="35"/>
        <v>7.7272508615110216E-2</v>
      </c>
      <c r="O62" s="11"/>
      <c r="P62" s="6">
        <v>40194.04</v>
      </c>
      <c r="Q62" s="2"/>
      <c r="R62" s="7">
        <f t="shared" si="36"/>
        <v>0</v>
      </c>
      <c r="S62" s="2"/>
      <c r="T62" s="6">
        <v>37619.219999999994</v>
      </c>
      <c r="U62" s="2"/>
      <c r="V62" s="7">
        <f t="shared" si="37"/>
        <v>0</v>
      </c>
      <c r="W62" s="2"/>
      <c r="X62" s="6">
        <f t="shared" si="38"/>
        <v>2574.820000000007</v>
      </c>
      <c r="Y62" s="2"/>
      <c r="Z62" s="7">
        <f t="shared" si="39"/>
        <v>6.8444268647781831E-2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6">
        <v>223.56</v>
      </c>
      <c r="E63" s="2"/>
      <c r="F63" s="7">
        <f t="shared" si="32"/>
        <v>0</v>
      </c>
      <c r="G63" s="2"/>
      <c r="H63" s="6">
        <v>261.60000000000002</v>
      </c>
      <c r="I63" s="2"/>
      <c r="J63" s="7">
        <f t="shared" si="33"/>
        <v>0</v>
      </c>
      <c r="K63" s="2"/>
      <c r="L63" s="6">
        <f t="shared" si="34"/>
        <v>-38.04000000000002</v>
      </c>
      <c r="M63" s="2"/>
      <c r="N63" s="7">
        <f t="shared" si="35"/>
        <v>-0.14541284403669733</v>
      </c>
      <c r="O63" s="11"/>
      <c r="P63" s="6">
        <v>303</v>
      </c>
      <c r="Q63" s="2"/>
      <c r="R63" s="7">
        <f t="shared" si="36"/>
        <v>0</v>
      </c>
      <c r="S63" s="2"/>
      <c r="T63" s="6">
        <v>849.51</v>
      </c>
      <c r="U63" s="2"/>
      <c r="V63" s="7">
        <f t="shared" si="37"/>
        <v>0</v>
      </c>
      <c r="W63" s="2"/>
      <c r="X63" s="6">
        <f t="shared" si="38"/>
        <v>-546.51</v>
      </c>
      <c r="Y63" s="2"/>
      <c r="Z63" s="7">
        <f t="shared" si="39"/>
        <v>-0.64332379842497445</v>
      </c>
    </row>
    <row r="64" spans="1:26" s="27" customFormat="1" outlineLevel="1" collapsed="1" x14ac:dyDescent="0.25">
      <c r="A64" s="25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12042.73</v>
      </c>
      <c r="E64" s="1"/>
      <c r="F64" s="5">
        <f t="shared" ref="F64:F71" si="40">IF(D$12=0,0,D64/D$12)</f>
        <v>0</v>
      </c>
      <c r="G64" s="1"/>
      <c r="H64" s="1">
        <f>SUM(OSRRefH22_12x_0)</f>
        <v>8663.1200000000008</v>
      </c>
      <c r="I64" s="1"/>
      <c r="J64" s="5">
        <f t="shared" ref="J64:J71" si="41">IF(H$12=0,0,H64/H$12)</f>
        <v>0</v>
      </c>
      <c r="K64" s="1"/>
      <c r="L64" s="1">
        <f t="shared" ref="L64:L71" si="42">+D64-H64</f>
        <v>3379.6099999999988</v>
      </c>
      <c r="M64" s="1"/>
      <c r="N64" s="5">
        <f t="shared" ref="N64:N71" si="43">IF(H64=0,0,L64/H64)</f>
        <v>0.39011464691704589</v>
      </c>
      <c r="O64" s="13"/>
      <c r="P64" s="1">
        <f>SUM(OSRRefP22_12x_0)</f>
        <v>33758.429999999993</v>
      </c>
      <c r="Q64" s="1"/>
      <c r="R64" s="5">
        <f t="shared" ref="R64:R71" si="44">IF(P$12=0,0,P64/P$12)</f>
        <v>0</v>
      </c>
      <c r="S64" s="1"/>
      <c r="T64" s="1">
        <f>SUM(OSRRefT22_12x_0)</f>
        <v>26328.800000000003</v>
      </c>
      <c r="U64" s="1"/>
      <c r="V64" s="5">
        <f t="shared" ref="V64:V71" si="45">IF(T$12=0,0,T64/T$12)</f>
        <v>0</v>
      </c>
      <c r="W64" s="1"/>
      <c r="X64" s="1">
        <f t="shared" ref="X64:X71" si="46">+P64-T64</f>
        <v>7429.6299999999901</v>
      </c>
      <c r="Y64" s="1"/>
      <c r="Z64" s="5">
        <f t="shared" ref="Z64:Z71" si="47">IF(T64=0,0,X64/T64)</f>
        <v>0.28218642703047575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40"/>
        <v>0</v>
      </c>
      <c r="G65" s="2"/>
      <c r="H65" s="6"/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1"/>
      <c r="P65" s="6">
        <v>7670.09</v>
      </c>
      <c r="Q65" s="2"/>
      <c r="R65" s="7">
        <f t="shared" si="44"/>
        <v>0</v>
      </c>
      <c r="S65" s="2"/>
      <c r="T65" s="6">
        <v>732.36</v>
      </c>
      <c r="U65" s="2"/>
      <c r="V65" s="7">
        <f t="shared" si="45"/>
        <v>0</v>
      </c>
      <c r="W65" s="2"/>
      <c r="X65" s="6">
        <f t="shared" si="46"/>
        <v>6937.7300000000005</v>
      </c>
      <c r="Y65" s="2"/>
      <c r="Z65" s="7">
        <f t="shared" si="47"/>
        <v>9.4731143153640289</v>
      </c>
    </row>
    <row r="66" spans="1:26" s="24" customFormat="1" hidden="1" outlineLevel="2" x14ac:dyDescent="0.25">
      <c r="A66" s="26"/>
      <c r="B66" s="11" t="str">
        <f>CONCATENATE("          ", "6237", " - ", "JANITORIAL SUPPLIES")</f>
        <v xml:space="preserve">          6237 - JANITORIAL SUPPLIES</v>
      </c>
      <c r="C66" s="11"/>
      <c r="D66" s="6">
        <v>6350.53</v>
      </c>
      <c r="E66" s="2"/>
      <c r="F66" s="7">
        <f t="shared" si="40"/>
        <v>0</v>
      </c>
      <c r="G66" s="2"/>
      <c r="H66" s="6">
        <v>4408.43</v>
      </c>
      <c r="I66" s="2"/>
      <c r="J66" s="7">
        <f t="shared" si="41"/>
        <v>0</v>
      </c>
      <c r="K66" s="2"/>
      <c r="L66" s="6">
        <f t="shared" si="42"/>
        <v>1942.0999999999995</v>
      </c>
      <c r="M66" s="2"/>
      <c r="N66" s="7">
        <f t="shared" si="43"/>
        <v>0.44054232459174791</v>
      </c>
      <c r="O66" s="11"/>
      <c r="P66" s="6">
        <v>15265.72</v>
      </c>
      <c r="Q66" s="2"/>
      <c r="R66" s="7">
        <f t="shared" si="44"/>
        <v>0</v>
      </c>
      <c r="S66" s="2"/>
      <c r="T66" s="6">
        <v>12097.56</v>
      </c>
      <c r="U66" s="2"/>
      <c r="V66" s="7">
        <f t="shared" si="45"/>
        <v>0</v>
      </c>
      <c r="W66" s="2"/>
      <c r="X66" s="6">
        <f t="shared" si="46"/>
        <v>3168.16</v>
      </c>
      <c r="Y66" s="2"/>
      <c r="Z66" s="7">
        <f t="shared" si="47"/>
        <v>0.26188421466808182</v>
      </c>
    </row>
    <row r="67" spans="1:26" s="24" customFormat="1" hidden="1" outlineLevel="2" x14ac:dyDescent="0.25">
      <c r="A67" s="26"/>
      <c r="B67" s="11" t="str">
        <f>CONCATENATE("          ", "6239", " - ", "KITCHEN SUPPLIES")</f>
        <v xml:space="preserve">          6239 - KITCHEN SUPPLIES</v>
      </c>
      <c r="C67" s="11"/>
      <c r="D67" s="6">
        <v>4997.1099999999997</v>
      </c>
      <c r="E67" s="2"/>
      <c r="F67" s="7">
        <f t="shared" si="40"/>
        <v>0</v>
      </c>
      <c r="G67" s="2"/>
      <c r="H67" s="6">
        <v>2002.36</v>
      </c>
      <c r="I67" s="2"/>
      <c r="J67" s="7">
        <f t="shared" si="41"/>
        <v>0</v>
      </c>
      <c r="K67" s="2"/>
      <c r="L67" s="6">
        <f t="shared" si="42"/>
        <v>2994.75</v>
      </c>
      <c r="M67" s="2"/>
      <c r="N67" s="7">
        <f t="shared" si="43"/>
        <v>1.4956101799876147</v>
      </c>
      <c r="O67" s="11"/>
      <c r="P67" s="6">
        <v>10804.56</v>
      </c>
      <c r="Q67" s="2"/>
      <c r="R67" s="7">
        <f t="shared" si="44"/>
        <v>0</v>
      </c>
      <c r="S67" s="2"/>
      <c r="T67" s="6">
        <v>6387.65</v>
      </c>
      <c r="U67" s="2"/>
      <c r="V67" s="7">
        <f t="shared" si="45"/>
        <v>0</v>
      </c>
      <c r="W67" s="2"/>
      <c r="X67" s="6">
        <f t="shared" si="46"/>
        <v>4416.91</v>
      </c>
      <c r="Y67" s="2"/>
      <c r="Z67" s="7">
        <f t="shared" si="47"/>
        <v>0.69147652109930879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>
        <v>695.09</v>
      </c>
      <c r="E68" s="2"/>
      <c r="F68" s="7">
        <f t="shared" si="40"/>
        <v>0</v>
      </c>
      <c r="G68" s="2"/>
      <c r="H68" s="6">
        <v>622.59</v>
      </c>
      <c r="I68" s="2"/>
      <c r="J68" s="7">
        <f t="shared" si="41"/>
        <v>0</v>
      </c>
      <c r="K68" s="2"/>
      <c r="L68" s="6">
        <f t="shared" si="42"/>
        <v>72.5</v>
      </c>
      <c r="M68" s="2"/>
      <c r="N68" s="7">
        <f t="shared" si="43"/>
        <v>0.1164490274498466</v>
      </c>
      <c r="O68" s="11"/>
      <c r="P68" s="6">
        <v>-214.75</v>
      </c>
      <c r="Q68" s="2"/>
      <c r="R68" s="7">
        <f t="shared" si="44"/>
        <v>0</v>
      </c>
      <c r="S68" s="2"/>
      <c r="T68" s="6">
        <v>3263.55</v>
      </c>
      <c r="U68" s="2"/>
      <c r="V68" s="7">
        <f t="shared" si="45"/>
        <v>0</v>
      </c>
      <c r="W68" s="2"/>
      <c r="X68" s="6">
        <f t="shared" si="46"/>
        <v>-3478.3</v>
      </c>
      <c r="Y68" s="2"/>
      <c r="Z68" s="7">
        <f t="shared" si="47"/>
        <v>-1.065802576948415</v>
      </c>
    </row>
    <row r="69" spans="1:26" s="24" customFormat="1" hidden="1" outlineLevel="2" x14ac:dyDescent="0.25">
      <c r="A69" s="26"/>
      <c r="B69" s="11" t="str">
        <f>CONCATENATE("          ", "6243", " - ", "PAPER SUPPLIES")</f>
        <v xml:space="preserve">          6243 - PAPER SUPPLIES</v>
      </c>
      <c r="C69" s="11"/>
      <c r="D69" s="6"/>
      <c r="E69" s="2"/>
      <c r="F69" s="7">
        <f t="shared" si="40"/>
        <v>0</v>
      </c>
      <c r="G69" s="2"/>
      <c r="H69" s="6">
        <v>1629.74</v>
      </c>
      <c r="I69" s="2"/>
      <c r="J69" s="7">
        <f t="shared" si="41"/>
        <v>0</v>
      </c>
      <c r="K69" s="2"/>
      <c r="L69" s="6">
        <f t="shared" si="42"/>
        <v>-1629.74</v>
      </c>
      <c r="M69" s="2"/>
      <c r="N69" s="7">
        <f t="shared" si="43"/>
        <v>-1</v>
      </c>
      <c r="O69" s="11"/>
      <c r="P69" s="6"/>
      <c r="Q69" s="2"/>
      <c r="R69" s="7">
        <f t="shared" si="44"/>
        <v>0</v>
      </c>
      <c r="S69" s="2"/>
      <c r="T69" s="6">
        <v>2490.06</v>
      </c>
      <c r="U69" s="2"/>
      <c r="V69" s="7">
        <f t="shared" si="45"/>
        <v>0</v>
      </c>
      <c r="W69" s="2"/>
      <c r="X69" s="6">
        <f t="shared" si="46"/>
        <v>-2490.06</v>
      </c>
      <c r="Y69" s="2"/>
      <c r="Z69" s="7">
        <f t="shared" si="47"/>
        <v>-1</v>
      </c>
    </row>
    <row r="70" spans="1:26" s="24" customFormat="1" hidden="1" outlineLevel="2" x14ac:dyDescent="0.25">
      <c r="A70" s="26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/>
      <c r="Q70" s="2"/>
      <c r="R70" s="7">
        <f t="shared" si="44"/>
        <v>0</v>
      </c>
      <c r="S70" s="2"/>
      <c r="T70" s="6">
        <v>81.99</v>
      </c>
      <c r="U70" s="2"/>
      <c r="V70" s="7">
        <f t="shared" si="45"/>
        <v>0</v>
      </c>
      <c r="W70" s="2"/>
      <c r="X70" s="6">
        <f t="shared" si="46"/>
        <v>-81.99</v>
      </c>
      <c r="Y70" s="2"/>
      <c r="Z70" s="7">
        <f t="shared" si="47"/>
        <v>-1</v>
      </c>
    </row>
    <row r="71" spans="1:26" s="24" customFormat="1" hidden="1" outlineLevel="2" x14ac:dyDescent="0.25">
      <c r="A71" s="26"/>
      <c r="B71" s="11" t="str">
        <f>CONCATENATE("          ", "6248", " - ", "UNIFORMS")</f>
        <v xml:space="preserve">          6248 - UNIFORMS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>
        <v>232.81</v>
      </c>
      <c r="Q71" s="2"/>
      <c r="R71" s="7">
        <f t="shared" si="44"/>
        <v>0</v>
      </c>
      <c r="S71" s="2"/>
      <c r="T71" s="6">
        <v>1275.6300000000001</v>
      </c>
      <c r="U71" s="2"/>
      <c r="V71" s="7">
        <f t="shared" si="45"/>
        <v>0</v>
      </c>
      <c r="W71" s="2"/>
      <c r="X71" s="6">
        <f t="shared" si="46"/>
        <v>-1042.8200000000002</v>
      </c>
      <c r="Y71" s="2"/>
      <c r="Z71" s="7">
        <f t="shared" si="47"/>
        <v>-0.81749410095403841</v>
      </c>
    </row>
    <row r="72" spans="1:26" s="27" customFormat="1" outlineLevel="1" collapsed="1" x14ac:dyDescent="0.25">
      <c r="A72" s="25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SUM(OSRRefD22_13x_0)</f>
        <v>497</v>
      </c>
      <c r="E72" s="1"/>
      <c r="F72" s="5">
        <f t="shared" ref="F72:F79" si="48">IF(D$12=0,0,D72/D$12)</f>
        <v>0</v>
      </c>
      <c r="G72" s="1"/>
      <c r="H72" s="1">
        <f>SUM(OSRRefH22_13x_0)</f>
        <v>266.14999999999998</v>
      </c>
      <c r="I72" s="1"/>
      <c r="J72" s="5">
        <f t="shared" ref="J72:J79" si="49">IF(H$12=0,0,H72/H$12)</f>
        <v>0</v>
      </c>
      <c r="K72" s="1"/>
      <c r="L72" s="1">
        <f t="shared" ref="L72:L79" si="50">+D72-H72</f>
        <v>230.85000000000002</v>
      </c>
      <c r="M72" s="1"/>
      <c r="N72" s="5">
        <f t="shared" ref="N72:N79" si="51">IF(H72=0,0,L72/H72)</f>
        <v>0.86736802554950232</v>
      </c>
      <c r="O72" s="13"/>
      <c r="P72" s="1">
        <f>SUM(OSRRefP22_13x_0)</f>
        <v>1519.55</v>
      </c>
      <c r="Q72" s="1"/>
      <c r="R72" s="5">
        <f t="shared" ref="R72:R79" si="52">IF(P$12=0,0,P72/P$12)</f>
        <v>0</v>
      </c>
      <c r="S72" s="1"/>
      <c r="T72" s="1">
        <f>SUM(OSRRefT22_13x_0)</f>
        <v>1582.4</v>
      </c>
      <c r="U72" s="1"/>
      <c r="V72" s="5">
        <f t="shared" ref="V72:V79" si="53">IF(T$12=0,0,T72/T$12)</f>
        <v>0</v>
      </c>
      <c r="W72" s="1"/>
      <c r="X72" s="1">
        <f t="shared" ref="X72:X79" si="54">+P72-T72</f>
        <v>-62.850000000000136</v>
      </c>
      <c r="Y72" s="1"/>
      <c r="Z72" s="5">
        <f t="shared" ref="Z72:Z79" si="55">IF(T72=0,0,X72/T72)</f>
        <v>-3.9718149646107266E-2</v>
      </c>
    </row>
    <row r="73" spans="1:26" s="24" customFormat="1" hidden="1" outlineLevel="2" x14ac:dyDescent="0.25">
      <c r="A73" s="26"/>
      <c r="B73" s="11" t="str">
        <f>CONCATENATE("          ", "6309", " - ", "TELEPHONE")</f>
        <v xml:space="preserve">          6309 - TELEPHONE</v>
      </c>
      <c r="C73" s="11"/>
      <c r="D73" s="6">
        <v>497</v>
      </c>
      <c r="E73" s="2"/>
      <c r="F73" s="7">
        <f t="shared" si="48"/>
        <v>0</v>
      </c>
      <c r="G73" s="2"/>
      <c r="H73" s="6">
        <v>266.14999999999998</v>
      </c>
      <c r="I73" s="2"/>
      <c r="J73" s="7">
        <f t="shared" si="49"/>
        <v>0</v>
      </c>
      <c r="K73" s="2"/>
      <c r="L73" s="6">
        <f t="shared" si="50"/>
        <v>230.85000000000002</v>
      </c>
      <c r="M73" s="2"/>
      <c r="N73" s="7">
        <f t="shared" si="51"/>
        <v>0.86736802554950232</v>
      </c>
      <c r="O73" s="11"/>
      <c r="P73" s="6">
        <v>1519.55</v>
      </c>
      <c r="Q73" s="2"/>
      <c r="R73" s="7">
        <f t="shared" si="52"/>
        <v>0</v>
      </c>
      <c r="S73" s="2"/>
      <c r="T73" s="6">
        <v>1582.4</v>
      </c>
      <c r="U73" s="2"/>
      <c r="V73" s="7">
        <f t="shared" si="53"/>
        <v>0</v>
      </c>
      <c r="W73" s="2"/>
      <c r="X73" s="6">
        <f t="shared" si="54"/>
        <v>-62.850000000000136</v>
      </c>
      <c r="Y73" s="2"/>
      <c r="Z73" s="7">
        <f t="shared" si="55"/>
        <v>-3.9718149646107266E-2</v>
      </c>
    </row>
    <row r="74" spans="1:26" s="27" customFormat="1" outlineLevel="1" collapsed="1" x14ac:dyDescent="0.25">
      <c r="A74" s="25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SUM(OSRRefD22_14x_0)</f>
        <v>0</v>
      </c>
      <c r="E74" s="1"/>
      <c r="F74" s="5">
        <f t="shared" si="48"/>
        <v>0</v>
      </c>
      <c r="G74" s="1"/>
      <c r="H74" s="1">
        <f>SUM(OSRRefH22_14x_0)</f>
        <v>0</v>
      </c>
      <c r="I74" s="1"/>
      <c r="J74" s="5">
        <f t="shared" si="49"/>
        <v>0</v>
      </c>
      <c r="K74" s="1"/>
      <c r="L74" s="1">
        <f t="shared" si="50"/>
        <v>0</v>
      </c>
      <c r="M74" s="1"/>
      <c r="N74" s="5">
        <f t="shared" si="51"/>
        <v>0</v>
      </c>
      <c r="O74" s="13"/>
      <c r="P74" s="1">
        <f>SUM(OSRRefP22_14x_0)</f>
        <v>240</v>
      </c>
      <c r="Q74" s="1"/>
      <c r="R74" s="5">
        <f t="shared" si="52"/>
        <v>0</v>
      </c>
      <c r="S74" s="1"/>
      <c r="T74" s="1">
        <f>SUM(OSRRefT22_14x_0)</f>
        <v>0</v>
      </c>
      <c r="U74" s="1"/>
      <c r="V74" s="5">
        <f t="shared" si="53"/>
        <v>0</v>
      </c>
      <c r="W74" s="1"/>
      <c r="X74" s="1">
        <f t="shared" si="54"/>
        <v>240</v>
      </c>
      <c r="Y74" s="1"/>
      <c r="Z74" s="5">
        <f t="shared" si="55"/>
        <v>0</v>
      </c>
    </row>
    <row r="75" spans="1:26" s="24" customFormat="1" hidden="1" outlineLevel="2" x14ac:dyDescent="0.25">
      <c r="A75" s="26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1"/>
      <c r="P75" s="6">
        <v>240</v>
      </c>
      <c r="Q75" s="2"/>
      <c r="R75" s="7">
        <f t="shared" si="52"/>
        <v>0</v>
      </c>
      <c r="S75" s="2"/>
      <c r="T75" s="6"/>
      <c r="U75" s="2"/>
      <c r="V75" s="7">
        <f t="shared" si="53"/>
        <v>0</v>
      </c>
      <c r="W75" s="2"/>
      <c r="X75" s="6">
        <f t="shared" si="54"/>
        <v>240</v>
      </c>
      <c r="Y75" s="2"/>
      <c r="Z75" s="7">
        <f t="shared" si="55"/>
        <v>0</v>
      </c>
    </row>
    <row r="76" spans="1:26" s="27" customFormat="1" outlineLevel="1" collapsed="1" x14ac:dyDescent="0.25">
      <c r="A76" s="25"/>
      <c r="B76" s="13" t="str">
        <f>CONCATENATE("     ","Travel                                            ")</f>
        <v xml:space="preserve">     Travel                                            </v>
      </c>
      <c r="C76" s="13"/>
      <c r="D76" s="1">
        <f>SUM(OSRRefD22_15x_0)</f>
        <v>0</v>
      </c>
      <c r="E76" s="1"/>
      <c r="F76" s="5">
        <f t="shared" si="48"/>
        <v>0</v>
      </c>
      <c r="G76" s="1"/>
      <c r="H76" s="1">
        <f>SUM(OSRRefH22_15x_0)</f>
        <v>249.39</v>
      </c>
      <c r="I76" s="1"/>
      <c r="J76" s="5">
        <f t="shared" si="49"/>
        <v>0</v>
      </c>
      <c r="K76" s="1"/>
      <c r="L76" s="1">
        <f t="shared" si="50"/>
        <v>-249.39</v>
      </c>
      <c r="M76" s="1"/>
      <c r="N76" s="5">
        <f t="shared" si="51"/>
        <v>-1</v>
      </c>
      <c r="O76" s="13"/>
      <c r="P76" s="1">
        <f>SUM(OSRRefP22_15x_0)</f>
        <v>1101.18</v>
      </c>
      <c r="Q76" s="1"/>
      <c r="R76" s="5">
        <f t="shared" si="52"/>
        <v>0</v>
      </c>
      <c r="S76" s="1"/>
      <c r="T76" s="1">
        <f>SUM(OSRRefT22_15x_0)</f>
        <v>658.51</v>
      </c>
      <c r="U76" s="1"/>
      <c r="V76" s="5">
        <f t="shared" si="53"/>
        <v>0</v>
      </c>
      <c r="W76" s="1"/>
      <c r="X76" s="1">
        <f t="shared" si="54"/>
        <v>442.67000000000007</v>
      </c>
      <c r="Y76" s="1"/>
      <c r="Z76" s="5">
        <f t="shared" si="55"/>
        <v>0.67222973075579728</v>
      </c>
    </row>
    <row r="77" spans="1:26" s="24" customFormat="1" hidden="1" outlineLevel="2" x14ac:dyDescent="0.25">
      <c r="A77" s="26"/>
      <c r="B77" s="11" t="str">
        <f>CONCATENATE("          ", "6292", " - ", "TRAVEL/CONFERENCE")</f>
        <v xml:space="preserve">          6292 - TRAVEL/CONFERENCE</v>
      </c>
      <c r="C77" s="11"/>
      <c r="D77" s="6"/>
      <c r="E77" s="2"/>
      <c r="F77" s="7">
        <f t="shared" si="48"/>
        <v>0</v>
      </c>
      <c r="G77" s="2"/>
      <c r="H77" s="6">
        <v>122.66</v>
      </c>
      <c r="I77" s="2"/>
      <c r="J77" s="7">
        <f t="shared" si="49"/>
        <v>0</v>
      </c>
      <c r="K77" s="2"/>
      <c r="L77" s="6">
        <f t="shared" si="50"/>
        <v>-122.66</v>
      </c>
      <c r="M77" s="2"/>
      <c r="N77" s="7">
        <f t="shared" si="51"/>
        <v>-1</v>
      </c>
      <c r="O77" s="11"/>
      <c r="P77" s="6">
        <v>545.69000000000005</v>
      </c>
      <c r="Q77" s="2"/>
      <c r="R77" s="7">
        <f t="shared" si="52"/>
        <v>0</v>
      </c>
      <c r="S77" s="2"/>
      <c r="T77" s="6">
        <v>312.74</v>
      </c>
      <c r="U77" s="2"/>
      <c r="V77" s="7">
        <f t="shared" si="53"/>
        <v>0</v>
      </c>
      <c r="W77" s="2"/>
      <c r="X77" s="6">
        <f t="shared" si="54"/>
        <v>232.95000000000005</v>
      </c>
      <c r="Y77" s="2"/>
      <c r="Z77" s="7">
        <f t="shared" si="55"/>
        <v>0.74486794142098878</v>
      </c>
    </row>
    <row r="78" spans="1:26" s="24" customFormat="1" hidden="1" outlineLevel="2" x14ac:dyDescent="0.25">
      <c r="A78" s="26"/>
      <c r="B78" s="11" t="str">
        <f>CONCATENATE("          ", "6294", " - ", "TRAVEL OPERATIONAL")</f>
        <v xml:space="preserve">          6294 - TRAVEL OPERATIONAL</v>
      </c>
      <c r="C78" s="11"/>
      <c r="D78" s="6"/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0</v>
      </c>
      <c r="M78" s="2"/>
      <c r="N78" s="7">
        <f t="shared" si="51"/>
        <v>0</v>
      </c>
      <c r="O78" s="11"/>
      <c r="P78" s="6">
        <v>45.49</v>
      </c>
      <c r="Q78" s="2"/>
      <c r="R78" s="7">
        <f t="shared" si="52"/>
        <v>0</v>
      </c>
      <c r="S78" s="2"/>
      <c r="T78" s="6"/>
      <c r="U78" s="2"/>
      <c r="V78" s="7">
        <f t="shared" si="53"/>
        <v>0</v>
      </c>
      <c r="W78" s="2"/>
      <c r="X78" s="6">
        <f t="shared" si="54"/>
        <v>45.49</v>
      </c>
      <c r="Y78" s="2"/>
      <c r="Z78" s="7">
        <f t="shared" si="55"/>
        <v>0</v>
      </c>
    </row>
    <row r="79" spans="1:26" s="24" customFormat="1" hidden="1" outlineLevel="2" x14ac:dyDescent="0.25">
      <c r="A79" s="26"/>
      <c r="B79" s="11" t="str">
        <f>CONCATENATE("          ", "6298", " - ", "VEHICLE MILEAGE")</f>
        <v xml:space="preserve">          6298 - VEHICLE MILEAGE</v>
      </c>
      <c r="C79" s="11"/>
      <c r="D79" s="6"/>
      <c r="E79" s="2"/>
      <c r="F79" s="7">
        <f t="shared" si="48"/>
        <v>0</v>
      </c>
      <c r="G79" s="2"/>
      <c r="H79" s="6">
        <v>126.73</v>
      </c>
      <c r="I79" s="2"/>
      <c r="J79" s="7">
        <f t="shared" si="49"/>
        <v>0</v>
      </c>
      <c r="K79" s="2"/>
      <c r="L79" s="6">
        <f t="shared" si="50"/>
        <v>-126.73</v>
      </c>
      <c r="M79" s="2"/>
      <c r="N79" s="7">
        <f t="shared" si="51"/>
        <v>-1</v>
      </c>
      <c r="O79" s="11"/>
      <c r="P79" s="6">
        <v>510</v>
      </c>
      <c r="Q79" s="2"/>
      <c r="R79" s="7">
        <f t="shared" si="52"/>
        <v>0</v>
      </c>
      <c r="S79" s="2"/>
      <c r="T79" s="6">
        <v>345.77</v>
      </c>
      <c r="U79" s="2"/>
      <c r="V79" s="7">
        <f t="shared" si="53"/>
        <v>0</v>
      </c>
      <c r="W79" s="2"/>
      <c r="X79" s="6">
        <f t="shared" si="54"/>
        <v>164.23000000000002</v>
      </c>
      <c r="Y79" s="2"/>
      <c r="Z79" s="7">
        <f t="shared" si="55"/>
        <v>0.47496890996905466</v>
      </c>
    </row>
    <row r="80" spans="1:26" s="27" customFormat="1" outlineLevel="1" collapsed="1" x14ac:dyDescent="0.25">
      <c r="A80" s="25"/>
      <c r="B80" s="13" t="str">
        <f>CONCATENATE("     ","Utilities                                         ")</f>
        <v xml:space="preserve">     Utilities                                         </v>
      </c>
      <c r="C80" s="13"/>
      <c r="D80" s="1">
        <f>SUM(OSRRefD22_16x_0)</f>
        <v>11354</v>
      </c>
      <c r="E80" s="1"/>
      <c r="F80" s="5">
        <f t="shared" ref="F80:F81" si="56">IF(D$12=0,0,D80/D$12)</f>
        <v>0</v>
      </c>
      <c r="G80" s="1"/>
      <c r="H80" s="1">
        <f>SUM(OSRRefH22_16x_0)</f>
        <v>-8900.2800000000007</v>
      </c>
      <c r="I80" s="1"/>
      <c r="J80" s="5">
        <f t="shared" ref="J80:J81" si="57">IF(H$12=0,0,H80/H$12)</f>
        <v>0</v>
      </c>
      <c r="K80" s="1"/>
      <c r="L80" s="1">
        <f t="shared" ref="L80:L81" si="58">+D80-H80</f>
        <v>20254.28</v>
      </c>
      <c r="M80" s="1"/>
      <c r="N80" s="5">
        <f t="shared" ref="N80:N81" si="59">IF(H80=0,0,L80/H80)</f>
        <v>-2.2756902030048489</v>
      </c>
      <c r="O80" s="13"/>
      <c r="P80" s="1">
        <f>SUM(OSRRefP22_16x_0)</f>
        <v>37544</v>
      </c>
      <c r="Q80" s="1"/>
      <c r="R80" s="5">
        <f t="shared" ref="R80:R81" si="60">IF(P$12=0,0,P80/P$12)</f>
        <v>0</v>
      </c>
      <c r="S80" s="1"/>
      <c r="T80" s="1">
        <f>SUM(OSRRefT22_16x_0)</f>
        <v>25161.72</v>
      </c>
      <c r="U80" s="1"/>
      <c r="V80" s="5">
        <f t="shared" ref="V80:V81" si="61">IF(T$12=0,0,T80/T$12)</f>
        <v>0</v>
      </c>
      <c r="W80" s="1"/>
      <c r="X80" s="1">
        <f t="shared" ref="X80:X81" si="62">+P80-T80</f>
        <v>12382.279999999999</v>
      </c>
      <c r="Y80" s="1"/>
      <c r="Z80" s="5">
        <f t="shared" ref="Z80:Z81" si="63">IF(T80=0,0,X80/T80)</f>
        <v>0.49210785272230984</v>
      </c>
    </row>
    <row r="81" spans="1:26" s="24" customFormat="1" hidden="1" outlineLevel="2" x14ac:dyDescent="0.25">
      <c r="A81" s="26"/>
      <c r="B81" s="11" t="str">
        <f>CONCATENATE("          ", "6274", " - ", "UTILITIES")</f>
        <v xml:space="preserve">          6274 - UTILITIES</v>
      </c>
      <c r="C81" s="11"/>
      <c r="D81" s="6">
        <v>11354</v>
      </c>
      <c r="E81" s="2"/>
      <c r="F81" s="7">
        <f t="shared" si="56"/>
        <v>0</v>
      </c>
      <c r="G81" s="2"/>
      <c r="H81" s="6">
        <v>-8900.2800000000007</v>
      </c>
      <c r="I81" s="2"/>
      <c r="J81" s="7">
        <f t="shared" si="57"/>
        <v>0</v>
      </c>
      <c r="K81" s="2"/>
      <c r="L81" s="6">
        <f t="shared" si="58"/>
        <v>20254.28</v>
      </c>
      <c r="M81" s="2"/>
      <c r="N81" s="7">
        <f t="shared" si="59"/>
        <v>-2.2756902030048489</v>
      </c>
      <c r="O81" s="11"/>
      <c r="P81" s="6">
        <v>37544</v>
      </c>
      <c r="Q81" s="2"/>
      <c r="R81" s="7">
        <f t="shared" si="60"/>
        <v>0</v>
      </c>
      <c r="S81" s="2"/>
      <c r="T81" s="6">
        <v>25161.72</v>
      </c>
      <c r="U81" s="2"/>
      <c r="V81" s="7">
        <f t="shared" si="61"/>
        <v>0</v>
      </c>
      <c r="W81" s="2"/>
      <c r="X81" s="6">
        <f t="shared" si="62"/>
        <v>12382.279999999999</v>
      </c>
      <c r="Y81" s="2"/>
      <c r="Z81" s="7">
        <f t="shared" si="63"/>
        <v>0.49210785272230984</v>
      </c>
    </row>
    <row r="82" spans="1:26" s="55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0</v>
      </c>
      <c r="C83" s="10"/>
      <c r="D83" s="4">
        <f>SUM(OSRRefD25x_0)</f>
        <v>16407.48</v>
      </c>
      <c r="E83" s="4"/>
      <c r="F83" s="12">
        <f t="shared" ref="F83:F85" si="64">IF(D$12=0,0,D83/D$12)</f>
        <v>0</v>
      </c>
      <c r="G83" s="4"/>
      <c r="H83" s="4">
        <f>SUM(OSRRefH25x_0)</f>
        <v>25498.47</v>
      </c>
      <c r="I83" s="4"/>
      <c r="J83" s="12">
        <f t="shared" ref="J83:J85" si="65">IF(H$12=0,0,H83/H$12)</f>
        <v>0</v>
      </c>
      <c r="K83" s="4"/>
      <c r="L83" s="4">
        <f t="shared" ref="L83:L85" si="66">+D83-H83</f>
        <v>-9090.9900000000016</v>
      </c>
      <c r="M83" s="4"/>
      <c r="N83" s="12">
        <f t="shared" ref="N83:N85" si="67">IF(H83=0,0,L83/H83)</f>
        <v>-0.35653080361292272</v>
      </c>
      <c r="O83" s="10"/>
      <c r="P83" s="4">
        <f>SUM(OSRRefP25x_0)</f>
        <v>26861.8</v>
      </c>
      <c r="Q83" s="4"/>
      <c r="R83" s="12">
        <f t="shared" ref="R83:R85" si="68">IF(P$12=0,0,P83/P$12)</f>
        <v>0</v>
      </c>
      <c r="S83" s="4"/>
      <c r="T83" s="4">
        <f>SUM(OSRRefT25x_0)</f>
        <v>32267.97</v>
      </c>
      <c r="U83" s="4"/>
      <c r="V83" s="12">
        <f t="shared" ref="V83:V85" si="69">IF(T$12=0,0,T83/T$12)</f>
        <v>0</v>
      </c>
      <c r="W83" s="4"/>
      <c r="X83" s="4">
        <f t="shared" ref="X83:X85" si="70">+P83-T83</f>
        <v>-5406.1700000000019</v>
      </c>
      <c r="Y83" s="4"/>
      <c r="Z83" s="12">
        <f t="shared" ref="Z83:Z85" si="71">IF(T83=0,0,X83/T83)</f>
        <v>-0.16753982354638366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--16407.48</f>
        <v>16407.48</v>
      </c>
      <c r="E84" s="2"/>
      <c r="F84" s="19">
        <f t="shared" si="64"/>
        <v>0</v>
      </c>
      <c r="G84" s="2"/>
      <c r="H84" s="2">
        <f>--25498.47</f>
        <v>25498.47</v>
      </c>
      <c r="I84" s="2"/>
      <c r="J84" s="19">
        <f t="shared" si="65"/>
        <v>0</v>
      </c>
      <c r="K84" s="2"/>
      <c r="L84" s="2">
        <f t="shared" si="66"/>
        <v>-9090.9900000000016</v>
      </c>
      <c r="M84" s="2"/>
      <c r="N84" s="19">
        <f t="shared" si="67"/>
        <v>-0.35653080361292272</v>
      </c>
      <c r="O84" s="11"/>
      <c r="P84" s="2">
        <f>--25850.87</f>
        <v>25850.87</v>
      </c>
      <c r="Q84" s="2"/>
      <c r="R84" s="19">
        <f t="shared" si="68"/>
        <v>0</v>
      </c>
      <c r="S84" s="2"/>
      <c r="T84" s="2">
        <f>--31769.32</f>
        <v>31769.32</v>
      </c>
      <c r="U84" s="2"/>
      <c r="V84" s="19">
        <f t="shared" si="69"/>
        <v>0</v>
      </c>
      <c r="W84" s="2"/>
      <c r="X84" s="2">
        <f t="shared" si="70"/>
        <v>-5918.4500000000007</v>
      </c>
      <c r="Y84" s="2"/>
      <c r="Z84" s="19">
        <f t="shared" si="71"/>
        <v>-0.18629451307110131</v>
      </c>
    </row>
    <row r="85" spans="1:26" s="24" customFormat="1" hidden="1" outlineLevel="1" x14ac:dyDescent="0.25">
      <c r="A85" s="44"/>
      <c r="B85" s="11" t="str">
        <f>CONCATENATE("          ", "9160", " - ", "MISC. INCOME")</f>
        <v xml:space="preserve">          9160 - MISC. INCOME</v>
      </c>
      <c r="C85" s="11"/>
      <c r="D85" s="2">
        <f>0</f>
        <v>0</v>
      </c>
      <c r="E85" s="2"/>
      <c r="F85" s="19">
        <f t="shared" si="64"/>
        <v>0</v>
      </c>
      <c r="G85" s="2"/>
      <c r="H85" s="2">
        <f>0</f>
        <v>0</v>
      </c>
      <c r="I85" s="2"/>
      <c r="J85" s="19">
        <f t="shared" si="65"/>
        <v>0</v>
      </c>
      <c r="K85" s="2"/>
      <c r="L85" s="2">
        <f t="shared" si="66"/>
        <v>0</v>
      </c>
      <c r="M85" s="2"/>
      <c r="N85" s="19">
        <f t="shared" si="67"/>
        <v>0</v>
      </c>
      <c r="O85" s="11"/>
      <c r="P85" s="2">
        <f>--1010.93</f>
        <v>1010.93</v>
      </c>
      <c r="Q85" s="2"/>
      <c r="R85" s="19">
        <f t="shared" si="68"/>
        <v>0</v>
      </c>
      <c r="S85" s="2"/>
      <c r="T85" s="2">
        <f>--498.65</f>
        <v>498.65</v>
      </c>
      <c r="U85" s="2"/>
      <c r="V85" s="19">
        <f t="shared" si="69"/>
        <v>0</v>
      </c>
      <c r="W85" s="2"/>
      <c r="X85" s="2">
        <f t="shared" si="70"/>
        <v>512.28</v>
      </c>
      <c r="Y85" s="2"/>
      <c r="Z85" s="19">
        <f t="shared" si="71"/>
        <v>1.0273338012634112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8" t="s">
        <v>3</v>
      </c>
      <c r="C87" s="28"/>
      <c r="D87" s="21">
        <f>+D16-D18+D83</f>
        <v>-90772.709999999977</v>
      </c>
      <c r="E87" s="14"/>
      <c r="F87" s="22">
        <f>IF(D$12=0,0,D87/D$12)</f>
        <v>0</v>
      </c>
      <c r="G87" s="14"/>
      <c r="H87" s="21">
        <f>+H16-H18+H83</f>
        <v>-71803.539999999994</v>
      </c>
      <c r="I87" s="14"/>
      <c r="J87" s="22">
        <f>IF(H$12=0,0,H87/H$12)</f>
        <v>0</v>
      </c>
      <c r="K87" s="16"/>
      <c r="L87" s="21">
        <f>+D87-H87</f>
        <v>-18969.169999999984</v>
      </c>
      <c r="M87" s="16"/>
      <c r="N87" s="22">
        <f>IF(H87=0,0,L87/H87)</f>
        <v>0.26418154313840214</v>
      </c>
      <c r="O87" s="29"/>
      <c r="P87" s="21">
        <f>+P16-P18+P83</f>
        <v>-351808.91</v>
      </c>
      <c r="Q87" s="14"/>
      <c r="R87" s="22">
        <f>IF(P$12=0,0,P87/P$12)</f>
        <v>0</v>
      </c>
      <c r="S87" s="14"/>
      <c r="T87" s="21">
        <f>+T16-T18+T83</f>
        <v>-340450.2300000001</v>
      </c>
      <c r="U87" s="14"/>
      <c r="V87" s="22">
        <f>IF(T$12=0,0,T87/T$12)</f>
        <v>0</v>
      </c>
      <c r="W87" s="16"/>
      <c r="X87" s="21">
        <f>+P87-T87</f>
        <v>-11358.679999999877</v>
      </c>
      <c r="Y87" s="16"/>
      <c r="Z87" s="22">
        <f>IF(T87=0,0,X87/T87)</f>
        <v>3.3363701942571378E-2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/>
      <c r="E89" s="4"/>
      <c r="F89" s="12">
        <f>IF(D$12=0,0,D89/D$12)</f>
        <v>0</v>
      </c>
      <c r="G89" s="4"/>
      <c r="H89" s="4"/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/>
      <c r="Q89" s="4"/>
      <c r="R89" s="12">
        <f>IF(P$12=0,0,P89/P$12)</f>
        <v>0</v>
      </c>
      <c r="S89" s="4"/>
      <c r="T89" s="4"/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4</v>
      </c>
      <c r="C91" s="28"/>
      <c r="D91" s="31">
        <f>+D87-D89</f>
        <v>-90772.709999999977</v>
      </c>
      <c r="E91" s="14"/>
      <c r="F91" s="34">
        <f>IF(D$12=0,0,D91/D$12)</f>
        <v>0</v>
      </c>
      <c r="G91" s="14"/>
      <c r="H91" s="31">
        <f>+H87-H89</f>
        <v>-71803.539999999994</v>
      </c>
      <c r="I91" s="14"/>
      <c r="J91" s="34">
        <f>IF(H$12=0,0,H91/H$12)</f>
        <v>0</v>
      </c>
      <c r="K91" s="16"/>
      <c r="L91" s="31">
        <f>D91-H91</f>
        <v>-18969.169999999984</v>
      </c>
      <c r="M91" s="16"/>
      <c r="N91" s="34">
        <f>IF(H91=0,0,L91/H91)</f>
        <v>0.26418154313840214</v>
      </c>
      <c r="O91" s="29"/>
      <c r="P91" s="31">
        <f>+P87-P89</f>
        <v>-351808.91</v>
      </c>
      <c r="Q91" s="14"/>
      <c r="R91" s="34">
        <f>IF(P$12=0,0,P91/P$12)</f>
        <v>0</v>
      </c>
      <c r="S91" s="14"/>
      <c r="T91" s="31">
        <f>+T87-T89</f>
        <v>-340450.2300000001</v>
      </c>
      <c r="U91" s="14"/>
      <c r="V91" s="34">
        <f>IF(T$12=0,0,T91/T$12)</f>
        <v>0</v>
      </c>
      <c r="W91" s="16"/>
      <c r="X91" s="31">
        <f>P91-T91</f>
        <v>-11358.679999999877</v>
      </c>
      <c r="Y91" s="16"/>
      <c r="Z91" s="34">
        <f>IF(T91=0,0,X91/T91)</f>
        <v>3.3363701942571378E-2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5</v>
      </c>
      <c r="C94" s="28"/>
      <c r="D94" s="36">
        <f>SUM(D91:D93)</f>
        <v>-90772.709999999977</v>
      </c>
      <c r="E94" s="14"/>
      <c r="F94" s="33">
        <f>IF(D$12=0,0,D94/D$12)</f>
        <v>0</v>
      </c>
      <c r="G94" s="14"/>
      <c r="H94" s="36">
        <f>SUM(H91:H93)</f>
        <v>-71803.539999999994</v>
      </c>
      <c r="I94" s="14"/>
      <c r="J94" s="33">
        <f>IF(H$12=0,0,H94/H$12)</f>
        <v>0</v>
      </c>
      <c r="K94" s="16"/>
      <c r="L94" s="36">
        <f>+D94-H94</f>
        <v>-18969.169999999984</v>
      </c>
      <c r="M94" s="16"/>
      <c r="N94" s="33">
        <f>IF(H94=0,0,L94/H94)</f>
        <v>0.26418154313840214</v>
      </c>
      <c r="O94" s="29"/>
      <c r="P94" s="36">
        <f>SUM(P91:P93)</f>
        <v>-351808.91</v>
      </c>
      <c r="Q94" s="14"/>
      <c r="R94" s="33">
        <f>IF(P$12=0,0,P94/P$12)</f>
        <v>0</v>
      </c>
      <c r="S94" s="14"/>
      <c r="T94" s="36">
        <f>SUM(T91:T93)</f>
        <v>-340450.2300000001</v>
      </c>
      <c r="U94" s="14"/>
      <c r="V94" s="33">
        <f>IF(T$12=0,0,T94/T$12)</f>
        <v>0</v>
      </c>
      <c r="W94" s="16"/>
      <c r="X94" s="36">
        <f>+P94-T94</f>
        <v>-11358.679999999877</v>
      </c>
      <c r="Y94" s="16"/>
      <c r="Z94" s="33">
        <f>IF(T94=0,0,X94/T94)</f>
        <v>3.3363701942571378E-2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61">
        <v>43791.355592094907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6" t="s">
        <v>313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7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","412", " - ", "Chartroom")</f>
        <v>Department 412 - Chartroom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95113.2</v>
      </c>
      <c r="E12" s="4"/>
      <c r="F12" s="12"/>
      <c r="G12" s="4"/>
      <c r="H12" s="4">
        <f>SUM(OSRRefH13x_0)</f>
        <v>131764.33000000002</v>
      </c>
      <c r="I12" s="4"/>
      <c r="J12" s="12"/>
      <c r="K12" s="4"/>
      <c r="L12" s="4">
        <f t="shared" ref="L12:L15" si="0">+D12-H12</f>
        <v>-36651.130000000019</v>
      </c>
      <c r="M12" s="4"/>
      <c r="N12" s="12">
        <f t="shared" ref="N12:N15" si="1">IF(H12=0,0,L12/H12)</f>
        <v>-0.27815669081306005</v>
      </c>
      <c r="O12" s="10"/>
      <c r="P12" s="4">
        <f>SUM(OSRRefP13x_0)</f>
        <v>290587.45999999996</v>
      </c>
      <c r="Q12" s="4"/>
      <c r="R12" s="12"/>
      <c r="S12" s="4"/>
      <c r="T12" s="4">
        <f>SUM(OSRRefT13x_0)</f>
        <v>385266.58</v>
      </c>
      <c r="U12" s="4"/>
      <c r="V12" s="12"/>
      <c r="W12" s="4"/>
      <c r="X12" s="4">
        <f t="shared" ref="X12:X15" si="2">+P12-T12</f>
        <v>-94679.120000000054</v>
      </c>
      <c r="Y12" s="4"/>
      <c r="Z12" s="12">
        <f t="shared" ref="Z12:Z15" si="3">IF(T12=0,0,X12/T12)</f>
        <v>-0.24574963133319286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--85963.22</f>
        <v>85963.22</v>
      </c>
      <c r="E13" s="2"/>
      <c r="F13" s="19"/>
      <c r="G13" s="2"/>
      <c r="H13" s="2">
        <f>--119691.81</f>
        <v>119691.81</v>
      </c>
      <c r="I13" s="2"/>
      <c r="J13" s="19"/>
      <c r="K13" s="2"/>
      <c r="L13" s="2">
        <f t="shared" si="0"/>
        <v>-33728.589999999997</v>
      </c>
      <c r="M13" s="2"/>
      <c r="N13" s="19">
        <f t="shared" si="1"/>
        <v>-0.28179530412314757</v>
      </c>
      <c r="O13" s="11"/>
      <c r="P13" s="2">
        <f>--265648.42</f>
        <v>265648.42</v>
      </c>
      <c r="Q13" s="2"/>
      <c r="R13" s="19"/>
      <c r="S13" s="2"/>
      <c r="T13" s="2">
        <f>--357894.14</f>
        <v>357894.14</v>
      </c>
      <c r="U13" s="2"/>
      <c r="V13" s="19"/>
      <c r="W13" s="2"/>
      <c r="X13" s="2">
        <f t="shared" si="2"/>
        <v>-92245.72000000003</v>
      </c>
      <c r="Y13" s="2"/>
      <c r="Z13" s="19">
        <f t="shared" si="3"/>
        <v>-0.25774582394671236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--9149.98</f>
        <v>9149.98</v>
      </c>
      <c r="E14" s="2"/>
      <c r="F14" s="19"/>
      <c r="G14" s="2"/>
      <c r="H14" s="2">
        <f>--11545.39</f>
        <v>11545.39</v>
      </c>
      <c r="I14" s="2"/>
      <c r="J14" s="19"/>
      <c r="K14" s="2"/>
      <c r="L14" s="2">
        <f t="shared" si="0"/>
        <v>-2395.41</v>
      </c>
      <c r="M14" s="2"/>
      <c r="N14" s="19">
        <f t="shared" si="1"/>
        <v>-0.20747761660714795</v>
      </c>
      <c r="O14" s="11"/>
      <c r="P14" s="2">
        <f>--24939.04</f>
        <v>24939.040000000001</v>
      </c>
      <c r="Q14" s="2"/>
      <c r="R14" s="19"/>
      <c r="S14" s="2"/>
      <c r="T14" s="2">
        <f>--26845.31</f>
        <v>26845.31</v>
      </c>
      <c r="U14" s="2"/>
      <c r="V14" s="19"/>
      <c r="W14" s="2"/>
      <c r="X14" s="2">
        <f t="shared" si="2"/>
        <v>-1906.2700000000004</v>
      </c>
      <c r="Y14" s="2"/>
      <c r="Z14" s="19">
        <f t="shared" si="3"/>
        <v>-7.1009423992496282E-2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>
        <f>--527.13</f>
        <v>527.13</v>
      </c>
      <c r="I15" s="2"/>
      <c r="J15" s="19"/>
      <c r="K15" s="2"/>
      <c r="L15" s="2">
        <f t="shared" si="0"/>
        <v>-527.13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f>--527.13</f>
        <v>527.13</v>
      </c>
      <c r="U15" s="2"/>
      <c r="V15" s="19"/>
      <c r="W15" s="2"/>
      <c r="X15" s="2">
        <f t="shared" si="2"/>
        <v>-527.13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33034.57</v>
      </c>
      <c r="E17" s="4"/>
      <c r="F17" s="12">
        <f t="shared" ref="F17:F18" si="4">IF(D$12=0,0,D17/D$12)</f>
        <v>0.34731845842638037</v>
      </c>
      <c r="G17" s="4"/>
      <c r="H17" s="4">
        <f>SUM(OSRRefH16x_0)</f>
        <v>36281.5</v>
      </c>
      <c r="I17" s="4"/>
      <c r="J17" s="12">
        <f t="shared" ref="J17:J18" si="5">IF(H$12=0,0,H17/H$12)</f>
        <v>0.27535145513205278</v>
      </c>
      <c r="K17" s="4"/>
      <c r="L17" s="4">
        <f t="shared" ref="L17:L18" si="6">+D17-H17</f>
        <v>-3246.9300000000003</v>
      </c>
      <c r="M17" s="4"/>
      <c r="N17" s="12">
        <f t="shared" ref="N17:N18" si="7">IF(H17=0,0,L17/H17)</f>
        <v>-8.9492716673786929E-2</v>
      </c>
      <c r="O17" s="10"/>
      <c r="P17" s="4">
        <f>SUM(OSRRefP16x_0)</f>
        <v>92980.01999999999</v>
      </c>
      <c r="Q17" s="4"/>
      <c r="R17" s="12">
        <f t="shared" ref="R17:R18" si="8">IF(P$12=0,0,P17/P$12)</f>
        <v>0.31997258243697096</v>
      </c>
      <c r="S17" s="4"/>
      <c r="T17" s="4">
        <f>SUM(OSRRefT16x_0)</f>
        <v>111943.37999999999</v>
      </c>
      <c r="U17" s="4"/>
      <c r="V17" s="12">
        <f t="shared" ref="V17:V18" si="9">IF(T$12=0,0,T17/T$12)</f>
        <v>0.29056083712218173</v>
      </c>
      <c r="W17" s="4"/>
      <c r="X17" s="4">
        <f t="shared" ref="X17:X18" si="10">+P17-T17</f>
        <v>-18963.36</v>
      </c>
      <c r="Y17" s="4"/>
      <c r="Z17" s="12">
        <f t="shared" ref="Z17:Z18" si="11">IF(T17=0,0,X17/T17)</f>
        <v>-0.16940135271956236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33034.57</v>
      </c>
      <c r="E18" s="2"/>
      <c r="F18" s="19">
        <f t="shared" si="4"/>
        <v>0.34731845842638037</v>
      </c>
      <c r="G18" s="2"/>
      <c r="H18" s="2">
        <v>36281.5</v>
      </c>
      <c r="I18" s="2"/>
      <c r="J18" s="19">
        <f t="shared" si="5"/>
        <v>0.27535145513205278</v>
      </c>
      <c r="K18" s="2"/>
      <c r="L18" s="2">
        <f t="shared" si="6"/>
        <v>-3246.9300000000003</v>
      </c>
      <c r="M18" s="2"/>
      <c r="N18" s="19">
        <f t="shared" si="7"/>
        <v>-8.9492716673786929E-2</v>
      </c>
      <c r="O18" s="11"/>
      <c r="P18" s="2">
        <v>92980.01999999999</v>
      </c>
      <c r="Q18" s="2"/>
      <c r="R18" s="19">
        <f t="shared" si="8"/>
        <v>0.31997258243697096</v>
      </c>
      <c r="S18" s="2"/>
      <c r="T18" s="2">
        <v>111943.37999999999</v>
      </c>
      <c r="U18" s="2"/>
      <c r="V18" s="19">
        <f t="shared" si="9"/>
        <v>0.29056083712218173</v>
      </c>
      <c r="W18" s="2"/>
      <c r="X18" s="2">
        <f t="shared" si="10"/>
        <v>-18963.36</v>
      </c>
      <c r="Y18" s="2"/>
      <c r="Z18" s="19">
        <f t="shared" si="11"/>
        <v>-0.16940135271956236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D12-D17</f>
        <v>62078.63</v>
      </c>
      <c r="E20" s="14"/>
      <c r="F20" s="22">
        <f>IF(D$12=0,0,D20/D$12)</f>
        <v>0.65268154157361968</v>
      </c>
      <c r="G20" s="14"/>
      <c r="H20" s="21">
        <f>H12-H17</f>
        <v>95482.830000000016</v>
      </c>
      <c r="I20" s="14"/>
      <c r="J20" s="22">
        <f>IF(H$12=0,0,H20/H$12)</f>
        <v>0.72464854486794728</v>
      </c>
      <c r="K20" s="16"/>
      <c r="L20" s="21">
        <f>+D20-H20</f>
        <v>-33404.200000000019</v>
      </c>
      <c r="M20" s="16"/>
      <c r="N20" s="22">
        <f>IF(H20=0,0,L20/H20)</f>
        <v>-0.34984509780449546</v>
      </c>
      <c r="O20" s="29"/>
      <c r="P20" s="21">
        <f>P12-P17</f>
        <v>197607.43999999997</v>
      </c>
      <c r="Q20" s="14"/>
      <c r="R20" s="22">
        <f>IF(P$12=0,0,P20/P$12)</f>
        <v>0.68002741756302909</v>
      </c>
      <c r="S20" s="14"/>
      <c r="T20" s="21">
        <f>T12-T17</f>
        <v>273323.2</v>
      </c>
      <c r="U20" s="14"/>
      <c r="V20" s="22">
        <f>IF(T$12=0,0,T20/T$12)</f>
        <v>0.70943916287781827</v>
      </c>
      <c r="W20" s="16"/>
      <c r="X20" s="21">
        <f>+P20-T20</f>
        <v>-75715.760000000038</v>
      </c>
      <c r="Y20" s="16"/>
      <c r="Z20" s="22">
        <f>IF(T20=0,0,X20/T20)</f>
        <v>-0.27701914802695138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35291.99</v>
      </c>
      <c r="E22" s="20"/>
      <c r="F22" s="35">
        <f t="shared" ref="F22:F31" si="12">IF(D$12=0,0,D22/D$12)</f>
        <v>0.37105249323963446</v>
      </c>
      <c r="G22" s="20"/>
      <c r="H22" s="20">
        <f>SUM(OSRRefH22x_0)</f>
        <v>74471.020000000019</v>
      </c>
      <c r="I22" s="20"/>
      <c r="J22" s="35">
        <f t="shared" ref="J22:J31" si="13">IF(H$12=0,0,H22/H$12)</f>
        <v>0.56518346050103252</v>
      </c>
      <c r="K22" s="4"/>
      <c r="L22" s="20">
        <f t="shared" ref="L22:L31" si="14">+D22-H22</f>
        <v>-39179.030000000021</v>
      </c>
      <c r="M22" s="4"/>
      <c r="N22" s="35">
        <f t="shared" ref="N22:N31" si="15">IF(H22=0,0,L22/H22)</f>
        <v>-0.52609766859645557</v>
      </c>
      <c r="O22" s="10"/>
      <c r="P22" s="20">
        <f>SUM(OSRRefP22x_0)</f>
        <v>202702.19999999995</v>
      </c>
      <c r="Q22" s="20"/>
      <c r="R22" s="35">
        <f t="shared" ref="R22:R31" si="16">IF(P$12=0,0,P22/P$12)</f>
        <v>0.69756003923913301</v>
      </c>
      <c r="S22" s="20"/>
      <c r="T22" s="20">
        <f>SUM(OSRRefT22x_0)</f>
        <v>249324.50000000003</v>
      </c>
      <c r="U22" s="20"/>
      <c r="V22" s="35">
        <f t="shared" ref="V22:V31" si="17">IF(T$12=0,0,T22/T$12)</f>
        <v>0.64714800852957455</v>
      </c>
      <c r="W22" s="4"/>
      <c r="X22" s="20">
        <f t="shared" ref="X22:X31" si="18">+P22-T22</f>
        <v>-46622.300000000076</v>
      </c>
      <c r="Y22" s="4"/>
      <c r="Z22" s="35">
        <f t="shared" ref="Z22:Z31" si="19">IF(T22=0,0,X22/T22)</f>
        <v>-0.18699445902829473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7765.5899999999992</v>
      </c>
      <c r="E23" s="1"/>
      <c r="F23" s="5">
        <f t="shared" si="12"/>
        <v>8.1645765256557437E-2</v>
      </c>
      <c r="G23" s="1"/>
      <c r="H23" s="1">
        <f>SUM(OSRRefH22_0x_0)</f>
        <v>17191.61</v>
      </c>
      <c r="I23" s="1"/>
      <c r="J23" s="5">
        <f t="shared" si="13"/>
        <v>0.13047241237442636</v>
      </c>
      <c r="K23" s="1"/>
      <c r="L23" s="1">
        <f t="shared" si="14"/>
        <v>-9426.02</v>
      </c>
      <c r="M23" s="1"/>
      <c r="N23" s="5">
        <f t="shared" si="15"/>
        <v>-0.54829187027858362</v>
      </c>
      <c r="O23" s="13"/>
      <c r="P23" s="1">
        <f>SUM(OSRRefP22_0x_0)</f>
        <v>52869.01999999999</v>
      </c>
      <c r="Q23" s="1"/>
      <c r="R23" s="5">
        <f t="shared" si="16"/>
        <v>0.1819384084915433</v>
      </c>
      <c r="S23" s="1"/>
      <c r="T23" s="1">
        <f>SUM(OSRRefT22_0x_0)</f>
        <v>52176.899999999994</v>
      </c>
      <c r="U23" s="1"/>
      <c r="V23" s="5">
        <f t="shared" si="17"/>
        <v>0.1354306412977736</v>
      </c>
      <c r="W23" s="1"/>
      <c r="X23" s="1">
        <f t="shared" si="18"/>
        <v>692.11999999999534</v>
      </c>
      <c r="Y23" s="1"/>
      <c r="Z23" s="5">
        <f t="shared" si="19"/>
        <v>1.3264873919301366E-2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1361.71</v>
      </c>
      <c r="E24" s="2"/>
      <c r="F24" s="7">
        <f t="shared" si="12"/>
        <v>1.431672995966911E-2</v>
      </c>
      <c r="G24" s="2"/>
      <c r="H24" s="6">
        <v>4378.1899999999996</v>
      </c>
      <c r="I24" s="2"/>
      <c r="J24" s="7">
        <f t="shared" si="13"/>
        <v>3.3227429608604996E-2</v>
      </c>
      <c r="K24" s="2"/>
      <c r="L24" s="6">
        <f t="shared" si="14"/>
        <v>-3016.4799999999996</v>
      </c>
      <c r="M24" s="2"/>
      <c r="N24" s="7">
        <f t="shared" si="15"/>
        <v>-0.68897877890178361</v>
      </c>
      <c r="O24" s="11"/>
      <c r="P24" s="6">
        <v>8384.11</v>
      </c>
      <c r="Q24" s="2"/>
      <c r="R24" s="7">
        <f t="shared" si="16"/>
        <v>2.8852277383201608E-2</v>
      </c>
      <c r="S24" s="2"/>
      <c r="T24" s="6">
        <v>11714.95</v>
      </c>
      <c r="U24" s="2"/>
      <c r="V24" s="7">
        <f t="shared" si="17"/>
        <v>3.0407387009794621E-2</v>
      </c>
      <c r="W24" s="2"/>
      <c r="X24" s="6">
        <f t="shared" si="18"/>
        <v>-3330.84</v>
      </c>
      <c r="Y24" s="2"/>
      <c r="Z24" s="7">
        <f t="shared" si="19"/>
        <v>-0.28432387675576931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-1591.86</v>
      </c>
      <c r="E25" s="2"/>
      <c r="F25" s="7">
        <f t="shared" si="12"/>
        <v>-1.6736478217534476E-2</v>
      </c>
      <c r="G25" s="2"/>
      <c r="H25" s="6">
        <v>2614.23</v>
      </c>
      <c r="I25" s="2"/>
      <c r="J25" s="7">
        <f t="shared" si="13"/>
        <v>1.9840194990556243E-2</v>
      </c>
      <c r="K25" s="2"/>
      <c r="L25" s="6">
        <f t="shared" si="14"/>
        <v>-4206.09</v>
      </c>
      <c r="M25" s="2"/>
      <c r="N25" s="7">
        <f t="shared" si="15"/>
        <v>-1.608921173729932</v>
      </c>
      <c r="O25" s="11"/>
      <c r="P25" s="6">
        <v>1840.41</v>
      </c>
      <c r="Q25" s="2"/>
      <c r="R25" s="7">
        <f t="shared" si="16"/>
        <v>6.3334116344869124E-3</v>
      </c>
      <c r="S25" s="2"/>
      <c r="T25" s="6">
        <v>5198.83</v>
      </c>
      <c r="U25" s="2"/>
      <c r="V25" s="7">
        <f t="shared" si="17"/>
        <v>1.3494111012691523E-2</v>
      </c>
      <c r="W25" s="2"/>
      <c r="X25" s="6">
        <f t="shared" si="18"/>
        <v>-3358.42</v>
      </c>
      <c r="Y25" s="2"/>
      <c r="Z25" s="7">
        <f t="shared" si="19"/>
        <v>-0.64599534895351451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5245.28</v>
      </c>
      <c r="E26" s="2"/>
      <c r="F26" s="7">
        <f t="shared" si="12"/>
        <v>5.5147760773478341E-2</v>
      </c>
      <c r="G26" s="2"/>
      <c r="H26" s="6">
        <v>5466.7</v>
      </c>
      <c r="I26" s="2"/>
      <c r="J26" s="7">
        <f t="shared" si="13"/>
        <v>4.1488466567545249E-2</v>
      </c>
      <c r="K26" s="2"/>
      <c r="L26" s="6">
        <f t="shared" si="14"/>
        <v>-221.42000000000007</v>
      </c>
      <c r="M26" s="2"/>
      <c r="N26" s="7">
        <f t="shared" si="15"/>
        <v>-4.0503411564563642E-2</v>
      </c>
      <c r="O26" s="11"/>
      <c r="P26" s="6">
        <v>21248.36</v>
      </c>
      <c r="Q26" s="2"/>
      <c r="R26" s="7">
        <f t="shared" si="16"/>
        <v>7.3122081730574343E-2</v>
      </c>
      <c r="S26" s="2"/>
      <c r="T26" s="6">
        <v>18437.36</v>
      </c>
      <c r="U26" s="2"/>
      <c r="V26" s="7">
        <f t="shared" si="17"/>
        <v>4.785611043657096E-2</v>
      </c>
      <c r="W26" s="2"/>
      <c r="X26" s="6">
        <f t="shared" si="18"/>
        <v>2811</v>
      </c>
      <c r="Y26" s="2"/>
      <c r="Z26" s="7">
        <f t="shared" si="19"/>
        <v>0.15246217462803785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42.48</v>
      </c>
      <c r="E27" s="2"/>
      <c r="F27" s="7">
        <f t="shared" si="12"/>
        <v>4.4662570494947073E-4</v>
      </c>
      <c r="G27" s="2"/>
      <c r="H27" s="6">
        <v>123.87</v>
      </c>
      <c r="I27" s="2"/>
      <c r="J27" s="7">
        <f t="shared" si="13"/>
        <v>9.4008750319604694E-4</v>
      </c>
      <c r="K27" s="2"/>
      <c r="L27" s="6">
        <f t="shared" si="14"/>
        <v>-81.390000000000015</v>
      </c>
      <c r="M27" s="2"/>
      <c r="N27" s="7">
        <f t="shared" si="15"/>
        <v>-0.65705982077984992</v>
      </c>
      <c r="O27" s="11"/>
      <c r="P27" s="6">
        <v>286.01</v>
      </c>
      <c r="Q27" s="2"/>
      <c r="R27" s="7">
        <f t="shared" si="16"/>
        <v>9.8424756525969858E-4</v>
      </c>
      <c r="S27" s="2"/>
      <c r="T27" s="6">
        <v>407.91</v>
      </c>
      <c r="U27" s="2"/>
      <c r="V27" s="7">
        <f t="shared" si="17"/>
        <v>1.0587733823162135E-3</v>
      </c>
      <c r="W27" s="2"/>
      <c r="X27" s="6">
        <f t="shared" si="18"/>
        <v>-121.90000000000003</v>
      </c>
      <c r="Y27" s="2"/>
      <c r="Z27" s="7">
        <f t="shared" si="19"/>
        <v>-0.29884043048711734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1416.28</v>
      </c>
      <c r="E28" s="2"/>
      <c r="F28" s="7">
        <f t="shared" si="12"/>
        <v>1.4890467358894455E-2</v>
      </c>
      <c r="G28" s="2"/>
      <c r="H28" s="6">
        <v>1539.02</v>
      </c>
      <c r="I28" s="2"/>
      <c r="J28" s="7">
        <f t="shared" si="13"/>
        <v>1.1680095819559056E-2</v>
      </c>
      <c r="K28" s="2"/>
      <c r="L28" s="6">
        <f t="shared" si="14"/>
        <v>-122.74000000000001</v>
      </c>
      <c r="M28" s="2"/>
      <c r="N28" s="7">
        <f t="shared" si="15"/>
        <v>-7.9752050005847883E-2</v>
      </c>
      <c r="O28" s="11"/>
      <c r="P28" s="6">
        <v>5033.49</v>
      </c>
      <c r="Q28" s="2"/>
      <c r="R28" s="7">
        <f t="shared" si="16"/>
        <v>1.7321772935418481E-2</v>
      </c>
      <c r="S28" s="2"/>
      <c r="T28" s="6">
        <v>5183.8100000000004</v>
      </c>
      <c r="U28" s="2"/>
      <c r="V28" s="7">
        <f t="shared" si="17"/>
        <v>1.3455125020187321E-2</v>
      </c>
      <c r="W28" s="2"/>
      <c r="X28" s="6">
        <f t="shared" si="18"/>
        <v>-150.32000000000062</v>
      </c>
      <c r="Y28" s="2"/>
      <c r="Z28" s="7">
        <f t="shared" si="19"/>
        <v>-2.8997976391881765E-2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441.84</v>
      </c>
      <c r="E29" s="2"/>
      <c r="F29" s="7">
        <f t="shared" si="12"/>
        <v>4.6454119932879982E-3</v>
      </c>
      <c r="G29" s="2"/>
      <c r="H29" s="6">
        <v>1357.05</v>
      </c>
      <c r="I29" s="2"/>
      <c r="J29" s="7">
        <f t="shared" si="13"/>
        <v>1.0299069558506463E-2</v>
      </c>
      <c r="K29" s="2"/>
      <c r="L29" s="6">
        <f t="shared" si="14"/>
        <v>-915.21</v>
      </c>
      <c r="M29" s="2"/>
      <c r="N29" s="7">
        <f t="shared" si="15"/>
        <v>-0.67441140709627501</v>
      </c>
      <c r="O29" s="11"/>
      <c r="P29" s="6">
        <v>5893.71</v>
      </c>
      <c r="Q29" s="2"/>
      <c r="R29" s="7">
        <f t="shared" si="16"/>
        <v>2.0282052088551931E-2</v>
      </c>
      <c r="S29" s="2"/>
      <c r="T29" s="6">
        <v>4600.2299999999996</v>
      </c>
      <c r="U29" s="2"/>
      <c r="V29" s="7">
        <f t="shared" si="17"/>
        <v>1.1940381644314955E-2</v>
      </c>
      <c r="W29" s="2"/>
      <c r="X29" s="6">
        <f t="shared" si="18"/>
        <v>1293.4800000000005</v>
      </c>
      <c r="Y29" s="2"/>
      <c r="Z29" s="7">
        <f t="shared" si="19"/>
        <v>0.28117724548555195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424.32</v>
      </c>
      <c r="E30" s="2"/>
      <c r="F30" s="7">
        <f t="shared" si="12"/>
        <v>4.4612104313596851E-3</v>
      </c>
      <c r="G30" s="2"/>
      <c r="H30" s="6">
        <v>1139.49</v>
      </c>
      <c r="I30" s="2"/>
      <c r="J30" s="7">
        <f t="shared" si="13"/>
        <v>8.6479398483641206E-3</v>
      </c>
      <c r="K30" s="2"/>
      <c r="L30" s="6">
        <f t="shared" si="14"/>
        <v>-715.17000000000007</v>
      </c>
      <c r="M30" s="2"/>
      <c r="N30" s="7">
        <f t="shared" si="15"/>
        <v>-0.62762288392175458</v>
      </c>
      <c r="O30" s="11"/>
      <c r="P30" s="6">
        <v>8252.73</v>
      </c>
      <c r="Q30" s="2"/>
      <c r="R30" s="7">
        <f t="shared" si="16"/>
        <v>2.8400158768034933E-2</v>
      </c>
      <c r="S30" s="2"/>
      <c r="T30" s="6">
        <v>4420.6400000000003</v>
      </c>
      <c r="U30" s="2"/>
      <c r="V30" s="7">
        <f t="shared" si="17"/>
        <v>1.147423687774839E-2</v>
      </c>
      <c r="W30" s="2"/>
      <c r="X30" s="6">
        <f t="shared" si="18"/>
        <v>3832.0899999999992</v>
      </c>
      <c r="Y30" s="2"/>
      <c r="Z30" s="7">
        <f t="shared" si="19"/>
        <v>0.86686316913388084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425.54</v>
      </c>
      <c r="E31" s="2"/>
      <c r="F31" s="7">
        <f t="shared" si="12"/>
        <v>4.4740372524528669E-3</v>
      </c>
      <c r="G31" s="2"/>
      <c r="H31" s="6">
        <v>573.05999999999995</v>
      </c>
      <c r="I31" s="2"/>
      <c r="J31" s="7">
        <f t="shared" si="13"/>
        <v>4.3491284780941847E-3</v>
      </c>
      <c r="K31" s="2"/>
      <c r="L31" s="6">
        <f t="shared" si="14"/>
        <v>-147.51999999999992</v>
      </c>
      <c r="M31" s="2"/>
      <c r="N31" s="7">
        <f t="shared" si="15"/>
        <v>-0.25742505147803013</v>
      </c>
      <c r="O31" s="11"/>
      <c r="P31" s="6">
        <v>1930.2</v>
      </c>
      <c r="Q31" s="2"/>
      <c r="R31" s="7">
        <f t="shared" si="16"/>
        <v>6.6424063860154193E-3</v>
      </c>
      <c r="S31" s="2"/>
      <c r="T31" s="6">
        <v>2213.17</v>
      </c>
      <c r="U31" s="2"/>
      <c r="V31" s="7">
        <f t="shared" si="17"/>
        <v>5.7445159141496262E-3</v>
      </c>
      <c r="W31" s="2"/>
      <c r="X31" s="6">
        <f t="shared" si="18"/>
        <v>-282.97000000000003</v>
      </c>
      <c r="Y31" s="2"/>
      <c r="Z31" s="7">
        <f t="shared" si="19"/>
        <v>-0.12785732682080456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19044.789999999997</v>
      </c>
      <c r="E32" s="1"/>
      <c r="F32" s="5">
        <f t="shared" ref="F32:F38" si="20">IF(D$12=0,0,D32/D$12)</f>
        <v>0.20023288039935569</v>
      </c>
      <c r="G32" s="1"/>
      <c r="H32" s="1">
        <f>SUM(OSRRefH22_1x_0)</f>
        <v>47870.270000000004</v>
      </c>
      <c r="I32" s="1"/>
      <c r="J32" s="5">
        <f t="shared" ref="J32:J38" si="21">IF(H$12=0,0,H32/H$12)</f>
        <v>0.36330219263437985</v>
      </c>
      <c r="K32" s="1"/>
      <c r="L32" s="1">
        <f t="shared" ref="L32:L38" si="22">+D32-H32</f>
        <v>-28825.480000000007</v>
      </c>
      <c r="M32" s="1"/>
      <c r="N32" s="5">
        <f t="shared" ref="N32:N38" si="23">IF(H32=0,0,L32/H32)</f>
        <v>-0.60215829156593448</v>
      </c>
      <c r="O32" s="13"/>
      <c r="P32" s="1">
        <f>SUM(OSRRefP22_1x_0)</f>
        <v>119915.06</v>
      </c>
      <c r="Q32" s="1"/>
      <c r="R32" s="5">
        <f t="shared" ref="R32:R38" si="24">IF(P$12=0,0,P32/P$12)</f>
        <v>0.4126642629382562</v>
      </c>
      <c r="S32" s="1"/>
      <c r="T32" s="1">
        <f>SUM(OSRRefT22_1x_0)</f>
        <v>153209.94</v>
      </c>
      <c r="U32" s="1"/>
      <c r="V32" s="5">
        <f t="shared" ref="V32:V38" si="25">IF(T$12=0,0,T32/T$12)</f>
        <v>0.39767254143870978</v>
      </c>
      <c r="W32" s="1"/>
      <c r="X32" s="1">
        <f t="shared" ref="X32:X38" si="26">+P32-T32</f>
        <v>-33294.880000000005</v>
      </c>
      <c r="Y32" s="1"/>
      <c r="Z32" s="5">
        <f t="shared" ref="Z32:Z38" si="27">IF(T32=0,0,X32/T32)</f>
        <v>-0.21731540394833393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3846.41</v>
      </c>
      <c r="E33" s="2"/>
      <c r="F33" s="7">
        <f t="shared" si="20"/>
        <v>4.0440338459856257E-2</v>
      </c>
      <c r="G33" s="2"/>
      <c r="H33" s="6">
        <v>16836.12</v>
      </c>
      <c r="I33" s="2"/>
      <c r="J33" s="7">
        <f t="shared" si="21"/>
        <v>0.12777448949954814</v>
      </c>
      <c r="K33" s="2"/>
      <c r="L33" s="6">
        <f t="shared" si="22"/>
        <v>-12989.71</v>
      </c>
      <c r="M33" s="2"/>
      <c r="N33" s="7">
        <f t="shared" si="23"/>
        <v>-0.77153821664373978</v>
      </c>
      <c r="O33" s="11"/>
      <c r="P33" s="6">
        <v>44130.13</v>
      </c>
      <c r="Q33" s="2"/>
      <c r="R33" s="7">
        <f t="shared" si="24"/>
        <v>0.15186522501693639</v>
      </c>
      <c r="S33" s="2"/>
      <c r="T33" s="6">
        <v>53348.480000000003</v>
      </c>
      <c r="U33" s="2"/>
      <c r="V33" s="7">
        <f t="shared" si="25"/>
        <v>0.13847160062520866</v>
      </c>
      <c r="W33" s="2"/>
      <c r="X33" s="6">
        <f t="shared" si="26"/>
        <v>-9218.3500000000058</v>
      </c>
      <c r="Y33" s="2"/>
      <c r="Z33" s="7">
        <f t="shared" si="27"/>
        <v>-0.1727949887232027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7199.73</v>
      </c>
      <c r="E34" s="2"/>
      <c r="F34" s="7">
        <f t="shared" si="20"/>
        <v>7.5696433302633065E-2</v>
      </c>
      <c r="G34" s="2"/>
      <c r="H34" s="6">
        <v>10463.23</v>
      </c>
      <c r="I34" s="2"/>
      <c r="J34" s="7">
        <f t="shared" si="21"/>
        <v>7.9408668491692688E-2</v>
      </c>
      <c r="K34" s="2"/>
      <c r="L34" s="6">
        <f t="shared" si="22"/>
        <v>-3263.5</v>
      </c>
      <c r="M34" s="2"/>
      <c r="N34" s="7">
        <f t="shared" si="23"/>
        <v>-0.3119017741175526</v>
      </c>
      <c r="O34" s="11"/>
      <c r="P34" s="6">
        <v>22689.79</v>
      </c>
      <c r="Q34" s="2"/>
      <c r="R34" s="7">
        <f t="shared" si="24"/>
        <v>7.808248160467765E-2</v>
      </c>
      <c r="S34" s="2"/>
      <c r="T34" s="6">
        <v>27287.649999999998</v>
      </c>
      <c r="U34" s="2"/>
      <c r="V34" s="7">
        <f t="shared" si="25"/>
        <v>7.0827970596359535E-2</v>
      </c>
      <c r="W34" s="2"/>
      <c r="X34" s="6">
        <f t="shared" si="26"/>
        <v>-4597.8599999999969</v>
      </c>
      <c r="Y34" s="2"/>
      <c r="Z34" s="7">
        <f t="shared" si="27"/>
        <v>-0.16849600460281472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5984.6</v>
      </c>
      <c r="E35" s="2"/>
      <c r="F35" s="7">
        <f t="shared" si="20"/>
        <v>6.2920814355946389E-2</v>
      </c>
      <c r="G35" s="2"/>
      <c r="H35" s="6">
        <v>13630.62</v>
      </c>
      <c r="I35" s="2"/>
      <c r="J35" s="7">
        <f t="shared" si="21"/>
        <v>0.10344696474379673</v>
      </c>
      <c r="K35" s="2"/>
      <c r="L35" s="6">
        <f t="shared" si="22"/>
        <v>-7646.02</v>
      </c>
      <c r="M35" s="2"/>
      <c r="N35" s="7">
        <f t="shared" si="23"/>
        <v>-0.56094440311592575</v>
      </c>
      <c r="O35" s="11"/>
      <c r="P35" s="6">
        <v>25776.37</v>
      </c>
      <c r="Q35" s="2"/>
      <c r="R35" s="7">
        <f t="shared" si="24"/>
        <v>8.8704343952075576E-2</v>
      </c>
      <c r="S35" s="2"/>
      <c r="T35" s="6">
        <v>42364.42</v>
      </c>
      <c r="U35" s="2"/>
      <c r="V35" s="7">
        <f t="shared" si="25"/>
        <v>0.1099613156168386</v>
      </c>
      <c r="W35" s="2"/>
      <c r="X35" s="6">
        <f t="shared" si="26"/>
        <v>-16588.05</v>
      </c>
      <c r="Y35" s="2"/>
      <c r="Z35" s="7">
        <f t="shared" si="27"/>
        <v>-0.39155616906828888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68.75</v>
      </c>
      <c r="I36" s="2"/>
      <c r="J36" s="7">
        <f t="shared" si="21"/>
        <v>5.2176488128463899E-4</v>
      </c>
      <c r="K36" s="2"/>
      <c r="L36" s="6">
        <f t="shared" si="22"/>
        <v>-68.75</v>
      </c>
      <c r="M36" s="2"/>
      <c r="N36" s="7">
        <f t="shared" si="23"/>
        <v>-1</v>
      </c>
      <c r="O36" s="11"/>
      <c r="P36" s="6">
        <v>1299.6300000000001</v>
      </c>
      <c r="Q36" s="2"/>
      <c r="R36" s="7">
        <f t="shared" si="24"/>
        <v>4.4724228636707185E-3</v>
      </c>
      <c r="S36" s="2"/>
      <c r="T36" s="6">
        <v>68.75</v>
      </c>
      <c r="U36" s="2"/>
      <c r="V36" s="7">
        <f t="shared" si="25"/>
        <v>1.7844786848628292E-4</v>
      </c>
      <c r="W36" s="2"/>
      <c r="X36" s="6">
        <f t="shared" si="26"/>
        <v>1230.8800000000001</v>
      </c>
      <c r="Y36" s="2"/>
      <c r="Z36" s="7">
        <f t="shared" si="27"/>
        <v>17.903709090909093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1745.3</v>
      </c>
      <c r="E37" s="2"/>
      <c r="F37" s="7">
        <f t="shared" si="20"/>
        <v>1.8349713814696592E-2</v>
      </c>
      <c r="G37" s="2"/>
      <c r="H37" s="6">
        <v>4473.04</v>
      </c>
      <c r="I37" s="2"/>
      <c r="J37" s="7">
        <f t="shared" si="21"/>
        <v>3.3947275412093691E-2</v>
      </c>
      <c r="K37" s="2"/>
      <c r="L37" s="6">
        <f t="shared" si="22"/>
        <v>-2727.74</v>
      </c>
      <c r="M37" s="2"/>
      <c r="N37" s="7">
        <f t="shared" si="23"/>
        <v>-0.60981793142918461</v>
      </c>
      <c r="O37" s="11"/>
      <c r="P37" s="6">
        <v>22613.919999999998</v>
      </c>
      <c r="Q37" s="2"/>
      <c r="R37" s="7">
        <f t="shared" si="24"/>
        <v>7.7821389814963116E-2</v>
      </c>
      <c r="S37" s="2"/>
      <c r="T37" s="6">
        <v>21941.98</v>
      </c>
      <c r="U37" s="2"/>
      <c r="V37" s="7">
        <f t="shared" si="25"/>
        <v>5.6952720892634909E-2</v>
      </c>
      <c r="W37" s="2"/>
      <c r="X37" s="6">
        <f t="shared" si="26"/>
        <v>671.93999999999869</v>
      </c>
      <c r="Y37" s="2"/>
      <c r="Z37" s="7">
        <f t="shared" si="27"/>
        <v>3.0623489767103912E-2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268.75</v>
      </c>
      <c r="E38" s="2"/>
      <c r="F38" s="7">
        <f t="shared" si="20"/>
        <v>2.8255804662234056E-3</v>
      </c>
      <c r="G38" s="2"/>
      <c r="H38" s="6">
        <v>2398.5100000000002</v>
      </c>
      <c r="I38" s="2"/>
      <c r="J38" s="7">
        <f t="shared" si="21"/>
        <v>1.820302960596392E-2</v>
      </c>
      <c r="K38" s="2"/>
      <c r="L38" s="6">
        <f t="shared" si="22"/>
        <v>-2129.7600000000002</v>
      </c>
      <c r="M38" s="2"/>
      <c r="N38" s="7">
        <f t="shared" si="23"/>
        <v>-0.88795126974663441</v>
      </c>
      <c r="O38" s="11"/>
      <c r="P38" s="6">
        <v>3405.22</v>
      </c>
      <c r="Q38" s="2"/>
      <c r="R38" s="7">
        <f t="shared" si="24"/>
        <v>1.1718399685932766E-2</v>
      </c>
      <c r="S38" s="2"/>
      <c r="T38" s="6">
        <v>8198.66</v>
      </c>
      <c r="U38" s="2"/>
      <c r="V38" s="7">
        <f t="shared" si="25"/>
        <v>2.1280485839181792E-2</v>
      </c>
      <c r="W38" s="2"/>
      <c r="X38" s="6">
        <f t="shared" si="26"/>
        <v>-4793.4400000000005</v>
      </c>
      <c r="Y38" s="2"/>
      <c r="Z38" s="7">
        <f t="shared" si="27"/>
        <v>-0.58466139588664501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327</v>
      </c>
      <c r="E39" s="1"/>
      <c r="F39" s="5">
        <f t="shared" ref="F39:F53" si="28">IF(D$12=0,0,D39/D$12)</f>
        <v>3.4380086044839202E-3</v>
      </c>
      <c r="G39" s="1"/>
      <c r="H39" s="1">
        <f>SUM(OSRRefH22_2x_0)</f>
        <v>504</v>
      </c>
      <c r="I39" s="1"/>
      <c r="J39" s="5">
        <f t="shared" ref="J39:J53" si="29">IF(H$12=0,0,H39/H$12)</f>
        <v>3.8250109115266625E-3</v>
      </c>
      <c r="K39" s="1"/>
      <c r="L39" s="1">
        <f t="shared" ref="L39:L53" si="30">+D39-H39</f>
        <v>-177</v>
      </c>
      <c r="M39" s="1"/>
      <c r="N39" s="5">
        <f t="shared" ref="N39:N53" si="31">IF(H39=0,0,L39/H39)</f>
        <v>-0.35119047619047616</v>
      </c>
      <c r="O39" s="13"/>
      <c r="P39" s="1">
        <f>SUM(OSRRefP22_2x_0)</f>
        <v>339.52</v>
      </c>
      <c r="Q39" s="1"/>
      <c r="R39" s="5">
        <f t="shared" ref="R39:R53" si="32">IF(P$12=0,0,P39/P$12)</f>
        <v>1.1683917812558052E-3</v>
      </c>
      <c r="S39" s="1"/>
      <c r="T39" s="1">
        <f>SUM(OSRRefT22_2x_0)</f>
        <v>1066.49</v>
      </c>
      <c r="U39" s="1"/>
      <c r="V39" s="5">
        <f t="shared" ref="V39:V53" si="33">IF(T$12=0,0,T39/T$12)</f>
        <v>2.7681871601736127E-3</v>
      </c>
      <c r="W39" s="1"/>
      <c r="X39" s="1">
        <f t="shared" ref="X39:X53" si="34">+P39-T39</f>
        <v>-726.97</v>
      </c>
      <c r="Y39" s="1"/>
      <c r="Z39" s="5">
        <f t="shared" ref="Z39:Z53" si="35">IF(T39=0,0,X39/T39)</f>
        <v>-0.68164727282956239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327</v>
      </c>
      <c r="E40" s="2"/>
      <c r="F40" s="7">
        <f t="shared" si="28"/>
        <v>3.4380086044839202E-3</v>
      </c>
      <c r="G40" s="2"/>
      <c r="H40" s="6">
        <v>504</v>
      </c>
      <c r="I40" s="2"/>
      <c r="J40" s="7">
        <f t="shared" si="29"/>
        <v>3.8250109115266625E-3</v>
      </c>
      <c r="K40" s="2"/>
      <c r="L40" s="6">
        <f t="shared" si="30"/>
        <v>-177</v>
      </c>
      <c r="M40" s="2"/>
      <c r="N40" s="7">
        <f t="shared" si="31"/>
        <v>-0.35119047619047616</v>
      </c>
      <c r="O40" s="11"/>
      <c r="P40" s="6">
        <v>339.52</v>
      </c>
      <c r="Q40" s="2"/>
      <c r="R40" s="7">
        <f t="shared" si="32"/>
        <v>1.1683917812558052E-3</v>
      </c>
      <c r="S40" s="2"/>
      <c r="T40" s="6">
        <v>1066.49</v>
      </c>
      <c r="U40" s="2"/>
      <c r="V40" s="7">
        <f t="shared" si="33"/>
        <v>2.7681871601736127E-3</v>
      </c>
      <c r="W40" s="2"/>
      <c r="X40" s="6">
        <f t="shared" si="34"/>
        <v>-726.97</v>
      </c>
      <c r="Y40" s="2"/>
      <c r="Z40" s="7">
        <f t="shared" si="35"/>
        <v>-0.68164727282956239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1.3</v>
      </c>
      <c r="E41" s="1"/>
      <c r="F41" s="5">
        <f t="shared" si="28"/>
        <v>1.3667924115685311E-5</v>
      </c>
      <c r="G41" s="1"/>
      <c r="H41" s="1">
        <f>SUM(OSRRefH22_3x_0)</f>
        <v>-0.59</v>
      </c>
      <c r="I41" s="1"/>
      <c r="J41" s="5">
        <f t="shared" si="29"/>
        <v>-4.4776913448427193E-6</v>
      </c>
      <c r="K41" s="1"/>
      <c r="L41" s="1">
        <f t="shared" si="30"/>
        <v>1.8900000000000001</v>
      </c>
      <c r="M41" s="1"/>
      <c r="N41" s="5">
        <f t="shared" si="31"/>
        <v>-3.2033898305084749</v>
      </c>
      <c r="O41" s="13"/>
      <c r="P41" s="1">
        <f>SUM(OSRRefP22_3x_0)</f>
        <v>0.17</v>
      </c>
      <c r="Q41" s="1"/>
      <c r="R41" s="5">
        <f t="shared" si="32"/>
        <v>5.8502180376262633E-7</v>
      </c>
      <c r="S41" s="1"/>
      <c r="T41" s="1">
        <f>SUM(OSRRefT22_3x_0)</f>
        <v>-6.56</v>
      </c>
      <c r="U41" s="1"/>
      <c r="V41" s="5">
        <f t="shared" si="33"/>
        <v>-1.7027171160291139E-5</v>
      </c>
      <c r="W41" s="1"/>
      <c r="X41" s="1">
        <f t="shared" si="34"/>
        <v>6.7299999999999995</v>
      </c>
      <c r="Y41" s="1"/>
      <c r="Z41" s="5">
        <f t="shared" si="35"/>
        <v>-1.0259146341463414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1.3</v>
      </c>
      <c r="E42" s="2"/>
      <c r="F42" s="7">
        <f t="shared" si="28"/>
        <v>1.3667924115685311E-5</v>
      </c>
      <c r="G42" s="2"/>
      <c r="H42" s="6">
        <v>-0.59</v>
      </c>
      <c r="I42" s="2"/>
      <c r="J42" s="7">
        <f t="shared" si="29"/>
        <v>-4.4776913448427193E-6</v>
      </c>
      <c r="K42" s="2"/>
      <c r="L42" s="6">
        <f t="shared" si="30"/>
        <v>1.8900000000000001</v>
      </c>
      <c r="M42" s="2"/>
      <c r="N42" s="7">
        <f t="shared" si="31"/>
        <v>-3.2033898305084749</v>
      </c>
      <c r="O42" s="11"/>
      <c r="P42" s="6">
        <v>0.17</v>
      </c>
      <c r="Q42" s="2"/>
      <c r="R42" s="7">
        <f t="shared" si="32"/>
        <v>5.8502180376262633E-7</v>
      </c>
      <c r="S42" s="2"/>
      <c r="T42" s="6">
        <v>-6.56</v>
      </c>
      <c r="U42" s="2"/>
      <c r="V42" s="7">
        <f t="shared" si="33"/>
        <v>-1.7027171160291139E-5</v>
      </c>
      <c r="W42" s="2"/>
      <c r="X42" s="6">
        <f t="shared" si="34"/>
        <v>6.7299999999999995</v>
      </c>
      <c r="Y42" s="2"/>
      <c r="Z42" s="7">
        <f t="shared" si="35"/>
        <v>-1.0259146341463414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1145.02</v>
      </c>
      <c r="E43" s="1"/>
      <c r="F43" s="5">
        <f t="shared" si="28"/>
        <v>1.2038497285339995E-2</v>
      </c>
      <c r="G43" s="1"/>
      <c r="H43" s="1">
        <f>SUM(OSRRefH22_4x_0)</f>
        <v>1890.82</v>
      </c>
      <c r="I43" s="1"/>
      <c r="J43" s="5">
        <f t="shared" si="29"/>
        <v>1.4350014150263579E-2</v>
      </c>
      <c r="K43" s="1"/>
      <c r="L43" s="1">
        <f t="shared" si="30"/>
        <v>-745.8</v>
      </c>
      <c r="M43" s="1"/>
      <c r="N43" s="5">
        <f t="shared" si="31"/>
        <v>-0.39443204535598309</v>
      </c>
      <c r="O43" s="13"/>
      <c r="P43" s="1">
        <f>SUM(OSRRefP22_4x_0)</f>
        <v>3529.94</v>
      </c>
      <c r="Q43" s="1"/>
      <c r="R43" s="5">
        <f t="shared" si="32"/>
        <v>1.2147599211610854E-2</v>
      </c>
      <c r="S43" s="1"/>
      <c r="T43" s="1">
        <f>SUM(OSRRefT22_4x_0)</f>
        <v>4251.07</v>
      </c>
      <c r="U43" s="1"/>
      <c r="V43" s="5">
        <f t="shared" si="33"/>
        <v>1.1034100076887021E-2</v>
      </c>
      <c r="W43" s="1"/>
      <c r="X43" s="1">
        <f t="shared" si="34"/>
        <v>-721.12999999999965</v>
      </c>
      <c r="Y43" s="1"/>
      <c r="Z43" s="5">
        <f t="shared" si="35"/>
        <v>-0.16963493896830673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1145.02</v>
      </c>
      <c r="E44" s="2"/>
      <c r="F44" s="7">
        <f t="shared" si="28"/>
        <v>1.2038497285339995E-2</v>
      </c>
      <c r="G44" s="2"/>
      <c r="H44" s="6">
        <v>1890.82</v>
      </c>
      <c r="I44" s="2"/>
      <c r="J44" s="7">
        <f t="shared" si="29"/>
        <v>1.4350014150263579E-2</v>
      </c>
      <c r="K44" s="2"/>
      <c r="L44" s="6">
        <f t="shared" si="30"/>
        <v>-745.8</v>
      </c>
      <c r="M44" s="2"/>
      <c r="N44" s="7">
        <f t="shared" si="31"/>
        <v>-0.39443204535598309</v>
      </c>
      <c r="O44" s="11"/>
      <c r="P44" s="6">
        <v>3529.94</v>
      </c>
      <c r="Q44" s="2"/>
      <c r="R44" s="7">
        <f t="shared" si="32"/>
        <v>1.2147599211610854E-2</v>
      </c>
      <c r="S44" s="2"/>
      <c r="T44" s="6">
        <v>4251.07</v>
      </c>
      <c r="U44" s="2"/>
      <c r="V44" s="7">
        <f t="shared" si="33"/>
        <v>1.1034100076887021E-2</v>
      </c>
      <c r="W44" s="2"/>
      <c r="X44" s="6">
        <f t="shared" si="34"/>
        <v>-721.12999999999965</v>
      </c>
      <c r="Y44" s="2"/>
      <c r="Z44" s="7">
        <f t="shared" si="35"/>
        <v>-0.16963493896830673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297.99</v>
      </c>
      <c r="E45" s="1"/>
      <c r="F45" s="5">
        <f t="shared" si="28"/>
        <v>3.1330036209485119E-3</v>
      </c>
      <c r="G45" s="1"/>
      <c r="H45" s="1">
        <f>SUM(OSRRefH22_5x_0)</f>
        <v>696.82</v>
      </c>
      <c r="I45" s="1"/>
      <c r="J45" s="5">
        <f t="shared" si="29"/>
        <v>5.2883811574801765E-3</v>
      </c>
      <c r="K45" s="1"/>
      <c r="L45" s="1">
        <f t="shared" si="30"/>
        <v>-398.83000000000004</v>
      </c>
      <c r="M45" s="1"/>
      <c r="N45" s="5">
        <f t="shared" si="31"/>
        <v>-0.57235728021583765</v>
      </c>
      <c r="O45" s="13"/>
      <c r="P45" s="1">
        <f>SUM(OSRRefP22_5x_0)</f>
        <v>1191.96</v>
      </c>
      <c r="Q45" s="1"/>
      <c r="R45" s="5">
        <f t="shared" si="32"/>
        <v>4.1018975836052945E-3</v>
      </c>
      <c r="S45" s="1"/>
      <c r="T45" s="1">
        <f>SUM(OSRRefT22_5x_0)</f>
        <v>2787.28</v>
      </c>
      <c r="U45" s="1"/>
      <c r="V45" s="5">
        <f t="shared" si="33"/>
        <v>7.2346789072646788E-3</v>
      </c>
      <c r="W45" s="1"/>
      <c r="X45" s="1">
        <f t="shared" si="34"/>
        <v>-1595.3200000000002</v>
      </c>
      <c r="Y45" s="1"/>
      <c r="Z45" s="5">
        <f t="shared" si="35"/>
        <v>-0.57235728021583765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297.99</v>
      </c>
      <c r="E46" s="2"/>
      <c r="F46" s="7">
        <f t="shared" si="28"/>
        <v>3.1330036209485119E-3</v>
      </c>
      <c r="G46" s="2"/>
      <c r="H46" s="6">
        <v>696.82</v>
      </c>
      <c r="I46" s="2"/>
      <c r="J46" s="7">
        <f t="shared" si="29"/>
        <v>5.2883811574801765E-3</v>
      </c>
      <c r="K46" s="2"/>
      <c r="L46" s="6">
        <f t="shared" si="30"/>
        <v>-398.83000000000004</v>
      </c>
      <c r="M46" s="2"/>
      <c r="N46" s="7">
        <f t="shared" si="31"/>
        <v>-0.57235728021583765</v>
      </c>
      <c r="O46" s="11"/>
      <c r="P46" s="6">
        <v>1191.96</v>
      </c>
      <c r="Q46" s="2"/>
      <c r="R46" s="7">
        <f t="shared" si="32"/>
        <v>4.1018975836052945E-3</v>
      </c>
      <c r="S46" s="2"/>
      <c r="T46" s="6">
        <v>2787.28</v>
      </c>
      <c r="U46" s="2"/>
      <c r="V46" s="7">
        <f t="shared" si="33"/>
        <v>7.2346789072646788E-3</v>
      </c>
      <c r="W46" s="2"/>
      <c r="X46" s="6">
        <f t="shared" si="34"/>
        <v>-1595.3200000000002</v>
      </c>
      <c r="Y46" s="2"/>
      <c r="Z46" s="7">
        <f t="shared" si="35"/>
        <v>-0.57235728021583765</v>
      </c>
    </row>
    <row r="47" spans="1:26" s="27" customFormat="1" outlineLevel="1" collapsed="1" x14ac:dyDescent="0.25">
      <c r="A47" s="25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SUM(OSRRefD22_6x_0)</f>
        <v>64.2</v>
      </c>
      <c r="E47" s="1"/>
      <c r="F47" s="5">
        <f t="shared" si="28"/>
        <v>6.7498517555922841E-4</v>
      </c>
      <c r="G47" s="1"/>
      <c r="H47" s="1">
        <f>SUM(OSRRefH22_6x_0)</f>
        <v>98.69</v>
      </c>
      <c r="I47" s="1"/>
      <c r="J47" s="5">
        <f t="shared" si="29"/>
        <v>7.4898874376699658E-4</v>
      </c>
      <c r="K47" s="1"/>
      <c r="L47" s="1">
        <f t="shared" si="30"/>
        <v>-34.489999999999995</v>
      </c>
      <c r="M47" s="1"/>
      <c r="N47" s="5">
        <f t="shared" si="31"/>
        <v>-0.34947816394771503</v>
      </c>
      <c r="O47" s="13"/>
      <c r="P47" s="1">
        <f>SUM(OSRRefP22_6x_0)</f>
        <v>238.07</v>
      </c>
      <c r="Q47" s="1"/>
      <c r="R47" s="5">
        <f t="shared" si="32"/>
        <v>8.1927141659863785E-4</v>
      </c>
      <c r="S47" s="1"/>
      <c r="T47" s="1">
        <f>SUM(OSRRefT22_6x_0)</f>
        <v>215.17</v>
      </c>
      <c r="U47" s="1"/>
      <c r="V47" s="5">
        <f t="shared" si="33"/>
        <v>5.5849640526826904E-4</v>
      </c>
      <c r="W47" s="1"/>
      <c r="X47" s="1">
        <f t="shared" si="34"/>
        <v>22.900000000000006</v>
      </c>
      <c r="Y47" s="1"/>
      <c r="Z47" s="5">
        <f t="shared" si="35"/>
        <v>0.10642747594924946</v>
      </c>
    </row>
    <row r="48" spans="1:26" s="24" customFormat="1" hidden="1" outlineLevel="2" x14ac:dyDescent="0.25">
      <c r="A48" s="26"/>
      <c r="B48" s="11" t="str">
        <f>CONCATENATE("          ", "6351", " - ", "EQUIPMENT RENTAL")</f>
        <v xml:space="preserve">          6351 - EQUIPMENT RENTAL</v>
      </c>
      <c r="C48" s="11"/>
      <c r="D48" s="6">
        <v>64.2</v>
      </c>
      <c r="E48" s="2"/>
      <c r="F48" s="7">
        <f t="shared" si="28"/>
        <v>6.7498517555922841E-4</v>
      </c>
      <c r="G48" s="2"/>
      <c r="H48" s="6">
        <v>98.69</v>
      </c>
      <c r="I48" s="2"/>
      <c r="J48" s="7">
        <f t="shared" si="29"/>
        <v>7.4898874376699658E-4</v>
      </c>
      <c r="K48" s="2"/>
      <c r="L48" s="6">
        <f t="shared" si="30"/>
        <v>-34.489999999999995</v>
      </c>
      <c r="M48" s="2"/>
      <c r="N48" s="7">
        <f t="shared" si="31"/>
        <v>-0.34947816394771503</v>
      </c>
      <c r="O48" s="11"/>
      <c r="P48" s="6">
        <v>238.07</v>
      </c>
      <c r="Q48" s="2"/>
      <c r="R48" s="7">
        <f t="shared" si="32"/>
        <v>8.1927141659863785E-4</v>
      </c>
      <c r="S48" s="2"/>
      <c r="T48" s="6">
        <v>215.17</v>
      </c>
      <c r="U48" s="2"/>
      <c r="V48" s="7">
        <f t="shared" si="33"/>
        <v>5.5849640526826904E-4</v>
      </c>
      <c r="W48" s="2"/>
      <c r="X48" s="6">
        <f t="shared" si="34"/>
        <v>22.900000000000006</v>
      </c>
      <c r="Y48" s="2"/>
      <c r="Z48" s="7">
        <f t="shared" si="35"/>
        <v>0.10642747594924946</v>
      </c>
    </row>
    <row r="49" spans="1:26" s="27" customFormat="1" outlineLevel="1" collapsed="1" x14ac:dyDescent="0.25">
      <c r="A49" s="25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SUM(OSRRefD22_7x_0)</f>
        <v>0</v>
      </c>
      <c r="E49" s="1"/>
      <c r="F49" s="5">
        <f t="shared" si="28"/>
        <v>0</v>
      </c>
      <c r="G49" s="1"/>
      <c r="H49" s="1">
        <f>SUM(OSRRefH22_7x_0)</f>
        <v>5</v>
      </c>
      <c r="I49" s="1"/>
      <c r="J49" s="5">
        <f t="shared" si="29"/>
        <v>3.7946536820701016E-5</v>
      </c>
      <c r="K49" s="1"/>
      <c r="L49" s="1">
        <f t="shared" si="30"/>
        <v>-5</v>
      </c>
      <c r="M49" s="1"/>
      <c r="N49" s="5">
        <f t="shared" si="31"/>
        <v>-1</v>
      </c>
      <c r="O49" s="13"/>
      <c r="P49" s="1">
        <f>SUM(OSRRefP22_7x_0)</f>
        <v>2447.08</v>
      </c>
      <c r="Q49" s="1"/>
      <c r="R49" s="5">
        <f t="shared" si="32"/>
        <v>8.4211479738320449E-3</v>
      </c>
      <c r="S49" s="1"/>
      <c r="T49" s="1">
        <f>SUM(OSRRefT22_7x_0)</f>
        <v>1369.2</v>
      </c>
      <c r="U49" s="1"/>
      <c r="V49" s="5">
        <f t="shared" si="33"/>
        <v>3.5539028586388157E-3</v>
      </c>
      <c r="W49" s="1"/>
      <c r="X49" s="1">
        <f t="shared" si="34"/>
        <v>1077.8799999999999</v>
      </c>
      <c r="Y49" s="1"/>
      <c r="Z49" s="5">
        <f t="shared" si="35"/>
        <v>0.78723342097575211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8"/>
        <v>0</v>
      </c>
      <c r="G50" s="2"/>
      <c r="H50" s="6">
        <v>5</v>
      </c>
      <c r="I50" s="2"/>
      <c r="J50" s="7">
        <f t="shared" si="29"/>
        <v>3.7946536820701016E-5</v>
      </c>
      <c r="K50" s="2"/>
      <c r="L50" s="6">
        <f t="shared" si="30"/>
        <v>-5</v>
      </c>
      <c r="M50" s="2"/>
      <c r="N50" s="7">
        <f t="shared" si="31"/>
        <v>-1</v>
      </c>
      <c r="O50" s="11"/>
      <c r="P50" s="6">
        <v>2447.08</v>
      </c>
      <c r="Q50" s="2"/>
      <c r="R50" s="7">
        <f t="shared" si="32"/>
        <v>8.4211479738320449E-3</v>
      </c>
      <c r="S50" s="2"/>
      <c r="T50" s="6">
        <v>1369.2</v>
      </c>
      <c r="U50" s="2"/>
      <c r="V50" s="7">
        <f t="shared" si="33"/>
        <v>3.5539028586388157E-3</v>
      </c>
      <c r="W50" s="2"/>
      <c r="X50" s="6">
        <f t="shared" si="34"/>
        <v>1077.8799999999999</v>
      </c>
      <c r="Y50" s="2"/>
      <c r="Z50" s="7">
        <f t="shared" si="35"/>
        <v>0.78723342097575211</v>
      </c>
    </row>
    <row r="51" spans="1:26" s="27" customFormat="1" outlineLevel="1" collapsed="1" x14ac:dyDescent="0.25">
      <c r="A51" s="25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SUM(OSRRefD22_8x_0)</f>
        <v>1733.11</v>
      </c>
      <c r="E51" s="1"/>
      <c r="F51" s="5">
        <f t="shared" si="28"/>
        <v>1.8221550741642591E-2</v>
      </c>
      <c r="G51" s="1"/>
      <c r="H51" s="1">
        <f>SUM(OSRRefH22_8x_0)</f>
        <v>169.12</v>
      </c>
      <c r="I51" s="1"/>
      <c r="J51" s="5">
        <f t="shared" si="29"/>
        <v>1.2835036614233912E-3</v>
      </c>
      <c r="K51" s="1"/>
      <c r="L51" s="1">
        <f t="shared" si="30"/>
        <v>1563.9899999999998</v>
      </c>
      <c r="M51" s="1"/>
      <c r="N51" s="5">
        <f t="shared" si="31"/>
        <v>9.2478122043519377</v>
      </c>
      <c r="O51" s="13"/>
      <c r="P51" s="1">
        <f>SUM(OSRRefP22_8x_0)</f>
        <v>3125.18</v>
      </c>
      <c r="Q51" s="1"/>
      <c r="R51" s="5">
        <f t="shared" si="32"/>
        <v>1.0754696709899319E-2</v>
      </c>
      <c r="S51" s="1"/>
      <c r="T51" s="1">
        <f>SUM(OSRRefT22_8x_0)</f>
        <v>8431.56</v>
      </c>
      <c r="U51" s="1"/>
      <c r="V51" s="5">
        <f t="shared" si="33"/>
        <v>2.1885002327479326E-2</v>
      </c>
      <c r="W51" s="1"/>
      <c r="X51" s="1">
        <f t="shared" si="34"/>
        <v>-5306.3799999999992</v>
      </c>
      <c r="Y51" s="1"/>
      <c r="Z51" s="5">
        <f t="shared" si="35"/>
        <v>-0.62934735683550846</v>
      </c>
    </row>
    <row r="52" spans="1:26" s="24" customFormat="1" hidden="1" outlineLevel="2" x14ac:dyDescent="0.25">
      <c r="A52" s="26"/>
      <c r="B52" s="11" t="str">
        <f>CONCATENATE("          ", "6373", " - ", "MAINTENANCE CONTRACTS")</f>
        <v xml:space="preserve">          6373 - MAINTENANCE CONTRACTS</v>
      </c>
      <c r="C52" s="11"/>
      <c r="D52" s="6">
        <v>57.57</v>
      </c>
      <c r="E52" s="2"/>
      <c r="F52" s="7">
        <f t="shared" si="28"/>
        <v>6.0527876256923335E-4</v>
      </c>
      <c r="G52" s="2"/>
      <c r="H52" s="6"/>
      <c r="I52" s="2"/>
      <c r="J52" s="7">
        <f t="shared" si="29"/>
        <v>0</v>
      </c>
      <c r="K52" s="2"/>
      <c r="L52" s="6">
        <f t="shared" si="30"/>
        <v>57.57</v>
      </c>
      <c r="M52" s="2"/>
      <c r="N52" s="7">
        <f t="shared" si="31"/>
        <v>0</v>
      </c>
      <c r="O52" s="11"/>
      <c r="P52" s="6">
        <v>76.02</v>
      </c>
      <c r="Q52" s="2"/>
      <c r="R52" s="7">
        <f t="shared" si="32"/>
        <v>2.6160798542373438E-4</v>
      </c>
      <c r="S52" s="2"/>
      <c r="T52" s="6">
        <v>57.23</v>
      </c>
      <c r="U52" s="2"/>
      <c r="V52" s="7">
        <f t="shared" si="33"/>
        <v>1.485464947413814E-4</v>
      </c>
      <c r="W52" s="2"/>
      <c r="X52" s="6">
        <f t="shared" si="34"/>
        <v>18.79</v>
      </c>
      <c r="Y52" s="2"/>
      <c r="Z52" s="7">
        <f t="shared" si="35"/>
        <v>0.32832430543421282</v>
      </c>
    </row>
    <row r="53" spans="1:26" s="24" customFormat="1" hidden="1" outlineLevel="2" x14ac:dyDescent="0.25">
      <c r="A53" s="26"/>
      <c r="B53" s="11" t="str">
        <f>CONCATENATE("          ", "6375", " - ", "OUTSIDE REPAIRS &amp; MAINTENANCE")</f>
        <v xml:space="preserve">          6375 - OUTSIDE REPAIRS &amp; MAINTENANCE</v>
      </c>
      <c r="C53" s="11"/>
      <c r="D53" s="6">
        <v>1675.54</v>
      </c>
      <c r="E53" s="2"/>
      <c r="F53" s="7">
        <f t="shared" si="28"/>
        <v>1.7616271979073356E-2</v>
      </c>
      <c r="G53" s="2"/>
      <c r="H53" s="6">
        <v>169.12</v>
      </c>
      <c r="I53" s="2"/>
      <c r="J53" s="7">
        <f t="shared" si="29"/>
        <v>1.2835036614233912E-3</v>
      </c>
      <c r="K53" s="2"/>
      <c r="L53" s="6">
        <f t="shared" si="30"/>
        <v>1506.42</v>
      </c>
      <c r="M53" s="2"/>
      <c r="N53" s="7">
        <f t="shared" si="31"/>
        <v>8.9074030274361409</v>
      </c>
      <c r="O53" s="11"/>
      <c r="P53" s="6">
        <v>3049.16</v>
      </c>
      <c r="Q53" s="2"/>
      <c r="R53" s="7">
        <f t="shared" si="32"/>
        <v>1.0493088724475585E-2</v>
      </c>
      <c r="S53" s="2"/>
      <c r="T53" s="6">
        <v>8374.33</v>
      </c>
      <c r="U53" s="2"/>
      <c r="V53" s="7">
        <f t="shared" si="33"/>
        <v>2.1736455832737943E-2</v>
      </c>
      <c r="W53" s="2"/>
      <c r="X53" s="6">
        <f t="shared" si="34"/>
        <v>-5325.17</v>
      </c>
      <c r="Y53" s="2"/>
      <c r="Z53" s="7">
        <f t="shared" si="35"/>
        <v>-0.63589206539508236</v>
      </c>
    </row>
    <row r="54" spans="1:26" s="27" customFormat="1" outlineLevel="1" collapsed="1" x14ac:dyDescent="0.25">
      <c r="A54" s="25"/>
      <c r="B54" s="13" t="str">
        <f>CONCATENATE("     ","Royalty &amp; Commissions                             ")</f>
        <v xml:space="preserve">     Royalty &amp; Commissions                             </v>
      </c>
      <c r="C54" s="13"/>
      <c r="D54" s="1">
        <f>SUM(OSRRefD22_9x_0)</f>
        <v>0</v>
      </c>
      <c r="E54" s="1"/>
      <c r="F54" s="5">
        <f t="shared" ref="F54:F59" si="36">IF(D$12=0,0,D54/D$12)</f>
        <v>0</v>
      </c>
      <c r="G54" s="1"/>
      <c r="H54" s="1">
        <f>SUM(OSRRefH22_9x_0)</f>
        <v>0</v>
      </c>
      <c r="I54" s="1"/>
      <c r="J54" s="5">
        <f t="shared" ref="J54:J59" si="37">IF(H$12=0,0,H54/H$12)</f>
        <v>0</v>
      </c>
      <c r="K54" s="1"/>
      <c r="L54" s="1">
        <f t="shared" ref="L54:L59" si="38">+D54-H54</f>
        <v>0</v>
      </c>
      <c r="M54" s="1"/>
      <c r="N54" s="5">
        <f t="shared" ref="N54:N59" si="39">IF(H54=0,0,L54/H54)</f>
        <v>0</v>
      </c>
      <c r="O54" s="13"/>
      <c r="P54" s="1">
        <f>SUM(OSRRefP22_9x_0)</f>
        <v>0</v>
      </c>
      <c r="Q54" s="1"/>
      <c r="R54" s="5">
        <f t="shared" ref="R54:R59" si="40">IF(P$12=0,0,P54/P$12)</f>
        <v>0</v>
      </c>
      <c r="S54" s="1"/>
      <c r="T54" s="1">
        <f>SUM(OSRRefT22_9x_0)</f>
        <v>2954.27</v>
      </c>
      <c r="U54" s="1"/>
      <c r="V54" s="5">
        <f t="shared" ref="V54:V59" si="41">IF(T$12=0,0,T54/T$12)</f>
        <v>7.6681190462977609E-3</v>
      </c>
      <c r="W54" s="1"/>
      <c r="X54" s="1">
        <f t="shared" ref="X54:X59" si="42">+P54-T54</f>
        <v>-2954.27</v>
      </c>
      <c r="Y54" s="1"/>
      <c r="Z54" s="5">
        <f t="shared" ref="Z54:Z59" si="43">IF(T54=0,0,X54/T54)</f>
        <v>-1</v>
      </c>
    </row>
    <row r="55" spans="1:26" s="24" customFormat="1" hidden="1" outlineLevel="2" x14ac:dyDescent="0.25">
      <c r="A55" s="26"/>
      <c r="B55" s="11" t="str">
        <f>CONCATENATE("          ", "6254", " - ", "ROYALTY &amp; COMMISSIONS")</f>
        <v xml:space="preserve">          6254 - ROYALTY &amp; COMMISSIONS</v>
      </c>
      <c r="C55" s="11"/>
      <c r="D55" s="6"/>
      <c r="E55" s="2"/>
      <c r="F55" s="7">
        <f t="shared" si="36"/>
        <v>0</v>
      </c>
      <c r="G55" s="2"/>
      <c r="H55" s="6"/>
      <c r="I55" s="2"/>
      <c r="J55" s="7">
        <f t="shared" si="37"/>
        <v>0</v>
      </c>
      <c r="K55" s="2"/>
      <c r="L55" s="6">
        <f t="shared" si="38"/>
        <v>0</v>
      </c>
      <c r="M55" s="2"/>
      <c r="N55" s="7">
        <f t="shared" si="39"/>
        <v>0</v>
      </c>
      <c r="O55" s="11"/>
      <c r="P55" s="6"/>
      <c r="Q55" s="2"/>
      <c r="R55" s="7">
        <f t="shared" si="40"/>
        <v>0</v>
      </c>
      <c r="S55" s="2"/>
      <c r="T55" s="6">
        <v>2954.27</v>
      </c>
      <c r="U55" s="2"/>
      <c r="V55" s="7">
        <f t="shared" si="41"/>
        <v>7.6681190462977609E-3</v>
      </c>
      <c r="W55" s="2"/>
      <c r="X55" s="6">
        <f t="shared" si="42"/>
        <v>-2954.27</v>
      </c>
      <c r="Y55" s="2"/>
      <c r="Z55" s="7">
        <f t="shared" si="43"/>
        <v>-1</v>
      </c>
    </row>
    <row r="56" spans="1:26" s="27" customFormat="1" outlineLevel="1" collapsed="1" x14ac:dyDescent="0.25">
      <c r="A56" s="25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SUM(OSRRefD22_10x_0)</f>
        <v>3051.79</v>
      </c>
      <c r="E56" s="1"/>
      <c r="F56" s="5">
        <f t="shared" si="36"/>
        <v>3.2085872413082514E-2</v>
      </c>
      <c r="G56" s="1"/>
      <c r="H56" s="1">
        <f>SUM(OSRRefH22_10x_0)</f>
        <v>3206.77</v>
      </c>
      <c r="I56" s="1"/>
      <c r="J56" s="5">
        <f t="shared" si="37"/>
        <v>2.433716317610388E-2</v>
      </c>
      <c r="K56" s="1"/>
      <c r="L56" s="1">
        <f t="shared" si="38"/>
        <v>-154.98000000000002</v>
      </c>
      <c r="M56" s="1"/>
      <c r="N56" s="5">
        <f t="shared" si="39"/>
        <v>-4.8329003951016136E-2</v>
      </c>
      <c r="O56" s="13"/>
      <c r="P56" s="1">
        <f>SUM(OSRRefP22_10x_0)</f>
        <v>10551.79</v>
      </c>
      <c r="Q56" s="1"/>
      <c r="R56" s="5">
        <f t="shared" si="40"/>
        <v>3.6311924816026138E-2</v>
      </c>
      <c r="S56" s="1"/>
      <c r="T56" s="1">
        <f>SUM(OSRRefT22_10x_0)</f>
        <v>10708.78</v>
      </c>
      <c r="U56" s="1"/>
      <c r="V56" s="5">
        <f t="shared" si="41"/>
        <v>2.7795766764924172E-2</v>
      </c>
      <c r="W56" s="1"/>
      <c r="X56" s="1">
        <f t="shared" si="42"/>
        <v>-156.98999999999978</v>
      </c>
      <c r="Y56" s="1"/>
      <c r="Z56" s="5">
        <f t="shared" si="43"/>
        <v>-1.4659933251033243E-2</v>
      </c>
    </row>
    <row r="57" spans="1:26" s="24" customFormat="1" hidden="1" outlineLevel="2" x14ac:dyDescent="0.25">
      <c r="A57" s="26"/>
      <c r="B57" s="11" t="str">
        <f>CONCATENATE("          ", "6283", " - ", "PLANT SERVICE")</f>
        <v xml:space="preserve">          6283 - PLANT SERVICE</v>
      </c>
      <c r="C57" s="11"/>
      <c r="D57" s="6"/>
      <c r="E57" s="2"/>
      <c r="F57" s="7">
        <f t="shared" si="36"/>
        <v>0</v>
      </c>
      <c r="G57" s="2"/>
      <c r="H57" s="6">
        <v>57</v>
      </c>
      <c r="I57" s="2"/>
      <c r="J57" s="7">
        <f t="shared" si="37"/>
        <v>4.3259051975599156E-4</v>
      </c>
      <c r="K57" s="2"/>
      <c r="L57" s="6">
        <f t="shared" si="38"/>
        <v>-57</v>
      </c>
      <c r="M57" s="2"/>
      <c r="N57" s="7">
        <f t="shared" si="39"/>
        <v>-1</v>
      </c>
      <c r="O57" s="11"/>
      <c r="P57" s="6">
        <v>188.85</v>
      </c>
      <c r="Q57" s="2"/>
      <c r="R57" s="7">
        <f t="shared" si="40"/>
        <v>6.4989039788571751E-4</v>
      </c>
      <c r="S57" s="2"/>
      <c r="T57" s="6">
        <v>228</v>
      </c>
      <c r="U57" s="2"/>
      <c r="V57" s="7">
        <f t="shared" si="41"/>
        <v>5.9179802203450913E-4</v>
      </c>
      <c r="W57" s="2"/>
      <c r="X57" s="6">
        <f t="shared" si="42"/>
        <v>-39.150000000000006</v>
      </c>
      <c r="Y57" s="2"/>
      <c r="Z57" s="7">
        <f t="shared" si="43"/>
        <v>-0.17171052631578951</v>
      </c>
    </row>
    <row r="58" spans="1:26" s="24" customFormat="1" hidden="1" outlineLevel="2" x14ac:dyDescent="0.25">
      <c r="A58" s="26"/>
      <c r="B58" s="11" t="str">
        <f>CONCATENATE("          ", "6285", " - ", "JANITORIAL SERVICES")</f>
        <v xml:space="preserve">          6285 - JANITORIAL SERVICES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/>
      <c r="Q58" s="2"/>
      <c r="R58" s="7">
        <f t="shared" si="40"/>
        <v>0</v>
      </c>
      <c r="S58" s="2"/>
      <c r="T58" s="6">
        <v>246.12</v>
      </c>
      <c r="U58" s="2"/>
      <c r="V58" s="7">
        <f t="shared" si="41"/>
        <v>6.3883039115409388E-4</v>
      </c>
      <c r="W58" s="2"/>
      <c r="X58" s="6">
        <f t="shared" si="42"/>
        <v>-246.12</v>
      </c>
      <c r="Y58" s="2"/>
      <c r="Z58" s="7">
        <f t="shared" si="43"/>
        <v>-1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6">
        <v>3051.79</v>
      </c>
      <c r="E59" s="2"/>
      <c r="F59" s="7">
        <f t="shared" si="36"/>
        <v>3.2085872413082514E-2</v>
      </c>
      <c r="G59" s="2"/>
      <c r="H59" s="6">
        <v>3149.77</v>
      </c>
      <c r="I59" s="2"/>
      <c r="J59" s="7">
        <f t="shared" si="37"/>
        <v>2.3904572656347888E-2</v>
      </c>
      <c r="K59" s="2"/>
      <c r="L59" s="6">
        <f t="shared" si="38"/>
        <v>-97.980000000000018</v>
      </c>
      <c r="M59" s="2"/>
      <c r="N59" s="7">
        <f t="shared" si="39"/>
        <v>-3.1107033211948815E-2</v>
      </c>
      <c r="O59" s="11"/>
      <c r="P59" s="6">
        <v>10362.94</v>
      </c>
      <c r="Q59" s="2"/>
      <c r="R59" s="7">
        <f t="shared" si="40"/>
        <v>3.566203441814042E-2</v>
      </c>
      <c r="S59" s="2"/>
      <c r="T59" s="6">
        <v>10234.66</v>
      </c>
      <c r="U59" s="2"/>
      <c r="V59" s="7">
        <f t="shared" si="41"/>
        <v>2.656513835173557E-2</v>
      </c>
      <c r="W59" s="2"/>
      <c r="X59" s="6">
        <f t="shared" si="42"/>
        <v>128.28000000000065</v>
      </c>
      <c r="Y59" s="2"/>
      <c r="Z59" s="7">
        <f t="shared" si="43"/>
        <v>1.2533879972563881E-2</v>
      </c>
    </row>
    <row r="60" spans="1:26" s="27" customFormat="1" outlineLevel="1" collapsed="1" x14ac:dyDescent="0.25">
      <c r="A60" s="25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1668.92</v>
      </c>
      <c r="E60" s="1"/>
      <c r="F60" s="5">
        <f t="shared" ref="F60:F67" si="44">IF(D$12=0,0,D60/D$12)</f>
        <v>1.7546670703961174E-2</v>
      </c>
      <c r="G60" s="1"/>
      <c r="H60" s="1">
        <f>SUM(OSRRefH22_11x_0)</f>
        <v>2584.2299999999996</v>
      </c>
      <c r="I60" s="1"/>
      <c r="J60" s="5">
        <f t="shared" ref="J60:J67" si="45">IF(H$12=0,0,H60/H$12)</f>
        <v>1.9612515769632032E-2</v>
      </c>
      <c r="K60" s="1"/>
      <c r="L60" s="1">
        <f t="shared" ref="L60:L67" si="46">+D60-H60</f>
        <v>-915.30999999999949</v>
      </c>
      <c r="M60" s="1"/>
      <c r="N60" s="5">
        <f t="shared" ref="N60:N67" si="47">IF(H60=0,0,L60/H60)</f>
        <v>-0.35419060996892676</v>
      </c>
      <c r="O60" s="13"/>
      <c r="P60" s="1">
        <f>SUM(OSRRefP22_11x_0)</f>
        <v>7555.38</v>
      </c>
      <c r="Q60" s="1"/>
      <c r="R60" s="5">
        <f t="shared" ref="R60:R67" si="48">IF(P$12=0,0,P60/P$12)</f>
        <v>2.6000364915953363E-2</v>
      </c>
      <c r="S60" s="1"/>
      <c r="T60" s="1">
        <f>SUM(OSRRefT22_11x_0)</f>
        <v>11181.210000000001</v>
      </c>
      <c r="U60" s="1"/>
      <c r="V60" s="5">
        <f t="shared" ref="V60:V67" si="49">IF(T$12=0,0,T60/T$12)</f>
        <v>2.9022008605054713E-2</v>
      </c>
      <c r="W60" s="1"/>
      <c r="X60" s="1">
        <f t="shared" ref="X60:X67" si="50">+P60-T60</f>
        <v>-3625.8300000000008</v>
      </c>
      <c r="Y60" s="1"/>
      <c r="Z60" s="5">
        <f t="shared" ref="Z60:Z67" si="51">IF(T60=0,0,X60/T60)</f>
        <v>-0.32427885711832621</v>
      </c>
    </row>
    <row r="61" spans="1:26" s="24" customFormat="1" hidden="1" outlineLevel="2" x14ac:dyDescent="0.25">
      <c r="A61" s="26"/>
      <c r="B61" s="11" t="str">
        <f>CONCATENATE("          ", "6234", " - ", "EXPENDABLE SUPPLIES &amp; EQUIPMEN")</f>
        <v xml:space="preserve">          6234 - EXPENDABLE SUPPLIES &amp; EQUIPMEN</v>
      </c>
      <c r="C61" s="11"/>
      <c r="D61" s="6">
        <v>220.34</v>
      </c>
      <c r="E61" s="2"/>
      <c r="F61" s="7">
        <f t="shared" si="44"/>
        <v>2.3166079997308472E-3</v>
      </c>
      <c r="G61" s="2"/>
      <c r="H61" s="6">
        <v>670.89</v>
      </c>
      <c r="I61" s="2"/>
      <c r="J61" s="7">
        <f t="shared" si="45"/>
        <v>5.0915904175280208E-3</v>
      </c>
      <c r="K61" s="2"/>
      <c r="L61" s="6">
        <f t="shared" si="46"/>
        <v>-450.54999999999995</v>
      </c>
      <c r="M61" s="2"/>
      <c r="N61" s="7">
        <f t="shared" si="47"/>
        <v>-0.67157060024743243</v>
      </c>
      <c r="O61" s="11"/>
      <c r="P61" s="6">
        <v>220.34</v>
      </c>
      <c r="Q61" s="2"/>
      <c r="R61" s="7">
        <f t="shared" si="48"/>
        <v>7.5825708377092404E-4</v>
      </c>
      <c r="S61" s="2"/>
      <c r="T61" s="6">
        <v>4255.04</v>
      </c>
      <c r="U61" s="2"/>
      <c r="V61" s="7">
        <f t="shared" si="49"/>
        <v>1.1044404630165429E-2</v>
      </c>
      <c r="W61" s="2"/>
      <c r="X61" s="6">
        <f t="shared" si="50"/>
        <v>-4034.7</v>
      </c>
      <c r="Y61" s="2"/>
      <c r="Z61" s="7">
        <f t="shared" si="51"/>
        <v>-0.94821670301571781</v>
      </c>
    </row>
    <row r="62" spans="1:26" s="24" customFormat="1" hidden="1" outlineLevel="2" x14ac:dyDescent="0.25">
      <c r="A62" s="26"/>
      <c r="B62" s="11" t="str">
        <f>CONCATENATE("          ", "6237", " - ", "JANITORIAL SUPPLIES")</f>
        <v xml:space="preserve">          6237 - JANITORIAL SUPPLIES</v>
      </c>
      <c r="C62" s="11"/>
      <c r="D62" s="6"/>
      <c r="E62" s="2"/>
      <c r="F62" s="7">
        <f t="shared" si="44"/>
        <v>0</v>
      </c>
      <c r="G62" s="2"/>
      <c r="H62" s="6">
        <v>57.74</v>
      </c>
      <c r="I62" s="2"/>
      <c r="J62" s="7">
        <f t="shared" si="45"/>
        <v>4.3820660720545536E-4</v>
      </c>
      <c r="K62" s="2"/>
      <c r="L62" s="6">
        <f t="shared" si="46"/>
        <v>-57.74</v>
      </c>
      <c r="M62" s="2"/>
      <c r="N62" s="7">
        <f t="shared" si="47"/>
        <v>-1</v>
      </c>
      <c r="O62" s="11"/>
      <c r="P62" s="6"/>
      <c r="Q62" s="2"/>
      <c r="R62" s="7">
        <f t="shared" si="48"/>
        <v>0</v>
      </c>
      <c r="S62" s="2"/>
      <c r="T62" s="6">
        <v>493.59</v>
      </c>
      <c r="U62" s="2"/>
      <c r="V62" s="7">
        <f t="shared" si="49"/>
        <v>1.2811648495439183E-3</v>
      </c>
      <c r="W62" s="2"/>
      <c r="X62" s="6">
        <f t="shared" si="50"/>
        <v>-493.59</v>
      </c>
      <c r="Y62" s="2"/>
      <c r="Z62" s="7">
        <f t="shared" si="51"/>
        <v>-1</v>
      </c>
    </row>
    <row r="63" spans="1:26" s="24" customFormat="1" hidden="1" outlineLevel="2" x14ac:dyDescent="0.25">
      <c r="A63" s="26"/>
      <c r="B63" s="11" t="str">
        <f>CONCATENATE("          ", "6239", " - ", "KITCHEN SUPPLIES")</f>
        <v xml:space="preserve">          6239 - KITCHEN SUPPLIES</v>
      </c>
      <c r="C63" s="11"/>
      <c r="D63" s="6">
        <v>269.54000000000002</v>
      </c>
      <c r="E63" s="2"/>
      <c r="F63" s="7">
        <f t="shared" si="44"/>
        <v>2.8338863585706297E-3</v>
      </c>
      <c r="G63" s="2"/>
      <c r="H63" s="6">
        <v>113.76</v>
      </c>
      <c r="I63" s="2"/>
      <c r="J63" s="7">
        <f t="shared" si="45"/>
        <v>8.6335960574458954E-4</v>
      </c>
      <c r="K63" s="2"/>
      <c r="L63" s="6">
        <f t="shared" si="46"/>
        <v>155.78000000000003</v>
      </c>
      <c r="M63" s="2"/>
      <c r="N63" s="7">
        <f t="shared" si="47"/>
        <v>1.3693741209563997</v>
      </c>
      <c r="O63" s="11"/>
      <c r="P63" s="6">
        <v>3334.69</v>
      </c>
      <c r="Q63" s="2"/>
      <c r="R63" s="7">
        <f t="shared" si="48"/>
        <v>1.1475684463465837E-2</v>
      </c>
      <c r="S63" s="2"/>
      <c r="T63" s="6">
        <v>519.29999999999995</v>
      </c>
      <c r="U63" s="2"/>
      <c r="V63" s="7">
        <f t="shared" si="49"/>
        <v>1.3478978633443886E-3</v>
      </c>
      <c r="W63" s="2"/>
      <c r="X63" s="6">
        <f t="shared" si="50"/>
        <v>2815.3900000000003</v>
      </c>
      <c r="Y63" s="2"/>
      <c r="Z63" s="7">
        <f t="shared" si="51"/>
        <v>5.4215097246293098</v>
      </c>
    </row>
    <row r="64" spans="1:26" s="24" customFormat="1" hidden="1" outlineLevel="2" x14ac:dyDescent="0.25">
      <c r="A64" s="26"/>
      <c r="B64" s="11" t="str">
        <f>CONCATENATE("          ", "6241", " - ", "OFFICE EXPENSE")</f>
        <v xml:space="preserve">          6241 - OFFICE EXPENSE</v>
      </c>
      <c r="C64" s="11"/>
      <c r="D64" s="6">
        <v>409.71</v>
      </c>
      <c r="E64" s="2"/>
      <c r="F64" s="7">
        <f t="shared" si="44"/>
        <v>4.3076039918749452E-3</v>
      </c>
      <c r="G64" s="2"/>
      <c r="H64" s="6">
        <v>164.97</v>
      </c>
      <c r="I64" s="2"/>
      <c r="J64" s="7">
        <f t="shared" si="45"/>
        <v>1.2520080358622092E-3</v>
      </c>
      <c r="K64" s="2"/>
      <c r="L64" s="6">
        <f t="shared" si="46"/>
        <v>244.73999999999998</v>
      </c>
      <c r="M64" s="2"/>
      <c r="N64" s="7">
        <f t="shared" si="47"/>
        <v>1.4835424622658664</v>
      </c>
      <c r="O64" s="11"/>
      <c r="P64" s="6">
        <v>618.12</v>
      </c>
      <c r="Q64" s="2"/>
      <c r="R64" s="7">
        <f t="shared" si="48"/>
        <v>2.1271392784809095E-3</v>
      </c>
      <c r="S64" s="2"/>
      <c r="T64" s="6">
        <v>1150.3399999999999</v>
      </c>
      <c r="U64" s="2"/>
      <c r="V64" s="7">
        <f t="shared" si="49"/>
        <v>2.9858286695928827E-3</v>
      </c>
      <c r="W64" s="2"/>
      <c r="X64" s="6">
        <f t="shared" si="50"/>
        <v>-532.21999999999991</v>
      </c>
      <c r="Y64" s="2"/>
      <c r="Z64" s="7">
        <f t="shared" si="51"/>
        <v>-0.46266321261540061</v>
      </c>
    </row>
    <row r="65" spans="1:26" s="24" customFormat="1" hidden="1" outlineLevel="2" x14ac:dyDescent="0.25">
      <c r="A65" s="26"/>
      <c r="B65" s="11" t="str">
        <f>CONCATENATE("          ", "6243", " - ", "PAPER SUPPLIES")</f>
        <v xml:space="preserve">          6243 - PAPER SUPPLIES</v>
      </c>
      <c r="C65" s="11"/>
      <c r="D65" s="6">
        <v>769.33</v>
      </c>
      <c r="E65" s="2"/>
      <c r="F65" s="7">
        <f t="shared" si="44"/>
        <v>8.0885723537847537E-3</v>
      </c>
      <c r="G65" s="2"/>
      <c r="H65" s="6">
        <v>1389.86</v>
      </c>
      <c r="I65" s="2"/>
      <c r="J65" s="7">
        <f t="shared" si="45"/>
        <v>1.0548074733123901E-2</v>
      </c>
      <c r="K65" s="2"/>
      <c r="L65" s="6">
        <f t="shared" si="46"/>
        <v>-620.52999999999986</v>
      </c>
      <c r="M65" s="2"/>
      <c r="N65" s="7">
        <f t="shared" si="47"/>
        <v>-0.4464694285755399</v>
      </c>
      <c r="O65" s="11"/>
      <c r="P65" s="6">
        <v>2580.52</v>
      </c>
      <c r="Q65" s="2"/>
      <c r="R65" s="7">
        <f t="shared" si="48"/>
        <v>8.8803556767384252E-3</v>
      </c>
      <c r="S65" s="2"/>
      <c r="T65" s="6">
        <v>3276.4</v>
      </c>
      <c r="U65" s="2"/>
      <c r="V65" s="7">
        <f t="shared" si="49"/>
        <v>8.5042414008502897E-3</v>
      </c>
      <c r="W65" s="2"/>
      <c r="X65" s="6">
        <f t="shared" si="50"/>
        <v>-695.88000000000011</v>
      </c>
      <c r="Y65" s="2"/>
      <c r="Z65" s="7">
        <f t="shared" si="51"/>
        <v>-0.21239164937126118</v>
      </c>
    </row>
    <row r="66" spans="1:26" s="24" customFormat="1" hidden="1" outlineLevel="2" x14ac:dyDescent="0.25">
      <c r="A66" s="26"/>
      <c r="B66" s="11" t="str">
        <f>CONCATENATE("          ", "6247", " - ", "STORE SUPPLIES")</f>
        <v xml:space="preserve">          6247 - STORE SUPPLIES</v>
      </c>
      <c r="C66" s="11"/>
      <c r="D66" s="6"/>
      <c r="E66" s="2"/>
      <c r="F66" s="7">
        <f t="shared" si="44"/>
        <v>0</v>
      </c>
      <c r="G66" s="2"/>
      <c r="H66" s="6">
        <v>187.01</v>
      </c>
      <c r="I66" s="2"/>
      <c r="J66" s="7">
        <f t="shared" si="45"/>
        <v>1.4192763701678594E-3</v>
      </c>
      <c r="K66" s="2"/>
      <c r="L66" s="6">
        <f t="shared" si="46"/>
        <v>-187.01</v>
      </c>
      <c r="M66" s="2"/>
      <c r="N66" s="7">
        <f t="shared" si="47"/>
        <v>-1</v>
      </c>
      <c r="O66" s="11"/>
      <c r="P66" s="6">
        <v>366.09</v>
      </c>
      <c r="Q66" s="2"/>
      <c r="R66" s="7">
        <f t="shared" si="48"/>
        <v>1.2598272478791756E-3</v>
      </c>
      <c r="S66" s="2"/>
      <c r="T66" s="6">
        <v>895.12</v>
      </c>
      <c r="U66" s="2"/>
      <c r="V66" s="7">
        <f t="shared" si="49"/>
        <v>2.3233782696646045E-3</v>
      </c>
      <c r="W66" s="2"/>
      <c r="X66" s="6">
        <f t="shared" si="50"/>
        <v>-529.03</v>
      </c>
      <c r="Y66" s="2"/>
      <c r="Z66" s="7">
        <f t="shared" si="51"/>
        <v>-0.59101572973456074</v>
      </c>
    </row>
    <row r="67" spans="1:26" s="24" customFormat="1" hidden="1" outlineLevel="2" x14ac:dyDescent="0.25">
      <c r="A67" s="26"/>
      <c r="B67" s="11" t="str">
        <f>CONCATENATE("          ", "6248", " - ", "UNIFORMS")</f>
        <v xml:space="preserve">          6248 - UNIFORMS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>
        <v>435.62</v>
      </c>
      <c r="Q67" s="2"/>
      <c r="R67" s="7">
        <f t="shared" si="48"/>
        <v>1.4991011656180899E-3</v>
      </c>
      <c r="S67" s="2"/>
      <c r="T67" s="6">
        <v>591.41999999999996</v>
      </c>
      <c r="U67" s="2"/>
      <c r="V67" s="7">
        <f t="shared" si="49"/>
        <v>1.535092921893199E-3</v>
      </c>
      <c r="W67" s="2"/>
      <c r="X67" s="6">
        <f t="shared" si="50"/>
        <v>-155.79999999999995</v>
      </c>
      <c r="Y67" s="2"/>
      <c r="Z67" s="7">
        <f t="shared" si="51"/>
        <v>-0.26343376957153963</v>
      </c>
    </row>
    <row r="68" spans="1:26" s="27" customFormat="1" outlineLevel="1" collapsed="1" x14ac:dyDescent="0.25">
      <c r="A68" s="25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SUM(OSRRefD22_12x_0)</f>
        <v>192.28</v>
      </c>
      <c r="E68" s="1"/>
      <c r="F68" s="5">
        <f t="shared" ref="F68:F71" si="52">IF(D$12=0,0,D68/D$12)</f>
        <v>2.0215911145876702E-3</v>
      </c>
      <c r="G68" s="1"/>
      <c r="H68" s="1">
        <f>SUM(OSRRefH22_12x_0)</f>
        <v>191.78</v>
      </c>
      <c r="I68" s="1"/>
      <c r="J68" s="5">
        <f t="shared" ref="J68:J71" si="53">IF(H$12=0,0,H68/H$12)</f>
        <v>1.4554773662948082E-3</v>
      </c>
      <c r="K68" s="1"/>
      <c r="L68" s="1">
        <f t="shared" ref="L68:L71" si="54">+D68-H68</f>
        <v>0.5</v>
      </c>
      <c r="M68" s="1"/>
      <c r="N68" s="5">
        <f t="shared" ref="N68:N71" si="55">IF(H68=0,0,L68/H68)</f>
        <v>2.6071540306601315E-3</v>
      </c>
      <c r="O68" s="13"/>
      <c r="P68" s="1">
        <f>SUM(OSRRefP22_12x_0)</f>
        <v>764.03</v>
      </c>
      <c r="Q68" s="1"/>
      <c r="R68" s="5">
        <f t="shared" ref="R68:R71" si="56">IF(P$12=0,0,P68/P$12)</f>
        <v>2.6292600513456435E-3</v>
      </c>
      <c r="S68" s="1"/>
      <c r="T68" s="1">
        <f>SUM(OSRRefT22_12x_0)</f>
        <v>866.69</v>
      </c>
      <c r="U68" s="1"/>
      <c r="V68" s="5">
        <f t="shared" ref="V68:V71" si="57">IF(T$12=0,0,T68/T$12)</f>
        <v>2.2495852092854771E-3</v>
      </c>
      <c r="W68" s="1"/>
      <c r="X68" s="1">
        <f t="shared" ref="X68:X71" si="58">+P68-T68</f>
        <v>-102.66000000000008</v>
      </c>
      <c r="Y68" s="1"/>
      <c r="Z68" s="5">
        <f t="shared" ref="Z68:Z71" si="59">IF(T68=0,0,X68/T68)</f>
        <v>-0.1184506570976936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6">
        <v>192.28</v>
      </c>
      <c r="E69" s="2"/>
      <c r="F69" s="7">
        <f t="shared" si="52"/>
        <v>2.0215911145876702E-3</v>
      </c>
      <c r="G69" s="2"/>
      <c r="H69" s="6">
        <v>191.78</v>
      </c>
      <c r="I69" s="2"/>
      <c r="J69" s="7">
        <f t="shared" si="53"/>
        <v>1.4554773662948082E-3</v>
      </c>
      <c r="K69" s="2"/>
      <c r="L69" s="6">
        <f t="shared" si="54"/>
        <v>0.5</v>
      </c>
      <c r="M69" s="2"/>
      <c r="N69" s="7">
        <f t="shared" si="55"/>
        <v>2.6071540306601315E-3</v>
      </c>
      <c r="O69" s="11"/>
      <c r="P69" s="6">
        <v>764.03</v>
      </c>
      <c r="Q69" s="2"/>
      <c r="R69" s="7">
        <f t="shared" si="56"/>
        <v>2.6292600513456435E-3</v>
      </c>
      <c r="S69" s="2"/>
      <c r="T69" s="6">
        <v>866.69</v>
      </c>
      <c r="U69" s="2"/>
      <c r="V69" s="7">
        <f t="shared" si="57"/>
        <v>2.2495852092854771E-3</v>
      </c>
      <c r="W69" s="2"/>
      <c r="X69" s="6">
        <f t="shared" si="58"/>
        <v>-102.66000000000008</v>
      </c>
      <c r="Y69" s="2"/>
      <c r="Z69" s="7">
        <f t="shared" si="59"/>
        <v>-0.1184506570976936</v>
      </c>
    </row>
    <row r="70" spans="1:26" s="27" customFormat="1" outlineLevel="1" collapsed="1" x14ac:dyDescent="0.25">
      <c r="A70" s="25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SUM(OSRRefD22_13x_0)</f>
        <v>0</v>
      </c>
      <c r="E70" s="1"/>
      <c r="F70" s="5">
        <f t="shared" si="52"/>
        <v>0</v>
      </c>
      <c r="G70" s="1"/>
      <c r="H70" s="1">
        <f>SUM(OSRRefH22_13x_0)</f>
        <v>62.5</v>
      </c>
      <c r="I70" s="1"/>
      <c r="J70" s="5">
        <f t="shared" si="53"/>
        <v>4.743317102587627E-4</v>
      </c>
      <c r="K70" s="1"/>
      <c r="L70" s="1">
        <f t="shared" si="54"/>
        <v>-62.5</v>
      </c>
      <c r="M70" s="1"/>
      <c r="N70" s="5">
        <f t="shared" si="55"/>
        <v>-1</v>
      </c>
      <c r="O70" s="13"/>
      <c r="P70" s="1">
        <f>SUM(OSRRefP22_13x_0)</f>
        <v>175</v>
      </c>
      <c r="Q70" s="1"/>
      <c r="R70" s="5">
        <f t="shared" si="56"/>
        <v>6.0222832740270359E-4</v>
      </c>
      <c r="S70" s="1"/>
      <c r="T70" s="1">
        <f>SUM(OSRRefT22_13x_0)</f>
        <v>112.5</v>
      </c>
      <c r="U70" s="1"/>
      <c r="V70" s="5">
        <f t="shared" si="57"/>
        <v>2.9200560297755387E-4</v>
      </c>
      <c r="W70" s="1"/>
      <c r="X70" s="1">
        <f t="shared" si="58"/>
        <v>62.5</v>
      </c>
      <c r="Y70" s="1"/>
      <c r="Z70" s="5">
        <f t="shared" si="59"/>
        <v>0.55555555555555558</v>
      </c>
    </row>
    <row r="71" spans="1:26" s="24" customFormat="1" hidden="1" outlineLevel="2" x14ac:dyDescent="0.25">
      <c r="A71" s="26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52"/>
        <v>0</v>
      </c>
      <c r="G71" s="2"/>
      <c r="H71" s="6">
        <v>62.5</v>
      </c>
      <c r="I71" s="2"/>
      <c r="J71" s="7">
        <f t="shared" si="53"/>
        <v>4.743317102587627E-4</v>
      </c>
      <c r="K71" s="2"/>
      <c r="L71" s="6">
        <f t="shared" si="54"/>
        <v>-62.5</v>
      </c>
      <c r="M71" s="2"/>
      <c r="N71" s="7">
        <f t="shared" si="55"/>
        <v>-1</v>
      </c>
      <c r="O71" s="11"/>
      <c r="P71" s="6">
        <v>175</v>
      </c>
      <c r="Q71" s="2"/>
      <c r="R71" s="7">
        <f t="shared" si="56"/>
        <v>6.0222832740270359E-4</v>
      </c>
      <c r="S71" s="2"/>
      <c r="T71" s="6">
        <v>112.5</v>
      </c>
      <c r="U71" s="2"/>
      <c r="V71" s="7">
        <f t="shared" si="57"/>
        <v>2.9200560297755387E-4</v>
      </c>
      <c r="W71" s="2"/>
      <c r="X71" s="6">
        <f t="shared" si="58"/>
        <v>62.5</v>
      </c>
      <c r="Y71" s="2"/>
      <c r="Z71" s="7">
        <f t="shared" si="59"/>
        <v>0.55555555555555558</v>
      </c>
    </row>
    <row r="72" spans="1:26" s="55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9" t="s">
        <v>0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3</v>
      </c>
      <c r="C75" s="28"/>
      <c r="D75" s="21">
        <f>+D20-D22+D73</f>
        <v>26786.639999999999</v>
      </c>
      <c r="E75" s="14"/>
      <c r="F75" s="22">
        <f>IF(D$12=0,0,D75/D$12)</f>
        <v>0.28162904833398517</v>
      </c>
      <c r="G75" s="14"/>
      <c r="H75" s="21">
        <f>+H20-H22+H73</f>
        <v>21011.809999999998</v>
      </c>
      <c r="I75" s="14"/>
      <c r="J75" s="22">
        <f>IF(H$12=0,0,H75/H$12)</f>
        <v>0.15946508436691473</v>
      </c>
      <c r="K75" s="16"/>
      <c r="L75" s="21">
        <f>+D75-H75</f>
        <v>5774.8300000000017</v>
      </c>
      <c r="M75" s="16"/>
      <c r="N75" s="22">
        <f>IF(H75=0,0,L75/H75)</f>
        <v>0.27483734147605571</v>
      </c>
      <c r="O75" s="29"/>
      <c r="P75" s="21">
        <f>+P20-P22+P73</f>
        <v>-5094.7599999999802</v>
      </c>
      <c r="Q75" s="14"/>
      <c r="R75" s="22">
        <f>IF(P$12=0,0,P75/P$12)</f>
        <v>-1.7532621676103921E-2</v>
      </c>
      <c r="S75" s="14"/>
      <c r="T75" s="21">
        <f>+T20-T22+T73</f>
        <v>23998.699999999983</v>
      </c>
      <c r="U75" s="14"/>
      <c r="V75" s="22">
        <f>IF(T$12=0,0,T75/T$12)</f>
        <v>6.2291154348243706E-2</v>
      </c>
      <c r="W75" s="16"/>
      <c r="X75" s="21">
        <f>+P75-T75</f>
        <v>-29093.459999999963</v>
      </c>
      <c r="Y75" s="16"/>
      <c r="Z75" s="22">
        <f>IF(T75=0,0,X75/T75)</f>
        <v>-1.2122931658798177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>
        <v>8254.75</v>
      </c>
      <c r="E77" s="4"/>
      <c r="F77" s="12">
        <f>IF(D$12=0,0,D77/D$12)</f>
        <v>8.6788689687656392E-2</v>
      </c>
      <c r="G77" s="4"/>
      <c r="H77" s="4">
        <v>12859.86</v>
      </c>
      <c r="I77" s="4"/>
      <c r="J77" s="12">
        <f>IF(H$12=0,0,H77/H$12)</f>
        <v>9.7597430199812041E-2</v>
      </c>
      <c r="K77" s="4"/>
      <c r="L77" s="4">
        <f>+D77-H77</f>
        <v>-4605.1100000000006</v>
      </c>
      <c r="M77" s="4"/>
      <c r="N77" s="12">
        <f>IF(H77=0,0,L77/H77)</f>
        <v>-0.35809954385195486</v>
      </c>
      <c r="O77" s="10"/>
      <c r="P77" s="4">
        <v>29251.279999999999</v>
      </c>
      <c r="Q77" s="4"/>
      <c r="R77" s="12">
        <f>IF(P$12=0,0,P77/P$12)</f>
        <v>0.10066256816450374</v>
      </c>
      <c r="S77" s="4"/>
      <c r="T77" s="4">
        <v>35382.800000000003</v>
      </c>
      <c r="U77" s="4"/>
      <c r="V77" s="12">
        <f>IF(T$12=0,0,T77/T$12)</f>
        <v>9.1839785324748388E-2</v>
      </c>
      <c r="W77" s="4"/>
      <c r="X77" s="4">
        <f>+P77-T77</f>
        <v>-6131.5200000000041</v>
      </c>
      <c r="Y77" s="4"/>
      <c r="Z77" s="12">
        <f>IF(T77=0,0,X77/T77)</f>
        <v>-0.17329097753710854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4</v>
      </c>
      <c r="C79" s="28"/>
      <c r="D79" s="31">
        <f>+D75-D77</f>
        <v>18531.89</v>
      </c>
      <c r="E79" s="14"/>
      <c r="F79" s="34">
        <f>IF(D$12=0,0,D79/D$12)</f>
        <v>0.19484035864632879</v>
      </c>
      <c r="G79" s="14"/>
      <c r="H79" s="31">
        <f>+H75-H77</f>
        <v>8151.9499999999971</v>
      </c>
      <c r="I79" s="14"/>
      <c r="J79" s="34">
        <f>IF(H$12=0,0,H79/H$12)</f>
        <v>6.1867654167102708E-2</v>
      </c>
      <c r="K79" s="16"/>
      <c r="L79" s="31">
        <f>D79-H79</f>
        <v>10379.940000000002</v>
      </c>
      <c r="M79" s="16"/>
      <c r="N79" s="34">
        <f>IF(H79=0,0,L79/H79)</f>
        <v>1.2733076135157853</v>
      </c>
      <c r="O79" s="29"/>
      <c r="P79" s="31">
        <f>+P75-P77</f>
        <v>-34346.039999999979</v>
      </c>
      <c r="Q79" s="14"/>
      <c r="R79" s="34">
        <f>IF(P$12=0,0,P79/P$12)</f>
        <v>-0.11819518984060766</v>
      </c>
      <c r="S79" s="14"/>
      <c r="T79" s="31">
        <f>+T75-T77</f>
        <v>-11384.10000000002</v>
      </c>
      <c r="U79" s="14"/>
      <c r="V79" s="34">
        <f>IF(T$12=0,0,T79/T$12)</f>
        <v>-2.9548630976504685E-2</v>
      </c>
      <c r="W79" s="16"/>
      <c r="X79" s="31">
        <f>P79-T79</f>
        <v>-22961.939999999959</v>
      </c>
      <c r="Y79" s="16"/>
      <c r="Z79" s="34">
        <f>IF(T79=0,0,X79/T79)</f>
        <v>2.0170184731335739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5</v>
      </c>
      <c r="C82" s="28"/>
      <c r="D82" s="36">
        <f>SUM(D79:D81)</f>
        <v>18531.89</v>
      </c>
      <c r="E82" s="14"/>
      <c r="F82" s="33">
        <f>IF(D$12=0,0,D82/D$12)</f>
        <v>0.19484035864632879</v>
      </c>
      <c r="G82" s="14"/>
      <c r="H82" s="36">
        <f>SUM(H79:H81)</f>
        <v>8151.9499999999971</v>
      </c>
      <c r="I82" s="14"/>
      <c r="J82" s="33">
        <f>IF(H$12=0,0,H82/H$12)</f>
        <v>6.1867654167102708E-2</v>
      </c>
      <c r="K82" s="16"/>
      <c r="L82" s="36">
        <f>+D82-H82</f>
        <v>10379.940000000002</v>
      </c>
      <c r="M82" s="16"/>
      <c r="N82" s="33">
        <f>IF(H82=0,0,L82/H82)</f>
        <v>1.2733076135157853</v>
      </c>
      <c r="O82" s="29"/>
      <c r="P82" s="36">
        <f>SUM(P79:P81)</f>
        <v>-34346.039999999979</v>
      </c>
      <c r="Q82" s="14"/>
      <c r="R82" s="33">
        <f>IF(P$12=0,0,P82/P$12)</f>
        <v>-0.11819518984060766</v>
      </c>
      <c r="S82" s="14"/>
      <c r="T82" s="36">
        <f>SUM(T79:T81)</f>
        <v>-11384.10000000002</v>
      </c>
      <c r="U82" s="14"/>
      <c r="V82" s="33">
        <f>IF(T$12=0,0,T82/T$12)</f>
        <v>-2.9548630976504685E-2</v>
      </c>
      <c r="W82" s="16"/>
      <c r="X82" s="36">
        <f>+P82-T82</f>
        <v>-22961.939999999959</v>
      </c>
      <c r="Y82" s="16"/>
      <c r="Z82" s="33">
        <f>IF(T82=0,0,X82/T82)</f>
        <v>2.0170184731335739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61">
        <v>43791.355606018522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6" t="s">
        <v>313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7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","413", " - ", "Beach Walk")</f>
        <v>Department 413 - Beach Walk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54485.820000000007</v>
      </c>
      <c r="E12" s="4"/>
      <c r="F12" s="12"/>
      <c r="G12" s="4"/>
      <c r="H12" s="4">
        <f>SUM(OSRRefH13x_0)</f>
        <v>57085.35</v>
      </c>
      <c r="I12" s="4"/>
      <c r="J12" s="12"/>
      <c r="K12" s="4"/>
      <c r="L12" s="4">
        <f t="shared" ref="L12:L14" si="0">+D12-H12</f>
        <v>-2599.5299999999916</v>
      </c>
      <c r="M12" s="4"/>
      <c r="N12" s="12">
        <f t="shared" ref="N12:N14" si="1">IF(H12=0,0,L12/H12)</f>
        <v>-4.55376029051235E-2</v>
      </c>
      <c r="O12" s="10"/>
      <c r="P12" s="4">
        <f>SUM(OSRRefP13x_0)</f>
        <v>129883.59999999999</v>
      </c>
      <c r="Q12" s="4"/>
      <c r="R12" s="12"/>
      <c r="S12" s="4"/>
      <c r="T12" s="4">
        <f>SUM(OSRRefT13x_0)</f>
        <v>137342.39000000001</v>
      </c>
      <c r="U12" s="4"/>
      <c r="V12" s="12"/>
      <c r="W12" s="4"/>
      <c r="X12" s="4">
        <f t="shared" ref="X12:X14" si="2">+P12-T12</f>
        <v>-7458.7900000000227</v>
      </c>
      <c r="Y12" s="4"/>
      <c r="Z12" s="12">
        <f t="shared" ref="Z12:Z14" si="3">IF(T12=0,0,X12/T12)</f>
        <v>-5.4307996242092642E-2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--10668.2</f>
        <v>10668.2</v>
      </c>
      <c r="E13" s="2"/>
      <c r="F13" s="19"/>
      <c r="G13" s="2"/>
      <c r="H13" s="2">
        <f>--15542.24</f>
        <v>15542.24</v>
      </c>
      <c r="I13" s="2"/>
      <c r="J13" s="19"/>
      <c r="K13" s="2"/>
      <c r="L13" s="2">
        <f t="shared" si="0"/>
        <v>-4874.0399999999991</v>
      </c>
      <c r="M13" s="2"/>
      <c r="N13" s="19">
        <f t="shared" si="1"/>
        <v>-0.31359958410113337</v>
      </c>
      <c r="O13" s="11"/>
      <c r="P13" s="2">
        <f>--31741.26</f>
        <v>31741.26</v>
      </c>
      <c r="Q13" s="2"/>
      <c r="R13" s="19"/>
      <c r="S13" s="2"/>
      <c r="T13" s="2">
        <f>--40810.7</f>
        <v>40810.699999999997</v>
      </c>
      <c r="U13" s="2"/>
      <c r="V13" s="19"/>
      <c r="W13" s="2"/>
      <c r="X13" s="2">
        <f t="shared" si="2"/>
        <v>-9069.4399999999987</v>
      </c>
      <c r="Y13" s="2"/>
      <c r="Z13" s="19">
        <f t="shared" si="3"/>
        <v>-0.22223191466943717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--43817.62</f>
        <v>43817.62</v>
      </c>
      <c r="E14" s="2"/>
      <c r="F14" s="19"/>
      <c r="G14" s="2"/>
      <c r="H14" s="2">
        <f>--41543.11</f>
        <v>41543.11</v>
      </c>
      <c r="I14" s="2"/>
      <c r="J14" s="19"/>
      <c r="K14" s="2"/>
      <c r="L14" s="2">
        <f t="shared" si="0"/>
        <v>2274.510000000002</v>
      </c>
      <c r="M14" s="2"/>
      <c r="N14" s="19">
        <f t="shared" si="1"/>
        <v>5.4750595225056625E-2</v>
      </c>
      <c r="O14" s="11"/>
      <c r="P14" s="2">
        <f>--98142.34</f>
        <v>98142.34</v>
      </c>
      <c r="Q14" s="2"/>
      <c r="R14" s="19"/>
      <c r="S14" s="2"/>
      <c r="T14" s="2">
        <f>--96531.69</f>
        <v>96531.69</v>
      </c>
      <c r="U14" s="2"/>
      <c r="V14" s="19"/>
      <c r="W14" s="2"/>
      <c r="X14" s="2">
        <f t="shared" si="2"/>
        <v>1610.6499999999942</v>
      </c>
      <c r="Y14" s="2"/>
      <c r="Z14" s="19">
        <f t="shared" si="3"/>
        <v>1.6685194261076276E-2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16171.27</v>
      </c>
      <c r="E16" s="4"/>
      <c r="F16" s="12">
        <f t="shared" ref="F16:F18" si="4">IF(D$12=0,0,D16/D$12)</f>
        <v>0.29679777233783028</v>
      </c>
      <c r="G16" s="4"/>
      <c r="H16" s="4">
        <f>SUM(OSRRefH16x_0)</f>
        <v>17695.609999999997</v>
      </c>
      <c r="I16" s="4"/>
      <c r="J16" s="12">
        <f t="shared" ref="J16:J18" si="5">IF(H$12=0,0,H16/H$12)</f>
        <v>0.30998513629153535</v>
      </c>
      <c r="K16" s="4"/>
      <c r="L16" s="4">
        <f t="shared" ref="L16:L18" si="6">+D16-H16</f>
        <v>-1524.3399999999965</v>
      </c>
      <c r="M16" s="4"/>
      <c r="N16" s="12">
        <f t="shared" ref="N16:N18" si="7">IF(H16=0,0,L16/H16)</f>
        <v>-8.6142269184277726E-2</v>
      </c>
      <c r="O16" s="10"/>
      <c r="P16" s="4">
        <f>SUM(OSRRefP16x_0)</f>
        <v>38456.28</v>
      </c>
      <c r="Q16" s="4"/>
      <c r="R16" s="12">
        <f t="shared" ref="R16:R18" si="8">IF(P$12=0,0,P16/P$12)</f>
        <v>0.29608264630792497</v>
      </c>
      <c r="S16" s="4"/>
      <c r="T16" s="4">
        <f>SUM(OSRRefT16x_0)</f>
        <v>41682.29</v>
      </c>
      <c r="U16" s="4"/>
      <c r="V16" s="12">
        <f t="shared" ref="V16:V18" si="9">IF(T$12=0,0,T16/T$12)</f>
        <v>0.30349180613501769</v>
      </c>
      <c r="W16" s="4"/>
      <c r="X16" s="4">
        <f t="shared" ref="X16:X18" si="10">+P16-T16</f>
        <v>-3226.010000000002</v>
      </c>
      <c r="Y16" s="4"/>
      <c r="Z16" s="12">
        <f t="shared" ref="Z16:Z18" si="11">IF(T16=0,0,X16/T16)</f>
        <v>-7.7395219888350714E-2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17450.310000000001</v>
      </c>
      <c r="E17" s="2"/>
      <c r="F17" s="19">
        <f t="shared" si="4"/>
        <v>0.32027250392854506</v>
      </c>
      <c r="G17" s="2"/>
      <c r="H17" s="2">
        <v>18417.969999999998</v>
      </c>
      <c r="I17" s="2"/>
      <c r="J17" s="19">
        <f t="shared" si="5"/>
        <v>0.32263917099571077</v>
      </c>
      <c r="K17" s="2"/>
      <c r="L17" s="2">
        <f t="shared" si="6"/>
        <v>-967.65999999999622</v>
      </c>
      <c r="M17" s="2"/>
      <c r="N17" s="19">
        <f t="shared" si="7"/>
        <v>-5.253890629640489E-2</v>
      </c>
      <c r="O17" s="11"/>
      <c r="P17" s="2">
        <v>43450.43</v>
      </c>
      <c r="Q17" s="2"/>
      <c r="R17" s="19">
        <f t="shared" si="8"/>
        <v>0.33453361317364166</v>
      </c>
      <c r="S17" s="2"/>
      <c r="T17" s="2">
        <v>48689.58</v>
      </c>
      <c r="U17" s="2"/>
      <c r="V17" s="19">
        <f t="shared" si="9"/>
        <v>0.35451239781104726</v>
      </c>
      <c r="W17" s="2"/>
      <c r="X17" s="2">
        <f t="shared" si="10"/>
        <v>-5239.1500000000015</v>
      </c>
      <c r="Y17" s="2"/>
      <c r="Z17" s="19">
        <f t="shared" si="11"/>
        <v>-0.10760310522292452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-1279.04</v>
      </c>
      <c r="E18" s="2"/>
      <c r="F18" s="19">
        <f t="shared" si="4"/>
        <v>-2.3474731590714792E-2</v>
      </c>
      <c r="G18" s="2"/>
      <c r="H18" s="2">
        <v>-722.36</v>
      </c>
      <c r="I18" s="2"/>
      <c r="J18" s="19">
        <f t="shared" si="5"/>
        <v>-1.2654034704175416E-2</v>
      </c>
      <c r="K18" s="2"/>
      <c r="L18" s="2">
        <f t="shared" si="6"/>
        <v>-556.67999999999995</v>
      </c>
      <c r="M18" s="2"/>
      <c r="N18" s="19">
        <f t="shared" si="7"/>
        <v>0.77064067777839296</v>
      </c>
      <c r="O18" s="11"/>
      <c r="P18" s="2">
        <v>-4994.1499999999996</v>
      </c>
      <c r="Q18" s="2"/>
      <c r="R18" s="19">
        <f t="shared" si="8"/>
        <v>-3.8450966865716689E-2</v>
      </c>
      <c r="S18" s="2"/>
      <c r="T18" s="2">
        <v>-7007.29</v>
      </c>
      <c r="U18" s="2"/>
      <c r="V18" s="19">
        <f t="shared" si="9"/>
        <v>-5.1020591676029514E-2</v>
      </c>
      <c r="W18" s="2"/>
      <c r="X18" s="2">
        <f t="shared" si="10"/>
        <v>2013.1400000000003</v>
      </c>
      <c r="Y18" s="2"/>
      <c r="Z18" s="19">
        <f t="shared" si="11"/>
        <v>-0.28729223423035161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38314.550000000003</v>
      </c>
      <c r="E20" s="14"/>
      <c r="F20" s="22">
        <f>IF(D$12=0,0,D20/D$12)</f>
        <v>0.70320222766216967</v>
      </c>
      <c r="G20" s="14"/>
      <c r="H20" s="21">
        <f>H12-H16</f>
        <v>39389.740000000005</v>
      </c>
      <c r="I20" s="14"/>
      <c r="J20" s="22">
        <f>IF(H$12=0,0,H20/H$12)</f>
        <v>0.69001486370846477</v>
      </c>
      <c r="K20" s="16"/>
      <c r="L20" s="21">
        <f>+D20-H20</f>
        <v>-1075.1900000000023</v>
      </c>
      <c r="M20" s="16"/>
      <c r="N20" s="22">
        <f>IF(H20=0,0,L20/H20)</f>
        <v>-2.7296194389706614E-2</v>
      </c>
      <c r="O20" s="29"/>
      <c r="P20" s="21">
        <f>P12-P16</f>
        <v>91427.319999999992</v>
      </c>
      <c r="Q20" s="14"/>
      <c r="R20" s="22">
        <f>IF(P$12=0,0,P20/P$12)</f>
        <v>0.70391735369207509</v>
      </c>
      <c r="S20" s="14"/>
      <c r="T20" s="21">
        <f>T12-T16</f>
        <v>95660.1</v>
      </c>
      <c r="U20" s="14"/>
      <c r="V20" s="22">
        <f>IF(T$12=0,0,T20/T$12)</f>
        <v>0.69650819386498219</v>
      </c>
      <c r="W20" s="16"/>
      <c r="X20" s="21">
        <f>+P20-T20</f>
        <v>-4232.7800000000134</v>
      </c>
      <c r="Y20" s="16"/>
      <c r="Z20" s="22">
        <f>IF(T20=0,0,X20/T20)</f>
        <v>-4.4248124348605249E-2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27626.22</v>
      </c>
      <c r="E22" s="20"/>
      <c r="F22" s="35">
        <f t="shared" ref="F22:F31" si="12">IF(D$12=0,0,D22/D$12)</f>
        <v>0.50703504141077438</v>
      </c>
      <c r="G22" s="20"/>
      <c r="H22" s="20">
        <f>SUM(OSRRefH22x_0)</f>
        <v>28438.57</v>
      </c>
      <c r="I22" s="20"/>
      <c r="J22" s="35">
        <f t="shared" ref="J22:J31" si="13">IF(H$12=0,0,H22/H$12)</f>
        <v>0.49817632720128718</v>
      </c>
      <c r="K22" s="4"/>
      <c r="L22" s="20">
        <f t="shared" ref="L22:L31" si="14">+D22-H22</f>
        <v>-812.34999999999854</v>
      </c>
      <c r="M22" s="4"/>
      <c r="N22" s="35">
        <f t="shared" ref="N22:N31" si="15">IF(H22=0,0,L22/H22)</f>
        <v>-2.8565079045816951E-2</v>
      </c>
      <c r="O22" s="10"/>
      <c r="P22" s="20">
        <f>SUM(OSRRefP22x_0)</f>
        <v>87200.319999999992</v>
      </c>
      <c r="Q22" s="20"/>
      <c r="R22" s="35">
        <f t="shared" ref="R22:R31" si="16">IF(P$12=0,0,P22/P$12)</f>
        <v>0.67137282921015429</v>
      </c>
      <c r="S22" s="20"/>
      <c r="T22" s="20">
        <f>SUM(OSRRefT22x_0)</f>
        <v>79442.63</v>
      </c>
      <c r="U22" s="20"/>
      <c r="V22" s="35">
        <f t="shared" ref="V22:V31" si="17">IF(T$12=0,0,T22/T$12)</f>
        <v>0.57842760709202745</v>
      </c>
      <c r="W22" s="4"/>
      <c r="X22" s="20">
        <f t="shared" ref="X22:X31" si="18">+P22-T22</f>
        <v>7757.6899999999878</v>
      </c>
      <c r="Y22" s="4"/>
      <c r="Z22" s="35">
        <f t="shared" ref="Z22:Z31" si="19">IF(T22=0,0,X22/T22)</f>
        <v>9.7651475032989057E-2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3735.82</v>
      </c>
      <c r="E23" s="1"/>
      <c r="F23" s="5">
        <f t="shared" si="12"/>
        <v>6.8564995442850996E-2</v>
      </c>
      <c r="G23" s="1"/>
      <c r="H23" s="1">
        <f>SUM(OSRRefH22_0x_0)</f>
        <v>5554.8399999999992</v>
      </c>
      <c r="I23" s="1"/>
      <c r="J23" s="5">
        <f t="shared" si="13"/>
        <v>9.7307627964092355E-2</v>
      </c>
      <c r="K23" s="1"/>
      <c r="L23" s="1">
        <f t="shared" si="14"/>
        <v>-1819.0199999999991</v>
      </c>
      <c r="M23" s="1"/>
      <c r="N23" s="5">
        <f t="shared" si="15"/>
        <v>-0.32746577759215373</v>
      </c>
      <c r="O23" s="13"/>
      <c r="P23" s="1">
        <f>SUM(OSRRefP22_0x_0)</f>
        <v>14096.39</v>
      </c>
      <c r="Q23" s="1"/>
      <c r="R23" s="5">
        <f t="shared" si="16"/>
        <v>0.10853094617026322</v>
      </c>
      <c r="S23" s="1"/>
      <c r="T23" s="1">
        <f>SUM(OSRRefT22_0x_0)</f>
        <v>14471.28</v>
      </c>
      <c r="U23" s="1"/>
      <c r="V23" s="5">
        <f t="shared" si="17"/>
        <v>0.1053664494989493</v>
      </c>
      <c r="W23" s="1"/>
      <c r="X23" s="1">
        <f t="shared" si="18"/>
        <v>-374.89000000000124</v>
      </c>
      <c r="Y23" s="1"/>
      <c r="Z23" s="5">
        <f t="shared" si="19"/>
        <v>-2.5905794096997725E-2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1255.9000000000001</v>
      </c>
      <c r="E24" s="2"/>
      <c r="F24" s="7">
        <f t="shared" si="12"/>
        <v>2.3050033935434942E-2</v>
      </c>
      <c r="G24" s="2"/>
      <c r="H24" s="6">
        <v>1056.08</v>
      </c>
      <c r="I24" s="2"/>
      <c r="J24" s="7">
        <f t="shared" si="13"/>
        <v>1.8500017955570037E-2</v>
      </c>
      <c r="K24" s="2"/>
      <c r="L24" s="6">
        <f t="shared" si="14"/>
        <v>199.82000000000016</v>
      </c>
      <c r="M24" s="2"/>
      <c r="N24" s="7">
        <f t="shared" si="15"/>
        <v>0.18920915082190759</v>
      </c>
      <c r="O24" s="11"/>
      <c r="P24" s="6">
        <v>3173.65</v>
      </c>
      <c r="Q24" s="2"/>
      <c r="R24" s="7">
        <f t="shared" si="16"/>
        <v>2.4434570646332563E-2</v>
      </c>
      <c r="S24" s="2"/>
      <c r="T24" s="6">
        <v>2921.64</v>
      </c>
      <c r="U24" s="2"/>
      <c r="V24" s="7">
        <f t="shared" si="17"/>
        <v>2.1272674809285026E-2</v>
      </c>
      <c r="W24" s="2"/>
      <c r="X24" s="6">
        <f t="shared" si="18"/>
        <v>252.01000000000022</v>
      </c>
      <c r="Y24" s="2"/>
      <c r="Z24" s="7">
        <f t="shared" si="19"/>
        <v>8.6256349173751801E-2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-47.36</v>
      </c>
      <c r="E25" s="2"/>
      <c r="F25" s="7">
        <f t="shared" si="12"/>
        <v>-8.6921698159264183E-4</v>
      </c>
      <c r="G25" s="2"/>
      <c r="H25" s="6">
        <v>1088.78</v>
      </c>
      <c r="I25" s="2"/>
      <c r="J25" s="7">
        <f t="shared" si="13"/>
        <v>1.9072844433817081E-2</v>
      </c>
      <c r="K25" s="2"/>
      <c r="L25" s="6">
        <f t="shared" si="14"/>
        <v>-1136.1399999999999</v>
      </c>
      <c r="M25" s="2"/>
      <c r="N25" s="7">
        <f t="shared" si="15"/>
        <v>-1.0434982273737576</v>
      </c>
      <c r="O25" s="11"/>
      <c r="P25" s="6">
        <v>1192.4000000000001</v>
      </c>
      <c r="Q25" s="2"/>
      <c r="R25" s="7">
        <f t="shared" si="16"/>
        <v>9.1805277956570359E-3</v>
      </c>
      <c r="S25" s="2"/>
      <c r="T25" s="6">
        <v>1715.93</v>
      </c>
      <c r="U25" s="2"/>
      <c r="V25" s="7">
        <f t="shared" si="17"/>
        <v>1.2493811997883537E-2</v>
      </c>
      <c r="W25" s="2"/>
      <c r="X25" s="6">
        <f t="shared" si="18"/>
        <v>-523.53</v>
      </c>
      <c r="Y25" s="2"/>
      <c r="Z25" s="7">
        <f t="shared" si="19"/>
        <v>-0.30509985838583153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1290.46</v>
      </c>
      <c r="E26" s="2"/>
      <c r="F26" s="7">
        <f t="shared" si="12"/>
        <v>2.3684327408489032E-2</v>
      </c>
      <c r="G26" s="2"/>
      <c r="H26" s="6">
        <v>1415.02</v>
      </c>
      <c r="I26" s="2"/>
      <c r="J26" s="7">
        <f t="shared" si="13"/>
        <v>2.4787795818016357E-2</v>
      </c>
      <c r="K26" s="2"/>
      <c r="L26" s="6">
        <f t="shared" si="14"/>
        <v>-124.55999999999995</v>
      </c>
      <c r="M26" s="2"/>
      <c r="N26" s="7">
        <f t="shared" si="15"/>
        <v>-8.8027024353012642E-2</v>
      </c>
      <c r="O26" s="11"/>
      <c r="P26" s="6">
        <v>5150.26</v>
      </c>
      <c r="Q26" s="2"/>
      <c r="R26" s="7">
        <f t="shared" si="16"/>
        <v>3.965288920233194E-2</v>
      </c>
      <c r="S26" s="2"/>
      <c r="T26" s="6">
        <v>4772.08</v>
      </c>
      <c r="U26" s="2"/>
      <c r="V26" s="7">
        <f t="shared" si="17"/>
        <v>3.4745863968145593E-2</v>
      </c>
      <c r="W26" s="2"/>
      <c r="X26" s="6">
        <f t="shared" si="18"/>
        <v>378.18000000000029</v>
      </c>
      <c r="Y26" s="2"/>
      <c r="Z26" s="7">
        <f t="shared" si="19"/>
        <v>7.9248461886640684E-2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46.65</v>
      </c>
      <c r="E27" s="2"/>
      <c r="F27" s="7">
        <f t="shared" si="12"/>
        <v>8.5618606822839395E-4</v>
      </c>
      <c r="G27" s="2"/>
      <c r="H27" s="6">
        <v>41.74</v>
      </c>
      <c r="I27" s="2"/>
      <c r="J27" s="7">
        <f t="shared" si="13"/>
        <v>7.3118584715693258E-4</v>
      </c>
      <c r="K27" s="2"/>
      <c r="L27" s="6">
        <f t="shared" si="14"/>
        <v>4.9099999999999966</v>
      </c>
      <c r="M27" s="2"/>
      <c r="N27" s="7">
        <f t="shared" si="15"/>
        <v>0.11763296597987533</v>
      </c>
      <c r="O27" s="11"/>
      <c r="P27" s="6">
        <v>129.72999999999999</v>
      </c>
      <c r="Q27" s="2"/>
      <c r="R27" s="7">
        <f t="shared" si="16"/>
        <v>9.9881740265899614E-4</v>
      </c>
      <c r="S27" s="2"/>
      <c r="T27" s="6">
        <v>127.47</v>
      </c>
      <c r="U27" s="2"/>
      <c r="V27" s="7">
        <f t="shared" si="17"/>
        <v>9.2811840539544987E-4</v>
      </c>
      <c r="W27" s="2"/>
      <c r="X27" s="6">
        <f t="shared" si="18"/>
        <v>2.2599999999999909</v>
      </c>
      <c r="Y27" s="2"/>
      <c r="Z27" s="7">
        <f t="shared" si="19"/>
        <v>1.7729661881226884E-2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326.52</v>
      </c>
      <c r="E28" s="2"/>
      <c r="F28" s="7">
        <f t="shared" si="12"/>
        <v>5.9927518756256208E-3</v>
      </c>
      <c r="G28" s="2"/>
      <c r="H28" s="6">
        <v>299.02</v>
      </c>
      <c r="I28" s="2"/>
      <c r="J28" s="7">
        <f t="shared" si="13"/>
        <v>5.2381215145391943E-3</v>
      </c>
      <c r="K28" s="2"/>
      <c r="L28" s="6">
        <f t="shared" si="14"/>
        <v>27.5</v>
      </c>
      <c r="M28" s="2"/>
      <c r="N28" s="7">
        <f t="shared" si="15"/>
        <v>9.1967092502173775E-2</v>
      </c>
      <c r="O28" s="11"/>
      <c r="P28" s="6">
        <v>1306.08</v>
      </c>
      <c r="Q28" s="2"/>
      <c r="R28" s="7">
        <f t="shared" si="16"/>
        <v>1.0055773015222862E-2</v>
      </c>
      <c r="S28" s="2"/>
      <c r="T28" s="6">
        <v>1301.19</v>
      </c>
      <c r="U28" s="2"/>
      <c r="V28" s="7">
        <f t="shared" si="17"/>
        <v>9.4740596839766652E-3</v>
      </c>
      <c r="W28" s="2"/>
      <c r="X28" s="6">
        <f t="shared" si="18"/>
        <v>4.8899999999998727</v>
      </c>
      <c r="Y28" s="2"/>
      <c r="Z28" s="7">
        <f t="shared" si="19"/>
        <v>3.7580983561200688E-3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404.07</v>
      </c>
      <c r="E29" s="2"/>
      <c r="F29" s="7">
        <f t="shared" si="12"/>
        <v>7.4160579761853628E-3</v>
      </c>
      <c r="G29" s="2"/>
      <c r="H29" s="6">
        <v>523.79</v>
      </c>
      <c r="I29" s="2"/>
      <c r="J29" s="7">
        <f t="shared" si="13"/>
        <v>9.1755590532422056E-3</v>
      </c>
      <c r="K29" s="2"/>
      <c r="L29" s="6">
        <f t="shared" si="14"/>
        <v>-119.71999999999997</v>
      </c>
      <c r="M29" s="2"/>
      <c r="N29" s="7">
        <f t="shared" si="15"/>
        <v>-0.22856488287290705</v>
      </c>
      <c r="O29" s="11"/>
      <c r="P29" s="6">
        <v>1296.3</v>
      </c>
      <c r="Q29" s="2"/>
      <c r="R29" s="7">
        <f t="shared" si="16"/>
        <v>9.9804748251511363E-3</v>
      </c>
      <c r="S29" s="2"/>
      <c r="T29" s="6">
        <v>1325.96</v>
      </c>
      <c r="U29" s="2"/>
      <c r="V29" s="7">
        <f t="shared" si="17"/>
        <v>9.6544118680328764E-3</v>
      </c>
      <c r="W29" s="2"/>
      <c r="X29" s="6">
        <f t="shared" si="18"/>
        <v>-29.660000000000082</v>
      </c>
      <c r="Y29" s="2"/>
      <c r="Z29" s="7">
        <f t="shared" si="19"/>
        <v>-2.2368698904944403E-2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323.43</v>
      </c>
      <c r="E30" s="2"/>
      <c r="F30" s="7">
        <f t="shared" si="12"/>
        <v>5.9360398723924861E-3</v>
      </c>
      <c r="G30" s="2"/>
      <c r="H30" s="6">
        <v>983.09</v>
      </c>
      <c r="I30" s="2"/>
      <c r="J30" s="7">
        <f t="shared" si="13"/>
        <v>1.7221406192657135E-2</v>
      </c>
      <c r="K30" s="2"/>
      <c r="L30" s="6">
        <f t="shared" si="14"/>
        <v>-659.66000000000008</v>
      </c>
      <c r="M30" s="2"/>
      <c r="N30" s="7">
        <f t="shared" si="15"/>
        <v>-0.67100672369772862</v>
      </c>
      <c r="O30" s="11"/>
      <c r="P30" s="6">
        <v>1304.18</v>
      </c>
      <c r="Q30" s="2"/>
      <c r="R30" s="7">
        <f t="shared" si="16"/>
        <v>1.0041144532489091E-2</v>
      </c>
      <c r="S30" s="2"/>
      <c r="T30" s="6">
        <v>1797.48</v>
      </c>
      <c r="U30" s="2"/>
      <c r="V30" s="7">
        <f t="shared" si="17"/>
        <v>1.3087583520280955E-2</v>
      </c>
      <c r="W30" s="2"/>
      <c r="X30" s="6">
        <f t="shared" si="18"/>
        <v>-493.29999999999995</v>
      </c>
      <c r="Y30" s="2"/>
      <c r="Z30" s="7">
        <f t="shared" si="19"/>
        <v>-0.2744397712352849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136.15</v>
      </c>
      <c r="E31" s="2"/>
      <c r="F31" s="7">
        <f t="shared" si="12"/>
        <v>2.4988152880877994E-3</v>
      </c>
      <c r="G31" s="2"/>
      <c r="H31" s="6">
        <v>147.32</v>
      </c>
      <c r="I31" s="2"/>
      <c r="J31" s="7">
        <f t="shared" si="13"/>
        <v>2.5806971490934189E-3</v>
      </c>
      <c r="K31" s="2"/>
      <c r="L31" s="6">
        <f t="shared" si="14"/>
        <v>-11.169999999999987</v>
      </c>
      <c r="M31" s="2"/>
      <c r="N31" s="7">
        <f t="shared" si="15"/>
        <v>-7.5821341297854922E-2</v>
      </c>
      <c r="O31" s="11"/>
      <c r="P31" s="6">
        <v>543.79</v>
      </c>
      <c r="Q31" s="2"/>
      <c r="R31" s="7">
        <f t="shared" si="16"/>
        <v>4.1867487504196063E-3</v>
      </c>
      <c r="S31" s="2"/>
      <c r="T31" s="6">
        <v>509.53</v>
      </c>
      <c r="U31" s="2"/>
      <c r="V31" s="7">
        <f t="shared" si="17"/>
        <v>3.7099252459491926E-3</v>
      </c>
      <c r="W31" s="2"/>
      <c r="X31" s="6">
        <f t="shared" si="18"/>
        <v>34.259999999999991</v>
      </c>
      <c r="Y31" s="2"/>
      <c r="Z31" s="7">
        <f t="shared" si="19"/>
        <v>6.7238435420878054E-2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18759.560000000001</v>
      </c>
      <c r="E32" s="1"/>
      <c r="F32" s="5">
        <f t="shared" ref="F32:F37" si="20">IF(D$12=0,0,D32/D$12)</f>
        <v>0.34430169170620906</v>
      </c>
      <c r="G32" s="1"/>
      <c r="H32" s="1">
        <f>SUM(OSRRefH22_1x_0)</f>
        <v>17917.160000000003</v>
      </c>
      <c r="I32" s="1"/>
      <c r="J32" s="5">
        <f t="shared" ref="J32:J37" si="21">IF(H$12=0,0,H32/H$12)</f>
        <v>0.31386616706387899</v>
      </c>
      <c r="K32" s="1"/>
      <c r="L32" s="1">
        <f t="shared" ref="L32:L37" si="22">+D32-H32</f>
        <v>842.39999999999782</v>
      </c>
      <c r="M32" s="1"/>
      <c r="N32" s="5">
        <f t="shared" ref="N32:N37" si="23">IF(H32=0,0,L32/H32)</f>
        <v>4.7016379828052977E-2</v>
      </c>
      <c r="O32" s="13"/>
      <c r="P32" s="1">
        <f>SUM(OSRRefP22_1x_0)</f>
        <v>53180.42</v>
      </c>
      <c r="Q32" s="1"/>
      <c r="R32" s="5">
        <f t="shared" ref="R32:R37" si="24">IF(P$12=0,0,P32/P$12)</f>
        <v>0.40944676618141168</v>
      </c>
      <c r="S32" s="1"/>
      <c r="T32" s="1">
        <f>SUM(OSRRefT22_1x_0)</f>
        <v>50179.729999999996</v>
      </c>
      <c r="U32" s="1"/>
      <c r="V32" s="5">
        <f t="shared" ref="V32:V37" si="25">IF(T$12=0,0,T32/T$12)</f>
        <v>0.36536228909370216</v>
      </c>
      <c r="W32" s="1"/>
      <c r="X32" s="1">
        <f t="shared" ref="X32:X37" si="26">+P32-T32</f>
        <v>3000.6900000000023</v>
      </c>
      <c r="Y32" s="1"/>
      <c r="Z32" s="5">
        <f t="shared" ref="Z32:Z37" si="27">IF(T32=0,0,X32/T32)</f>
        <v>5.9798847064342568E-2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5842.93</v>
      </c>
      <c r="E33" s="2"/>
      <c r="F33" s="7">
        <f t="shared" si="20"/>
        <v>0.10723762623009069</v>
      </c>
      <c r="G33" s="2"/>
      <c r="H33" s="6">
        <v>5134.8100000000004</v>
      </c>
      <c r="I33" s="2"/>
      <c r="J33" s="7">
        <f t="shared" si="21"/>
        <v>8.9949698127453029E-2</v>
      </c>
      <c r="K33" s="2"/>
      <c r="L33" s="6">
        <f t="shared" si="22"/>
        <v>708.11999999999989</v>
      </c>
      <c r="M33" s="2"/>
      <c r="N33" s="7">
        <f t="shared" si="23"/>
        <v>0.13790578424518138</v>
      </c>
      <c r="O33" s="11"/>
      <c r="P33" s="6">
        <v>20100.870000000003</v>
      </c>
      <c r="Q33" s="2"/>
      <c r="R33" s="7">
        <f t="shared" si="24"/>
        <v>0.15476064722566979</v>
      </c>
      <c r="S33" s="2"/>
      <c r="T33" s="6">
        <v>16901.929999999997</v>
      </c>
      <c r="U33" s="2"/>
      <c r="V33" s="7">
        <f t="shared" si="25"/>
        <v>0.12306419016008091</v>
      </c>
      <c r="W33" s="2"/>
      <c r="X33" s="6">
        <f t="shared" si="26"/>
        <v>3198.940000000006</v>
      </c>
      <c r="Y33" s="2"/>
      <c r="Z33" s="7">
        <f t="shared" si="27"/>
        <v>0.18926477627111263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6974.63</v>
      </c>
      <c r="E34" s="2"/>
      <c r="F34" s="7">
        <f t="shared" si="20"/>
        <v>0.12800816799673748</v>
      </c>
      <c r="G34" s="2"/>
      <c r="H34" s="6">
        <v>4010.66</v>
      </c>
      <c r="I34" s="2"/>
      <c r="J34" s="7">
        <f t="shared" si="21"/>
        <v>7.0257255145146691E-2</v>
      </c>
      <c r="K34" s="2"/>
      <c r="L34" s="6">
        <f t="shared" si="22"/>
        <v>2963.9700000000003</v>
      </c>
      <c r="M34" s="2"/>
      <c r="N34" s="7">
        <f t="shared" si="23"/>
        <v>0.7390230036951525</v>
      </c>
      <c r="O34" s="11"/>
      <c r="P34" s="6">
        <v>14355.24</v>
      </c>
      <c r="Q34" s="2"/>
      <c r="R34" s="7">
        <f t="shared" si="24"/>
        <v>0.11052388446270353</v>
      </c>
      <c r="S34" s="2"/>
      <c r="T34" s="6">
        <v>9791.5400000000009</v>
      </c>
      <c r="U34" s="2"/>
      <c r="V34" s="7">
        <f t="shared" si="25"/>
        <v>7.1292919833417775E-2</v>
      </c>
      <c r="W34" s="2"/>
      <c r="X34" s="6">
        <f t="shared" si="26"/>
        <v>4563.6999999999989</v>
      </c>
      <c r="Y34" s="2"/>
      <c r="Z34" s="7">
        <f t="shared" si="27"/>
        <v>0.46608602936820953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969.37</v>
      </c>
      <c r="I35" s="2"/>
      <c r="J35" s="7">
        <f t="shared" si="21"/>
        <v>1.6981064318603634E-2</v>
      </c>
      <c r="K35" s="2"/>
      <c r="L35" s="6">
        <f t="shared" si="22"/>
        <v>-969.37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2891.37</v>
      </c>
      <c r="U35" s="2"/>
      <c r="V35" s="7">
        <f t="shared" si="25"/>
        <v>2.1052276722430704E-2</v>
      </c>
      <c r="W35" s="2"/>
      <c r="X35" s="6">
        <f t="shared" si="26"/>
        <v>-2891.37</v>
      </c>
      <c r="Y35" s="2"/>
      <c r="Z35" s="7">
        <f t="shared" si="27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4931</v>
      </c>
      <c r="E36" s="2"/>
      <c r="F36" s="7">
        <f t="shared" si="20"/>
        <v>9.0500610984656185E-2</v>
      </c>
      <c r="G36" s="2"/>
      <c r="H36" s="6">
        <v>5360.32</v>
      </c>
      <c r="I36" s="2"/>
      <c r="J36" s="7">
        <f t="shared" si="21"/>
        <v>9.3900098711841129E-2</v>
      </c>
      <c r="K36" s="2"/>
      <c r="L36" s="6">
        <f t="shared" si="22"/>
        <v>-429.31999999999971</v>
      </c>
      <c r="M36" s="2"/>
      <c r="N36" s="7">
        <f t="shared" si="23"/>
        <v>-8.0092233299504462E-2</v>
      </c>
      <c r="O36" s="11"/>
      <c r="P36" s="6">
        <v>16966.310000000001</v>
      </c>
      <c r="Q36" s="2"/>
      <c r="R36" s="7">
        <f t="shared" si="24"/>
        <v>0.13062703836358094</v>
      </c>
      <c r="S36" s="2"/>
      <c r="T36" s="6">
        <v>16406.64</v>
      </c>
      <c r="U36" s="2"/>
      <c r="V36" s="7">
        <f t="shared" si="25"/>
        <v>0.11945794739701267</v>
      </c>
      <c r="W36" s="2"/>
      <c r="X36" s="6">
        <f t="shared" si="26"/>
        <v>559.67000000000189</v>
      </c>
      <c r="Y36" s="2"/>
      <c r="Z36" s="7">
        <f t="shared" si="27"/>
        <v>3.4112408146945501E-2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1011</v>
      </c>
      <c r="E37" s="2"/>
      <c r="F37" s="7">
        <f t="shared" si="20"/>
        <v>1.8555286494724679E-2</v>
      </c>
      <c r="G37" s="2"/>
      <c r="H37" s="6">
        <v>2442</v>
      </c>
      <c r="I37" s="2"/>
      <c r="J37" s="7">
        <f t="shared" si="21"/>
        <v>4.2778050760834435E-2</v>
      </c>
      <c r="K37" s="2"/>
      <c r="L37" s="6">
        <f t="shared" si="22"/>
        <v>-1431</v>
      </c>
      <c r="M37" s="2"/>
      <c r="N37" s="7">
        <f t="shared" si="23"/>
        <v>-0.58599508599508598</v>
      </c>
      <c r="O37" s="11"/>
      <c r="P37" s="6">
        <v>1758</v>
      </c>
      <c r="Q37" s="2"/>
      <c r="R37" s="7">
        <f t="shared" si="24"/>
        <v>1.3535196129457453E-2</v>
      </c>
      <c r="S37" s="2"/>
      <c r="T37" s="6">
        <v>4188.25</v>
      </c>
      <c r="U37" s="2"/>
      <c r="V37" s="7">
        <f t="shared" si="25"/>
        <v>3.0494954980760124E-2</v>
      </c>
      <c r="W37" s="2"/>
      <c r="X37" s="6">
        <f t="shared" si="26"/>
        <v>-2430.25</v>
      </c>
      <c r="Y37" s="2"/>
      <c r="Z37" s="7">
        <f t="shared" si="27"/>
        <v>-0.58025428281501823</v>
      </c>
    </row>
    <row r="38" spans="1:26" s="27" customFormat="1" outlineLevel="1" collapsed="1" x14ac:dyDescent="0.25">
      <c r="A38" s="25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288.79000000000002</v>
      </c>
      <c r="E38" s="1"/>
      <c r="F38" s="5">
        <f t="shared" ref="F38:F51" si="28">IF(D$12=0,0,D38/D$12)</f>
        <v>5.3002781274100307E-3</v>
      </c>
      <c r="G38" s="1"/>
      <c r="H38" s="1">
        <f>SUM(OSRRefH22_2x_0)</f>
        <v>420.03</v>
      </c>
      <c r="I38" s="1"/>
      <c r="J38" s="5">
        <f t="shared" ref="J38:J51" si="29">IF(H$12=0,0,H38/H$12)</f>
        <v>7.3579298366393472E-3</v>
      </c>
      <c r="K38" s="1"/>
      <c r="L38" s="1">
        <f t="shared" ref="L38:L51" si="30">+D38-H38</f>
        <v>-131.23999999999995</v>
      </c>
      <c r="M38" s="1"/>
      <c r="N38" s="5">
        <f t="shared" ref="N38:N51" si="31">IF(H38=0,0,L38/H38)</f>
        <v>-0.31245387234245164</v>
      </c>
      <c r="O38" s="13"/>
      <c r="P38" s="1">
        <f>SUM(OSRRefP22_2x_0)</f>
        <v>1329.72</v>
      </c>
      <c r="Q38" s="1"/>
      <c r="R38" s="5">
        <f t="shared" ref="R38:R51" si="32">IF(P$12=0,0,P38/P$12)</f>
        <v>1.0237782137236726E-2</v>
      </c>
      <c r="S38" s="1"/>
      <c r="T38" s="1">
        <f>SUM(OSRRefT22_2x_0)</f>
        <v>1150.76</v>
      </c>
      <c r="U38" s="1"/>
      <c r="V38" s="5">
        <f t="shared" ref="V38:V51" si="33">IF(T$12=0,0,T38/T$12)</f>
        <v>8.3787678370821992E-3</v>
      </c>
      <c r="W38" s="1"/>
      <c r="X38" s="1">
        <f t="shared" ref="X38:X51" si="34">+P38-T38</f>
        <v>178.96000000000004</v>
      </c>
      <c r="Y38" s="1"/>
      <c r="Z38" s="5">
        <f t="shared" ref="Z38:Z51" si="35">IF(T38=0,0,X38/T38)</f>
        <v>0.15551461642740452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>
        <v>288.79000000000002</v>
      </c>
      <c r="E39" s="2"/>
      <c r="F39" s="7">
        <f t="shared" si="28"/>
        <v>5.3002781274100307E-3</v>
      </c>
      <c r="G39" s="2"/>
      <c r="H39" s="6">
        <v>420.03</v>
      </c>
      <c r="I39" s="2"/>
      <c r="J39" s="7">
        <f t="shared" si="29"/>
        <v>7.3579298366393472E-3</v>
      </c>
      <c r="K39" s="2"/>
      <c r="L39" s="6">
        <f t="shared" si="30"/>
        <v>-131.23999999999995</v>
      </c>
      <c r="M39" s="2"/>
      <c r="N39" s="7">
        <f t="shared" si="31"/>
        <v>-0.31245387234245164</v>
      </c>
      <c r="O39" s="11"/>
      <c r="P39" s="6">
        <v>1329.72</v>
      </c>
      <c r="Q39" s="2"/>
      <c r="R39" s="7">
        <f t="shared" si="32"/>
        <v>1.0237782137236726E-2</v>
      </c>
      <c r="S39" s="2"/>
      <c r="T39" s="6">
        <v>1150.76</v>
      </c>
      <c r="U39" s="2"/>
      <c r="V39" s="7">
        <f t="shared" si="33"/>
        <v>8.3787678370821992E-3</v>
      </c>
      <c r="W39" s="2"/>
      <c r="X39" s="6">
        <f t="shared" si="34"/>
        <v>178.96000000000004</v>
      </c>
      <c r="Y39" s="2"/>
      <c r="Z39" s="7">
        <f t="shared" si="35"/>
        <v>0.15551461642740452</v>
      </c>
    </row>
    <row r="40" spans="1:26" s="27" customFormat="1" outlineLevel="1" collapsed="1" x14ac:dyDescent="0.25">
      <c r="A40" s="25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11.17</v>
      </c>
      <c r="E40" s="1"/>
      <c r="F40" s="5">
        <f t="shared" si="28"/>
        <v>2.0500746799809562E-4</v>
      </c>
      <c r="G40" s="1"/>
      <c r="H40" s="1">
        <f>SUM(OSRRefH22_3x_0)</f>
        <v>18.920000000000002</v>
      </c>
      <c r="I40" s="1"/>
      <c r="J40" s="5">
        <f t="shared" si="29"/>
        <v>3.3143354643529383E-4</v>
      </c>
      <c r="K40" s="1"/>
      <c r="L40" s="1">
        <f t="shared" si="30"/>
        <v>-7.7500000000000018</v>
      </c>
      <c r="M40" s="1"/>
      <c r="N40" s="5">
        <f t="shared" si="31"/>
        <v>-0.40961945031712477</v>
      </c>
      <c r="O40" s="13"/>
      <c r="P40" s="1">
        <f>SUM(OSRRefP22_3x_0)</f>
        <v>-26.56</v>
      </c>
      <c r="Q40" s="1"/>
      <c r="R40" s="5">
        <f t="shared" si="32"/>
        <v>-2.0449079021523888E-4</v>
      </c>
      <c r="S40" s="1"/>
      <c r="T40" s="1">
        <f>SUM(OSRRefT22_3x_0)</f>
        <v>48.55</v>
      </c>
      <c r="U40" s="1"/>
      <c r="V40" s="5">
        <f t="shared" si="33"/>
        <v>3.5349610560876356E-4</v>
      </c>
      <c r="W40" s="1"/>
      <c r="X40" s="1">
        <f t="shared" si="34"/>
        <v>-75.11</v>
      </c>
      <c r="Y40" s="1"/>
      <c r="Z40" s="5">
        <f t="shared" si="35"/>
        <v>-1.5470648815653967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11.17</v>
      </c>
      <c r="E41" s="2"/>
      <c r="F41" s="7">
        <f t="shared" si="28"/>
        <v>2.0500746799809562E-4</v>
      </c>
      <c r="G41" s="2"/>
      <c r="H41" s="6">
        <v>18.920000000000002</v>
      </c>
      <c r="I41" s="2"/>
      <c r="J41" s="7">
        <f t="shared" si="29"/>
        <v>3.3143354643529383E-4</v>
      </c>
      <c r="K41" s="2"/>
      <c r="L41" s="6">
        <f t="shared" si="30"/>
        <v>-7.7500000000000018</v>
      </c>
      <c r="M41" s="2"/>
      <c r="N41" s="7">
        <f t="shared" si="31"/>
        <v>-0.40961945031712477</v>
      </c>
      <c r="O41" s="11"/>
      <c r="P41" s="6">
        <v>-26.56</v>
      </c>
      <c r="Q41" s="2"/>
      <c r="R41" s="7">
        <f t="shared" si="32"/>
        <v>-2.0449079021523888E-4</v>
      </c>
      <c r="S41" s="2"/>
      <c r="T41" s="6">
        <v>48.55</v>
      </c>
      <c r="U41" s="2"/>
      <c r="V41" s="7">
        <f t="shared" si="33"/>
        <v>3.5349610560876356E-4</v>
      </c>
      <c r="W41" s="2"/>
      <c r="X41" s="6">
        <f t="shared" si="34"/>
        <v>-75.11</v>
      </c>
      <c r="Y41" s="2"/>
      <c r="Z41" s="7">
        <f t="shared" si="35"/>
        <v>-1.5470648815653967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2122.56</v>
      </c>
      <c r="E42" s="1"/>
      <c r="F42" s="5">
        <f t="shared" si="28"/>
        <v>3.8956190803405358E-2</v>
      </c>
      <c r="G42" s="1"/>
      <c r="H42" s="1">
        <f>SUM(OSRRefH22_4x_0)</f>
        <v>1991.56</v>
      </c>
      <c r="I42" s="1"/>
      <c r="J42" s="5">
        <f t="shared" si="29"/>
        <v>3.488740981705464E-2</v>
      </c>
      <c r="K42" s="1"/>
      <c r="L42" s="1">
        <f t="shared" si="30"/>
        <v>131</v>
      </c>
      <c r="M42" s="1"/>
      <c r="N42" s="5">
        <f t="shared" si="31"/>
        <v>6.5777581393480486E-2</v>
      </c>
      <c r="O42" s="13"/>
      <c r="P42" s="1">
        <f>SUM(OSRRefP22_4x_0)</f>
        <v>4622.76</v>
      </c>
      <c r="Q42" s="1"/>
      <c r="R42" s="5">
        <f t="shared" si="32"/>
        <v>3.5591560443350823E-2</v>
      </c>
      <c r="S42" s="1"/>
      <c r="T42" s="1">
        <f>SUM(OSRRefT22_4x_0)</f>
        <v>4536.3999999999996</v>
      </c>
      <c r="U42" s="1"/>
      <c r="V42" s="5">
        <f t="shared" si="33"/>
        <v>3.3029860627880429E-2</v>
      </c>
      <c r="W42" s="1"/>
      <c r="X42" s="1">
        <f t="shared" si="34"/>
        <v>86.360000000000582</v>
      </c>
      <c r="Y42" s="1"/>
      <c r="Z42" s="5">
        <f t="shared" si="35"/>
        <v>1.9037121946918392E-2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2122.56</v>
      </c>
      <c r="E43" s="2"/>
      <c r="F43" s="7">
        <f t="shared" si="28"/>
        <v>3.8956190803405358E-2</v>
      </c>
      <c r="G43" s="2"/>
      <c r="H43" s="6">
        <v>1991.56</v>
      </c>
      <c r="I43" s="2"/>
      <c r="J43" s="7">
        <f t="shared" si="29"/>
        <v>3.488740981705464E-2</v>
      </c>
      <c r="K43" s="2"/>
      <c r="L43" s="6">
        <f t="shared" si="30"/>
        <v>131</v>
      </c>
      <c r="M43" s="2"/>
      <c r="N43" s="7">
        <f t="shared" si="31"/>
        <v>6.5777581393480486E-2</v>
      </c>
      <c r="O43" s="11"/>
      <c r="P43" s="6">
        <v>4622.76</v>
      </c>
      <c r="Q43" s="2"/>
      <c r="R43" s="7">
        <f t="shared" si="32"/>
        <v>3.5591560443350823E-2</v>
      </c>
      <c r="S43" s="2"/>
      <c r="T43" s="6">
        <v>4536.3999999999996</v>
      </c>
      <c r="U43" s="2"/>
      <c r="V43" s="7">
        <f t="shared" si="33"/>
        <v>3.3029860627880429E-2</v>
      </c>
      <c r="W43" s="2"/>
      <c r="X43" s="6">
        <f t="shared" si="34"/>
        <v>86.360000000000582</v>
      </c>
      <c r="Y43" s="2"/>
      <c r="Z43" s="7">
        <f t="shared" si="35"/>
        <v>1.9037121946918392E-2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630.21</v>
      </c>
      <c r="E44" s="1"/>
      <c r="F44" s="5">
        <f t="shared" si="28"/>
        <v>1.1566495649693809E-2</v>
      </c>
      <c r="G44" s="1"/>
      <c r="H44" s="1">
        <f>SUM(OSRRefH22_5x_0)</f>
        <v>635.67999999999995</v>
      </c>
      <c r="I44" s="1"/>
      <c r="J44" s="5">
        <f t="shared" si="29"/>
        <v>1.1135606596088138E-2</v>
      </c>
      <c r="K44" s="1"/>
      <c r="L44" s="1">
        <f t="shared" si="30"/>
        <v>-5.4699999999999136</v>
      </c>
      <c r="M44" s="1"/>
      <c r="N44" s="5">
        <f t="shared" si="31"/>
        <v>-8.6049584696701389E-3</v>
      </c>
      <c r="O44" s="13"/>
      <c r="P44" s="1">
        <f>SUM(OSRRefP22_5x_0)</f>
        <v>2520.84</v>
      </c>
      <c r="Q44" s="1"/>
      <c r="R44" s="5">
        <f t="shared" si="32"/>
        <v>1.9408454955052064E-2</v>
      </c>
      <c r="S44" s="1"/>
      <c r="T44" s="1">
        <f>SUM(OSRRefT22_5x_0)</f>
        <v>2542.7199999999998</v>
      </c>
      <c r="U44" s="1"/>
      <c r="V44" s="5">
        <f t="shared" si="33"/>
        <v>1.8513730538692385E-2</v>
      </c>
      <c r="W44" s="1"/>
      <c r="X44" s="1">
        <f t="shared" si="34"/>
        <v>-21.879999999999654</v>
      </c>
      <c r="Y44" s="1"/>
      <c r="Z44" s="5">
        <f t="shared" si="35"/>
        <v>-8.6049584696701389E-3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630.21</v>
      </c>
      <c r="E45" s="2"/>
      <c r="F45" s="7">
        <f t="shared" si="28"/>
        <v>1.1566495649693809E-2</v>
      </c>
      <c r="G45" s="2"/>
      <c r="H45" s="6">
        <v>635.67999999999995</v>
      </c>
      <c r="I45" s="2"/>
      <c r="J45" s="7">
        <f t="shared" si="29"/>
        <v>1.1135606596088138E-2</v>
      </c>
      <c r="K45" s="2"/>
      <c r="L45" s="6">
        <f t="shared" si="30"/>
        <v>-5.4699999999999136</v>
      </c>
      <c r="M45" s="2"/>
      <c r="N45" s="7">
        <f t="shared" si="31"/>
        <v>-8.6049584696701389E-3</v>
      </c>
      <c r="O45" s="11"/>
      <c r="P45" s="6">
        <v>2520.84</v>
      </c>
      <c r="Q45" s="2"/>
      <c r="R45" s="7">
        <f t="shared" si="32"/>
        <v>1.9408454955052064E-2</v>
      </c>
      <c r="S45" s="2"/>
      <c r="T45" s="6">
        <v>2542.7199999999998</v>
      </c>
      <c r="U45" s="2"/>
      <c r="V45" s="7">
        <f t="shared" si="33"/>
        <v>1.8513730538692385E-2</v>
      </c>
      <c r="W45" s="2"/>
      <c r="X45" s="6">
        <f t="shared" si="34"/>
        <v>-21.879999999999654</v>
      </c>
      <c r="Y45" s="2"/>
      <c r="Z45" s="7">
        <f t="shared" si="35"/>
        <v>-8.6049584696701389E-3</v>
      </c>
    </row>
    <row r="46" spans="1:26" s="27" customFormat="1" outlineLevel="1" collapsed="1" x14ac:dyDescent="0.25">
      <c r="A46" s="25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SUM(OSRRefD22_6x_0)</f>
        <v>101.8</v>
      </c>
      <c r="E46" s="1"/>
      <c r="F46" s="5">
        <f t="shared" si="28"/>
        <v>1.8683760288456699E-3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101.8</v>
      </c>
      <c r="M46" s="1"/>
      <c r="N46" s="5">
        <f t="shared" si="31"/>
        <v>0</v>
      </c>
      <c r="O46" s="13"/>
      <c r="P46" s="1">
        <f>SUM(OSRRefP22_6x_0)</f>
        <v>851.35</v>
      </c>
      <c r="Q46" s="1"/>
      <c r="R46" s="5">
        <f t="shared" si="32"/>
        <v>6.554715144945167E-3</v>
      </c>
      <c r="S46" s="1"/>
      <c r="T46" s="1">
        <f>SUM(OSRRefT22_6x_0)</f>
        <v>724.2</v>
      </c>
      <c r="U46" s="1"/>
      <c r="V46" s="5">
        <f t="shared" si="33"/>
        <v>5.2729532375255734E-3</v>
      </c>
      <c r="W46" s="1"/>
      <c r="X46" s="1">
        <f t="shared" si="34"/>
        <v>127.14999999999998</v>
      </c>
      <c r="Y46" s="1"/>
      <c r="Z46" s="5">
        <f t="shared" si="35"/>
        <v>0.17557304611985636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>
        <v>101.8</v>
      </c>
      <c r="E47" s="2"/>
      <c r="F47" s="7">
        <f t="shared" si="28"/>
        <v>1.8683760288456699E-3</v>
      </c>
      <c r="G47" s="2"/>
      <c r="H47" s="6"/>
      <c r="I47" s="2"/>
      <c r="J47" s="7">
        <f t="shared" si="29"/>
        <v>0</v>
      </c>
      <c r="K47" s="2"/>
      <c r="L47" s="6">
        <f t="shared" si="30"/>
        <v>101.8</v>
      </c>
      <c r="M47" s="2"/>
      <c r="N47" s="7">
        <f t="shared" si="31"/>
        <v>0</v>
      </c>
      <c r="O47" s="11"/>
      <c r="P47" s="6">
        <v>851.35</v>
      </c>
      <c r="Q47" s="2"/>
      <c r="R47" s="7">
        <f t="shared" si="32"/>
        <v>6.554715144945167E-3</v>
      </c>
      <c r="S47" s="2"/>
      <c r="T47" s="6">
        <v>724.2</v>
      </c>
      <c r="U47" s="2"/>
      <c r="V47" s="7">
        <f t="shared" si="33"/>
        <v>5.2729532375255734E-3</v>
      </c>
      <c r="W47" s="2"/>
      <c r="X47" s="6">
        <f t="shared" si="34"/>
        <v>127.14999999999998</v>
      </c>
      <c r="Y47" s="2"/>
      <c r="Z47" s="7">
        <f t="shared" si="35"/>
        <v>0.17557304611985636</v>
      </c>
    </row>
    <row r="48" spans="1:26" s="27" customFormat="1" outlineLevel="1" collapsed="1" x14ac:dyDescent="0.25">
      <c r="A48" s="25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SUM(OSRRefD22_7x_0)</f>
        <v>1098.97</v>
      </c>
      <c r="E48" s="1"/>
      <c r="F48" s="5">
        <f t="shared" si="28"/>
        <v>2.0169835013954088E-2</v>
      </c>
      <c r="G48" s="1"/>
      <c r="H48" s="1">
        <f>SUM(OSRRefH22_7x_0)</f>
        <v>183.39</v>
      </c>
      <c r="I48" s="1"/>
      <c r="J48" s="5">
        <f t="shared" si="29"/>
        <v>3.2125580380955882E-3</v>
      </c>
      <c r="K48" s="1"/>
      <c r="L48" s="1">
        <f t="shared" si="30"/>
        <v>915.58</v>
      </c>
      <c r="M48" s="1"/>
      <c r="N48" s="5">
        <f t="shared" si="31"/>
        <v>4.9925295817656368</v>
      </c>
      <c r="O48" s="13"/>
      <c r="P48" s="1">
        <f>SUM(OSRRefP22_7x_0)</f>
        <v>7677.8099999999995</v>
      </c>
      <c r="Q48" s="1"/>
      <c r="R48" s="5">
        <f t="shared" si="32"/>
        <v>5.9113005799038526E-2</v>
      </c>
      <c r="S48" s="1"/>
      <c r="T48" s="1">
        <f>SUM(OSRRefT22_7x_0)</f>
        <v>2185.06</v>
      </c>
      <c r="U48" s="1"/>
      <c r="V48" s="5">
        <f t="shared" si="33"/>
        <v>1.5909581885097526E-2</v>
      </c>
      <c r="W48" s="1"/>
      <c r="X48" s="1">
        <f t="shared" si="34"/>
        <v>5492.75</v>
      </c>
      <c r="Y48" s="1"/>
      <c r="Z48" s="5">
        <f t="shared" si="35"/>
        <v>2.5137753654361896</v>
      </c>
    </row>
    <row r="49" spans="1:26" s="24" customFormat="1" hidden="1" outlineLevel="2" x14ac:dyDescent="0.25">
      <c r="A49" s="26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874.62</v>
      </c>
      <c r="Q49" s="2"/>
      <c r="R49" s="7">
        <f t="shared" si="32"/>
        <v>6.7338755624266654E-3</v>
      </c>
      <c r="S49" s="2"/>
      <c r="T49" s="6"/>
      <c r="U49" s="2"/>
      <c r="V49" s="7">
        <f t="shared" si="33"/>
        <v>0</v>
      </c>
      <c r="W49" s="2"/>
      <c r="X49" s="6">
        <f t="shared" si="34"/>
        <v>874.62</v>
      </c>
      <c r="Y49" s="2"/>
      <c r="Z49" s="7">
        <f t="shared" si="35"/>
        <v>0</v>
      </c>
    </row>
    <row r="50" spans="1:26" s="24" customFormat="1" hidden="1" outlineLevel="2" x14ac:dyDescent="0.25">
      <c r="A50" s="26"/>
      <c r="B50" s="11" t="str">
        <f>CONCATENATE("          ", "6373", " - ", "MAINTENANCE CONTRACTS")</f>
        <v xml:space="preserve">          6373 - MAINTENANCE CONTRACTS</v>
      </c>
      <c r="C50" s="11"/>
      <c r="D50" s="6">
        <v>157.29</v>
      </c>
      <c r="E50" s="2"/>
      <c r="F50" s="7">
        <f t="shared" si="28"/>
        <v>2.8868061451585011E-3</v>
      </c>
      <c r="G50" s="2"/>
      <c r="H50" s="6"/>
      <c r="I50" s="2"/>
      <c r="J50" s="7">
        <f t="shared" si="29"/>
        <v>0</v>
      </c>
      <c r="K50" s="2"/>
      <c r="L50" s="6">
        <f t="shared" si="30"/>
        <v>157.29</v>
      </c>
      <c r="M50" s="2"/>
      <c r="N50" s="7">
        <f t="shared" si="31"/>
        <v>0</v>
      </c>
      <c r="O50" s="11"/>
      <c r="P50" s="6">
        <v>157.29</v>
      </c>
      <c r="Q50" s="2"/>
      <c r="R50" s="7">
        <f t="shared" si="32"/>
        <v>1.2110073943130619E-3</v>
      </c>
      <c r="S50" s="2"/>
      <c r="T50" s="6">
        <v>155.94999999999999</v>
      </c>
      <c r="U50" s="2"/>
      <c r="V50" s="7">
        <f t="shared" si="33"/>
        <v>1.1354833711572951E-3</v>
      </c>
      <c r="W50" s="2"/>
      <c r="X50" s="6">
        <f t="shared" si="34"/>
        <v>1.3400000000000034</v>
      </c>
      <c r="Y50" s="2"/>
      <c r="Z50" s="7">
        <f t="shared" si="35"/>
        <v>8.5924975953831587E-3</v>
      </c>
    </row>
    <row r="51" spans="1:26" s="24" customFormat="1" hidden="1" outlineLevel="2" x14ac:dyDescent="0.25">
      <c r="A51" s="26"/>
      <c r="B51" s="11" t="str">
        <f>CONCATENATE("          ", "6375", " - ", "OUTSIDE REPAIRS &amp; MAINTENANCE")</f>
        <v xml:space="preserve">          6375 - OUTSIDE REPAIRS &amp; MAINTENANCE</v>
      </c>
      <c r="C51" s="11"/>
      <c r="D51" s="6">
        <v>941.68</v>
      </c>
      <c r="E51" s="2"/>
      <c r="F51" s="7">
        <f t="shared" si="28"/>
        <v>1.7283028868795583E-2</v>
      </c>
      <c r="G51" s="2"/>
      <c r="H51" s="6">
        <v>183.39</v>
      </c>
      <c r="I51" s="2"/>
      <c r="J51" s="7">
        <f t="shared" si="29"/>
        <v>3.2125580380955882E-3</v>
      </c>
      <c r="K51" s="2"/>
      <c r="L51" s="6">
        <f t="shared" si="30"/>
        <v>758.29</v>
      </c>
      <c r="M51" s="2"/>
      <c r="N51" s="7">
        <f t="shared" si="31"/>
        <v>4.1348492284203067</v>
      </c>
      <c r="O51" s="11"/>
      <c r="P51" s="6">
        <v>6645.9</v>
      </c>
      <c r="Q51" s="2"/>
      <c r="R51" s="7">
        <f t="shared" si="32"/>
        <v>5.1168122842298797E-2</v>
      </c>
      <c r="S51" s="2"/>
      <c r="T51" s="6">
        <v>2029.11</v>
      </c>
      <c r="U51" s="2"/>
      <c r="V51" s="7">
        <f t="shared" si="33"/>
        <v>1.4774098513940232E-2</v>
      </c>
      <c r="W51" s="2"/>
      <c r="X51" s="6">
        <f t="shared" si="34"/>
        <v>4616.79</v>
      </c>
      <c r="Y51" s="2"/>
      <c r="Z51" s="7">
        <f t="shared" si="35"/>
        <v>2.2752783239942636</v>
      </c>
    </row>
    <row r="52" spans="1:26" s="27" customFormat="1" outlineLevel="1" collapsed="1" x14ac:dyDescent="0.25">
      <c r="A52" s="25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SUM(OSRRefD22_8x_0)</f>
        <v>206.55</v>
      </c>
      <c r="E52" s="1"/>
      <c r="F52" s="5">
        <f t="shared" ref="F52:F54" si="36">IF(D$12=0,0,D52/D$12)</f>
        <v>3.7908945850498349E-3</v>
      </c>
      <c r="G52" s="1"/>
      <c r="H52" s="1">
        <f>SUM(OSRRefH22_8x_0)</f>
        <v>426.65</v>
      </c>
      <c r="I52" s="1"/>
      <c r="J52" s="5">
        <f t="shared" ref="J52:J54" si="37">IF(H$12=0,0,H52/H$12)</f>
        <v>7.4738965426330919E-3</v>
      </c>
      <c r="K52" s="1"/>
      <c r="L52" s="1">
        <f t="shared" ref="L52:L54" si="38">+D52-H52</f>
        <v>-220.09999999999997</v>
      </c>
      <c r="M52" s="1"/>
      <c r="N52" s="5">
        <f t="shared" ref="N52:N54" si="39">IF(H52=0,0,L52/H52)</f>
        <v>-0.5158795265440056</v>
      </c>
      <c r="O52" s="13"/>
      <c r="P52" s="1">
        <f>SUM(OSRRefP22_8x_0)</f>
        <v>273.77</v>
      </c>
      <c r="Q52" s="1"/>
      <c r="R52" s="5">
        <f t="shared" ref="R52:R54" si="40">IF(P$12=0,0,P52/P$12)</f>
        <v>2.1078103779076035E-3</v>
      </c>
      <c r="S52" s="1"/>
      <c r="T52" s="1">
        <f>SUM(OSRRefT22_8x_0)</f>
        <v>687.87</v>
      </c>
      <c r="U52" s="1"/>
      <c r="V52" s="5">
        <f t="shared" ref="V52:V54" si="41">IF(T$12=0,0,T52/T$12)</f>
        <v>5.0084318468609727E-3</v>
      </c>
      <c r="W52" s="1"/>
      <c r="X52" s="1">
        <f t="shared" ref="X52:X54" si="42">+P52-T52</f>
        <v>-414.1</v>
      </c>
      <c r="Y52" s="1"/>
      <c r="Z52" s="5">
        <f t="shared" ref="Z52:Z54" si="43">IF(T52=0,0,X52/T52)</f>
        <v>-0.60200328550452853</v>
      </c>
    </row>
    <row r="53" spans="1:26" s="24" customFormat="1" hidden="1" outlineLevel="2" x14ac:dyDescent="0.25">
      <c r="A53" s="26"/>
      <c r="B53" s="11" t="str">
        <f>CONCATENATE("          ", "6285", " - ", "JANITORIAL SERVICES")</f>
        <v xml:space="preserve">          6285 - JANITORIAL SERVICES</v>
      </c>
      <c r="C53" s="11"/>
      <c r="D53" s="6"/>
      <c r="E53" s="2"/>
      <c r="F53" s="7">
        <f t="shared" si="36"/>
        <v>0</v>
      </c>
      <c r="G53" s="2"/>
      <c r="H53" s="6">
        <v>338</v>
      </c>
      <c r="I53" s="2"/>
      <c r="J53" s="7">
        <f t="shared" si="37"/>
        <v>5.9209587048165598E-3</v>
      </c>
      <c r="K53" s="2"/>
      <c r="L53" s="6">
        <f t="shared" si="38"/>
        <v>-338</v>
      </c>
      <c r="M53" s="2"/>
      <c r="N53" s="7">
        <f t="shared" si="39"/>
        <v>-1</v>
      </c>
      <c r="O53" s="11"/>
      <c r="P53" s="6"/>
      <c r="Q53" s="2"/>
      <c r="R53" s="7">
        <f t="shared" si="40"/>
        <v>0</v>
      </c>
      <c r="S53" s="2"/>
      <c r="T53" s="6">
        <v>338</v>
      </c>
      <c r="U53" s="2"/>
      <c r="V53" s="7">
        <f t="shared" si="41"/>
        <v>2.4610027537747083E-3</v>
      </c>
      <c r="W53" s="2"/>
      <c r="X53" s="6">
        <f t="shared" si="42"/>
        <v>-338</v>
      </c>
      <c r="Y53" s="2"/>
      <c r="Z53" s="7">
        <f t="shared" si="43"/>
        <v>-1</v>
      </c>
    </row>
    <row r="54" spans="1:26" s="24" customFormat="1" hidden="1" outlineLevel="2" x14ac:dyDescent="0.25">
      <c r="A54" s="26"/>
      <c r="B54" s="11" t="str">
        <f>CONCATENATE("          ", "6286", " - ", "LAUNDRY EXPENSE")</f>
        <v xml:space="preserve">          6286 - LAUNDRY EXPENSE</v>
      </c>
      <c r="C54" s="11"/>
      <c r="D54" s="6">
        <v>206.55</v>
      </c>
      <c r="E54" s="2"/>
      <c r="F54" s="7">
        <f t="shared" si="36"/>
        <v>3.7908945850498349E-3</v>
      </c>
      <c r="G54" s="2"/>
      <c r="H54" s="6">
        <v>88.65</v>
      </c>
      <c r="I54" s="2"/>
      <c r="J54" s="7">
        <f t="shared" si="37"/>
        <v>1.5529378378165328E-3</v>
      </c>
      <c r="K54" s="2"/>
      <c r="L54" s="6">
        <f t="shared" si="38"/>
        <v>117.9</v>
      </c>
      <c r="M54" s="2"/>
      <c r="N54" s="7">
        <f t="shared" si="39"/>
        <v>1.3299492385786802</v>
      </c>
      <c r="O54" s="11"/>
      <c r="P54" s="6">
        <v>273.77</v>
      </c>
      <c r="Q54" s="2"/>
      <c r="R54" s="7">
        <f t="shared" si="40"/>
        <v>2.1078103779076035E-3</v>
      </c>
      <c r="S54" s="2"/>
      <c r="T54" s="6">
        <v>349.87</v>
      </c>
      <c r="U54" s="2"/>
      <c r="V54" s="7">
        <f t="shared" si="41"/>
        <v>2.5474290930862639E-3</v>
      </c>
      <c r="W54" s="2"/>
      <c r="X54" s="6">
        <f t="shared" si="42"/>
        <v>-76.100000000000023</v>
      </c>
      <c r="Y54" s="2"/>
      <c r="Z54" s="7">
        <f t="shared" si="43"/>
        <v>-0.21750936061965878</v>
      </c>
    </row>
    <row r="55" spans="1:26" s="27" customFormat="1" outlineLevel="1" collapsed="1" x14ac:dyDescent="0.25">
      <c r="A55" s="25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SUM(OSRRefD22_9x_0)</f>
        <v>599.79000000000008</v>
      </c>
      <c r="E55" s="1"/>
      <c r="F55" s="5">
        <f t="shared" ref="F55:F60" si="44">IF(D$12=0,0,D55/D$12)</f>
        <v>1.1008185248932658E-2</v>
      </c>
      <c r="G55" s="1"/>
      <c r="H55" s="1">
        <f>SUM(OSRRefH22_9x_0)</f>
        <v>1219.3399999999999</v>
      </c>
      <c r="I55" s="1"/>
      <c r="J55" s="5">
        <f t="shared" ref="J55:J60" si="45">IF(H$12=0,0,H55/H$12)</f>
        <v>2.1359946115772261E-2</v>
      </c>
      <c r="K55" s="1"/>
      <c r="L55" s="1">
        <f t="shared" ref="L55:L60" si="46">+D55-H55</f>
        <v>-619.54999999999984</v>
      </c>
      <c r="M55" s="1"/>
      <c r="N55" s="5">
        <f t="shared" ref="N55:N60" si="47">IF(H55=0,0,L55/H55)</f>
        <v>-0.50810274410746792</v>
      </c>
      <c r="O55" s="13"/>
      <c r="P55" s="1">
        <f>SUM(OSRRefP22_9x_0)</f>
        <v>2389.8199999999997</v>
      </c>
      <c r="Q55" s="1"/>
      <c r="R55" s="5">
        <f t="shared" ref="R55:R60" si="48">IF(P$12=0,0,P55/P$12)</f>
        <v>1.8399705582536979E-2</v>
      </c>
      <c r="S55" s="1"/>
      <c r="T55" s="1">
        <f>SUM(OSRRefT22_9x_0)</f>
        <v>2632.06</v>
      </c>
      <c r="U55" s="1"/>
      <c r="V55" s="5">
        <f t="shared" ref="V55:V60" si="49">IF(T$12=0,0,T55/T$12)</f>
        <v>1.91642216215984E-2</v>
      </c>
      <c r="W55" s="1"/>
      <c r="X55" s="1">
        <f t="shared" ref="X55:X60" si="50">+P55-T55</f>
        <v>-242.24000000000024</v>
      </c>
      <c r="Y55" s="1"/>
      <c r="Z55" s="5">
        <f t="shared" ref="Z55:Z60" si="51">IF(T55=0,0,X55/T55)</f>
        <v>-9.2034376116046077E-2</v>
      </c>
    </row>
    <row r="56" spans="1:26" s="24" customFormat="1" hidden="1" outlineLevel="2" x14ac:dyDescent="0.25">
      <c r="A56" s="26"/>
      <c r="B56" s="11" t="str">
        <f>CONCATENATE("          ", "6239", " - ", "KITCHEN SUPPLIES")</f>
        <v xml:space="preserve">          6239 - KITCHEN SUPPLIES</v>
      </c>
      <c r="C56" s="11"/>
      <c r="D56" s="6"/>
      <c r="E56" s="2"/>
      <c r="F56" s="7">
        <f t="shared" si="44"/>
        <v>0</v>
      </c>
      <c r="G56" s="2"/>
      <c r="H56" s="6">
        <v>352.48</v>
      </c>
      <c r="I56" s="2"/>
      <c r="J56" s="7">
        <f t="shared" si="45"/>
        <v>6.1746139771412462E-3</v>
      </c>
      <c r="K56" s="2"/>
      <c r="L56" s="6">
        <f t="shared" si="46"/>
        <v>-352.48</v>
      </c>
      <c r="M56" s="2"/>
      <c r="N56" s="7">
        <f t="shared" si="47"/>
        <v>-1</v>
      </c>
      <c r="O56" s="11"/>
      <c r="P56" s="6">
        <v>540.89</v>
      </c>
      <c r="Q56" s="2"/>
      <c r="R56" s="7">
        <f t="shared" si="48"/>
        <v>4.1644210662470094E-3</v>
      </c>
      <c r="S56" s="2"/>
      <c r="T56" s="6">
        <v>373.33</v>
      </c>
      <c r="U56" s="2"/>
      <c r="V56" s="7">
        <f t="shared" si="49"/>
        <v>2.7182430712032893E-3</v>
      </c>
      <c r="W56" s="2"/>
      <c r="X56" s="6">
        <f t="shared" si="50"/>
        <v>167.56</v>
      </c>
      <c r="Y56" s="2"/>
      <c r="Z56" s="7">
        <f t="shared" si="51"/>
        <v>0.44882543594139235</v>
      </c>
    </row>
    <row r="57" spans="1:26" s="24" customFormat="1" hidden="1" outlineLevel="2" x14ac:dyDescent="0.25">
      <c r="A57" s="26"/>
      <c r="B57" s="11" t="str">
        <f>CONCATENATE("          ", "6241", " - ", "OFFICE EXPENSE")</f>
        <v xml:space="preserve">          6241 - OFFICE EXPENSE</v>
      </c>
      <c r="C57" s="11"/>
      <c r="D57" s="6">
        <v>237.09</v>
      </c>
      <c r="E57" s="2"/>
      <c r="F57" s="7">
        <f t="shared" si="44"/>
        <v>4.3514073937035358E-3</v>
      </c>
      <c r="G57" s="2"/>
      <c r="H57" s="6">
        <v>175.03</v>
      </c>
      <c r="I57" s="2"/>
      <c r="J57" s="7">
        <f t="shared" si="45"/>
        <v>3.0661106571125518E-3</v>
      </c>
      <c r="K57" s="2"/>
      <c r="L57" s="6">
        <f t="shared" si="46"/>
        <v>62.06</v>
      </c>
      <c r="M57" s="2"/>
      <c r="N57" s="7">
        <f t="shared" si="47"/>
        <v>0.354567788379135</v>
      </c>
      <c r="O57" s="11"/>
      <c r="P57" s="6">
        <v>419.47</v>
      </c>
      <c r="Q57" s="2"/>
      <c r="R57" s="7">
        <f t="shared" si="48"/>
        <v>3.2295840275446634E-3</v>
      </c>
      <c r="S57" s="2"/>
      <c r="T57" s="6">
        <v>568.19000000000005</v>
      </c>
      <c r="U57" s="2"/>
      <c r="V57" s="7">
        <f t="shared" si="49"/>
        <v>4.1370330019741171E-3</v>
      </c>
      <c r="W57" s="2"/>
      <c r="X57" s="6">
        <f t="shared" si="50"/>
        <v>-148.72000000000003</v>
      </c>
      <c r="Y57" s="2"/>
      <c r="Z57" s="7">
        <f t="shared" si="51"/>
        <v>-0.26174343089459512</v>
      </c>
    </row>
    <row r="58" spans="1:26" s="24" customFormat="1" hidden="1" outlineLevel="2" x14ac:dyDescent="0.25">
      <c r="A58" s="26"/>
      <c r="B58" s="11" t="str">
        <f>CONCATENATE("          ", "6243", " - ", "PAPER SUPPLIES")</f>
        <v xml:space="preserve">          6243 - PAPER SUPPLIES</v>
      </c>
      <c r="C58" s="11"/>
      <c r="D58" s="6">
        <v>319.72000000000003</v>
      </c>
      <c r="E58" s="2"/>
      <c r="F58" s="7">
        <f t="shared" si="44"/>
        <v>5.8679487617145157E-3</v>
      </c>
      <c r="G58" s="2"/>
      <c r="H58" s="6">
        <v>393</v>
      </c>
      <c r="I58" s="2"/>
      <c r="J58" s="7">
        <f t="shared" si="45"/>
        <v>6.8844283165470652E-3</v>
      </c>
      <c r="K58" s="2"/>
      <c r="L58" s="6">
        <f t="shared" si="46"/>
        <v>-73.279999999999973</v>
      </c>
      <c r="M58" s="2"/>
      <c r="N58" s="7">
        <f t="shared" si="47"/>
        <v>-0.18646310432569968</v>
      </c>
      <c r="O58" s="11"/>
      <c r="P58" s="6">
        <v>691.24</v>
      </c>
      <c r="Q58" s="2"/>
      <c r="R58" s="7">
        <f t="shared" si="48"/>
        <v>5.3219960025746131E-3</v>
      </c>
      <c r="S58" s="2"/>
      <c r="T58" s="6">
        <v>883.35</v>
      </c>
      <c r="U58" s="2"/>
      <c r="V58" s="7">
        <f t="shared" si="49"/>
        <v>6.4317360430381325E-3</v>
      </c>
      <c r="W58" s="2"/>
      <c r="X58" s="6">
        <f t="shared" si="50"/>
        <v>-192.11</v>
      </c>
      <c r="Y58" s="2"/>
      <c r="Z58" s="7">
        <f t="shared" si="51"/>
        <v>-0.21747891549216053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6">
        <v>42.98</v>
      </c>
      <c r="E59" s="2"/>
      <c r="F59" s="7">
        <f t="shared" si="44"/>
        <v>7.88829093514606E-4</v>
      </c>
      <c r="G59" s="2"/>
      <c r="H59" s="6">
        <v>298.83</v>
      </c>
      <c r="I59" s="2"/>
      <c r="J59" s="7">
        <f t="shared" si="45"/>
        <v>5.2347931649713983E-3</v>
      </c>
      <c r="K59" s="2"/>
      <c r="L59" s="6">
        <f t="shared" si="46"/>
        <v>-255.85</v>
      </c>
      <c r="M59" s="2"/>
      <c r="N59" s="7">
        <f t="shared" si="47"/>
        <v>-0.85617240571562425</v>
      </c>
      <c r="O59" s="11"/>
      <c r="P59" s="6">
        <v>42.98</v>
      </c>
      <c r="Q59" s="2"/>
      <c r="R59" s="7">
        <f t="shared" si="48"/>
        <v>3.3091167784077437E-4</v>
      </c>
      <c r="S59" s="2"/>
      <c r="T59" s="6">
        <v>298.83</v>
      </c>
      <c r="U59" s="2"/>
      <c r="V59" s="7">
        <f t="shared" si="49"/>
        <v>2.1758031151198108E-3</v>
      </c>
      <c r="W59" s="2"/>
      <c r="X59" s="6">
        <f t="shared" si="50"/>
        <v>-255.85</v>
      </c>
      <c r="Y59" s="2"/>
      <c r="Z59" s="7">
        <f t="shared" si="51"/>
        <v>-0.85617240571562425</v>
      </c>
    </row>
    <row r="60" spans="1:26" s="24" customFormat="1" hidden="1" outlineLevel="2" x14ac:dyDescent="0.25">
      <c r="A60" s="26"/>
      <c r="B60" s="11" t="str">
        <f>CONCATENATE("          ", "6248", " - ", "UNIFORMS")</f>
        <v xml:space="preserve">          6248 - UNIFORMS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695.24</v>
      </c>
      <c r="Q60" s="2"/>
      <c r="R60" s="7">
        <f t="shared" si="48"/>
        <v>5.3527928083299207E-3</v>
      </c>
      <c r="S60" s="2"/>
      <c r="T60" s="6">
        <v>508.36</v>
      </c>
      <c r="U60" s="2"/>
      <c r="V60" s="7">
        <f t="shared" si="49"/>
        <v>3.7014063902630497E-3</v>
      </c>
      <c r="W60" s="2"/>
      <c r="X60" s="6">
        <f t="shared" si="50"/>
        <v>186.88</v>
      </c>
      <c r="Y60" s="2"/>
      <c r="Z60" s="7">
        <f t="shared" si="51"/>
        <v>0.36761350224250527</v>
      </c>
    </row>
    <row r="61" spans="1:26" s="27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71</v>
      </c>
      <c r="E61" s="1"/>
      <c r="F61" s="5">
        <f t="shared" ref="F61:F62" si="52">IF(D$12=0,0,D61/D$12)</f>
        <v>1.3030913364247797E-3</v>
      </c>
      <c r="G61" s="1"/>
      <c r="H61" s="1">
        <f>SUM(OSRRefH22_10x_0)</f>
        <v>71</v>
      </c>
      <c r="I61" s="1"/>
      <c r="J61" s="5">
        <f t="shared" ref="J61:J62" si="53">IF(H$12=0,0,H61/H$12)</f>
        <v>1.2437516805975614E-3</v>
      </c>
      <c r="K61" s="1"/>
      <c r="L61" s="1">
        <f t="shared" ref="L61:L62" si="54">+D61-H61</f>
        <v>0</v>
      </c>
      <c r="M61" s="1"/>
      <c r="N61" s="5">
        <f t="shared" ref="N61:N62" si="55">IF(H61=0,0,L61/H61)</f>
        <v>0</v>
      </c>
      <c r="O61" s="13"/>
      <c r="P61" s="1">
        <f>SUM(OSRRefP22_10x_0)</f>
        <v>284</v>
      </c>
      <c r="Q61" s="1"/>
      <c r="R61" s="5">
        <f t="shared" ref="R61:R62" si="56">IF(P$12=0,0,P61/P$12)</f>
        <v>2.1865732086268014E-3</v>
      </c>
      <c r="S61" s="1"/>
      <c r="T61" s="1">
        <f>SUM(OSRRefT22_10x_0)</f>
        <v>284</v>
      </c>
      <c r="U61" s="1"/>
      <c r="V61" s="5">
        <f t="shared" ref="V61:V62" si="57">IF(T$12=0,0,T61/T$12)</f>
        <v>2.0678247990296365E-3</v>
      </c>
      <c r="W61" s="1"/>
      <c r="X61" s="1">
        <f t="shared" ref="X61:X62" si="58">+P61-T61</f>
        <v>0</v>
      </c>
      <c r="Y61" s="1"/>
      <c r="Z61" s="5">
        <f t="shared" ref="Z61:Z62" si="59">IF(T61=0,0,X61/T61)</f>
        <v>0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71</v>
      </c>
      <c r="E62" s="2"/>
      <c r="F62" s="7">
        <f t="shared" si="52"/>
        <v>1.3030913364247797E-3</v>
      </c>
      <c r="G62" s="2"/>
      <c r="H62" s="6">
        <v>71</v>
      </c>
      <c r="I62" s="2"/>
      <c r="J62" s="7">
        <f t="shared" si="53"/>
        <v>1.2437516805975614E-3</v>
      </c>
      <c r="K62" s="2"/>
      <c r="L62" s="6">
        <f t="shared" si="54"/>
        <v>0</v>
      </c>
      <c r="M62" s="2"/>
      <c r="N62" s="7">
        <f t="shared" si="55"/>
        <v>0</v>
      </c>
      <c r="O62" s="11"/>
      <c r="P62" s="6">
        <v>284</v>
      </c>
      <c r="Q62" s="2"/>
      <c r="R62" s="7">
        <f t="shared" si="56"/>
        <v>2.1865732086268014E-3</v>
      </c>
      <c r="S62" s="2"/>
      <c r="T62" s="6">
        <v>284</v>
      </c>
      <c r="U62" s="2"/>
      <c r="V62" s="7">
        <f t="shared" si="57"/>
        <v>2.0678247990296365E-3</v>
      </c>
      <c r="W62" s="2"/>
      <c r="X62" s="6">
        <f t="shared" si="58"/>
        <v>0</v>
      </c>
      <c r="Y62" s="2"/>
      <c r="Z62" s="7">
        <f t="shared" si="59"/>
        <v>0</v>
      </c>
    </row>
    <row r="63" spans="1:26" s="55" customFormat="1" x14ac:dyDescent="0.25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9" t="s">
        <v>0</v>
      </c>
      <c r="C64" s="10"/>
      <c r="D64" s="4">
        <f>SUM(OSRRefD25x_0)</f>
        <v>143</v>
      </c>
      <c r="E64" s="4"/>
      <c r="F64" s="12">
        <f t="shared" ref="F64:F65" si="60">IF(D$12=0,0,D64/D$12)</f>
        <v>2.6245360719541339E-3</v>
      </c>
      <c r="G64" s="4"/>
      <c r="H64" s="4">
        <f>SUM(OSRRefH25x_0)</f>
        <v>1866</v>
      </c>
      <c r="I64" s="4"/>
      <c r="J64" s="12">
        <f t="shared" ref="J64:J65" si="61">IF(H$12=0,0,H64/H$12)</f>
        <v>3.2687896281620415E-2</v>
      </c>
      <c r="K64" s="4"/>
      <c r="L64" s="4">
        <f t="shared" ref="L64:L65" si="62">+D64-H64</f>
        <v>-1723</v>
      </c>
      <c r="M64" s="4"/>
      <c r="N64" s="12">
        <f t="shared" ref="N64:N65" si="63">IF(H64=0,0,L64/H64)</f>
        <v>-0.92336548767416937</v>
      </c>
      <c r="O64" s="10"/>
      <c r="P64" s="4">
        <f>SUM(OSRRefP25x_0)</f>
        <v>279</v>
      </c>
      <c r="Q64" s="4"/>
      <c r="R64" s="12">
        <f t="shared" ref="R64:R65" si="64">IF(P$12=0,0,P64/P$12)</f>
        <v>2.1480772014326674E-3</v>
      </c>
      <c r="S64" s="4"/>
      <c r="T64" s="4">
        <f>SUM(OSRRefT25x_0)</f>
        <v>4212</v>
      </c>
      <c r="U64" s="4"/>
      <c r="V64" s="12">
        <f t="shared" ref="V64:V65" si="65">IF(T$12=0,0,T64/T$12)</f>
        <v>3.0667880470115597E-2</v>
      </c>
      <c r="W64" s="4"/>
      <c r="X64" s="4">
        <f t="shared" ref="X64:X65" si="66">+P64-T64</f>
        <v>-3933</v>
      </c>
      <c r="Y64" s="4"/>
      <c r="Z64" s="12">
        <f t="shared" ref="Z64:Z65" si="67">IF(T64=0,0,X64/T64)</f>
        <v>-0.93376068376068377</v>
      </c>
    </row>
    <row r="65" spans="1:26" s="24" customFormat="1" hidden="1" outlineLevel="1" x14ac:dyDescent="0.25">
      <c r="A65" s="44"/>
      <c r="B65" s="11" t="str">
        <f>CONCATENATE("          ", "9150", " - ", "MISC. INCOME")</f>
        <v xml:space="preserve">          9150 - MISC. INCOME</v>
      </c>
      <c r="C65" s="11"/>
      <c r="D65" s="2">
        <f>--143</f>
        <v>143</v>
      </c>
      <c r="E65" s="2"/>
      <c r="F65" s="19">
        <f t="shared" si="60"/>
        <v>2.6245360719541339E-3</v>
      </c>
      <c r="G65" s="2"/>
      <c r="H65" s="2">
        <f>--1866</f>
        <v>1866</v>
      </c>
      <c r="I65" s="2"/>
      <c r="J65" s="19">
        <f t="shared" si="61"/>
        <v>3.2687896281620415E-2</v>
      </c>
      <c r="K65" s="2"/>
      <c r="L65" s="2">
        <f t="shared" si="62"/>
        <v>-1723</v>
      </c>
      <c r="M65" s="2"/>
      <c r="N65" s="19">
        <f t="shared" si="63"/>
        <v>-0.92336548767416937</v>
      </c>
      <c r="O65" s="11"/>
      <c r="P65" s="2">
        <f>--279</f>
        <v>279</v>
      </c>
      <c r="Q65" s="2"/>
      <c r="R65" s="19">
        <f t="shared" si="64"/>
        <v>2.1480772014326674E-3</v>
      </c>
      <c r="S65" s="2"/>
      <c r="T65" s="2">
        <f>--4212</f>
        <v>4212</v>
      </c>
      <c r="U65" s="2"/>
      <c r="V65" s="19">
        <f t="shared" si="65"/>
        <v>3.0667880470115597E-2</v>
      </c>
      <c r="W65" s="2"/>
      <c r="X65" s="2">
        <f t="shared" si="66"/>
        <v>-3933</v>
      </c>
      <c r="Y65" s="2"/>
      <c r="Z65" s="19">
        <f t="shared" si="67"/>
        <v>-0.93376068376068377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8" t="s">
        <v>3</v>
      </c>
      <c r="C67" s="28"/>
      <c r="D67" s="21">
        <f>+D20-D22+D64</f>
        <v>10831.330000000002</v>
      </c>
      <c r="E67" s="14"/>
      <c r="F67" s="22">
        <f>IF(D$12=0,0,D67/D$12)</f>
        <v>0.19879172232334946</v>
      </c>
      <c r="G67" s="14"/>
      <c r="H67" s="21">
        <f>+H20-H22+H64</f>
        <v>12817.170000000006</v>
      </c>
      <c r="I67" s="14"/>
      <c r="J67" s="22">
        <f>IF(H$12=0,0,H67/H$12)</f>
        <v>0.22452643278879794</v>
      </c>
      <c r="K67" s="16"/>
      <c r="L67" s="21">
        <f>+D67-H67</f>
        <v>-1985.8400000000038</v>
      </c>
      <c r="M67" s="16"/>
      <c r="N67" s="22">
        <f>IF(H67=0,0,L67/H67)</f>
        <v>-0.15493591799125728</v>
      </c>
      <c r="O67" s="29"/>
      <c r="P67" s="21">
        <f>+P20-P22+P64</f>
        <v>4506</v>
      </c>
      <c r="Q67" s="14"/>
      <c r="R67" s="22">
        <f>IF(P$12=0,0,P67/P$12)</f>
        <v>3.4692601683353405E-2</v>
      </c>
      <c r="S67" s="14"/>
      <c r="T67" s="21">
        <f>+T20-T22+T64</f>
        <v>20429.47</v>
      </c>
      <c r="U67" s="14"/>
      <c r="V67" s="22">
        <f>IF(T$12=0,0,T67/T$12)</f>
        <v>0.14874846724307039</v>
      </c>
      <c r="W67" s="16"/>
      <c r="X67" s="21">
        <f>+P67-T67</f>
        <v>-15923.470000000001</v>
      </c>
      <c r="Y67" s="16"/>
      <c r="Z67" s="22">
        <f>IF(T67=0,0,X67/T67)</f>
        <v>-0.77943627514565972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4975.6899999999996</v>
      </c>
      <c r="E69" s="4"/>
      <c r="F69" s="12">
        <f>IF(D$12=0,0,D69/D$12)</f>
        <v>9.1320824390639599E-2</v>
      </c>
      <c r="G69" s="4"/>
      <c r="H69" s="4">
        <v>5482.89</v>
      </c>
      <c r="I69" s="4"/>
      <c r="J69" s="12">
        <f>IF(H$12=0,0,H69/H$12)</f>
        <v>9.6047234535655834E-2</v>
      </c>
      <c r="K69" s="4"/>
      <c r="L69" s="4">
        <f>+D69-H69</f>
        <v>-507.20000000000073</v>
      </c>
      <c r="M69" s="4"/>
      <c r="N69" s="12">
        <f>IF(H69=0,0,L69/H69)</f>
        <v>-9.2505959448393224E-2</v>
      </c>
      <c r="O69" s="10"/>
      <c r="P69" s="4">
        <v>13074.41</v>
      </c>
      <c r="Q69" s="4"/>
      <c r="R69" s="12">
        <f>IF(P$12=0,0,P69/P$12)</f>
        <v>0.10066251628381105</v>
      </c>
      <c r="S69" s="4"/>
      <c r="T69" s="4">
        <v>12613.5</v>
      </c>
      <c r="U69" s="4"/>
      <c r="V69" s="12">
        <f>IF(T$12=0,0,T69/T$12)</f>
        <v>9.1839817262536344E-2</v>
      </c>
      <c r="W69" s="4"/>
      <c r="X69" s="4">
        <f>+P69-T69</f>
        <v>460.90999999999985</v>
      </c>
      <c r="Y69" s="4"/>
      <c r="Z69" s="12">
        <f>IF(T69=0,0,X69/T69)</f>
        <v>3.6541007650533149E-2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4</v>
      </c>
      <c r="C71" s="28"/>
      <c r="D71" s="31">
        <f>+D67-D69</f>
        <v>5855.6400000000021</v>
      </c>
      <c r="E71" s="14"/>
      <c r="F71" s="34">
        <f>IF(D$12=0,0,D71/D$12)</f>
        <v>0.10747089793270986</v>
      </c>
      <c r="G71" s="14"/>
      <c r="H71" s="31">
        <f>+H67-H69</f>
        <v>7334.2800000000052</v>
      </c>
      <c r="I71" s="14"/>
      <c r="J71" s="34">
        <f>IF(H$12=0,0,H71/H$12)</f>
        <v>0.12847919825314211</v>
      </c>
      <c r="K71" s="16"/>
      <c r="L71" s="31">
        <f>D71-H71</f>
        <v>-1478.6400000000031</v>
      </c>
      <c r="M71" s="16"/>
      <c r="N71" s="34">
        <f>IF(H71=0,0,L71/H71)</f>
        <v>-0.20160670168032882</v>
      </c>
      <c r="O71" s="29"/>
      <c r="P71" s="31">
        <f>+P67-P69</f>
        <v>-8568.41</v>
      </c>
      <c r="Q71" s="14"/>
      <c r="R71" s="34">
        <f>IF(P$12=0,0,P71/P$12)</f>
        <v>-6.5969914600457646E-2</v>
      </c>
      <c r="S71" s="14"/>
      <c r="T71" s="31">
        <f>+T67-T69</f>
        <v>7815.9700000000012</v>
      </c>
      <c r="U71" s="14"/>
      <c r="V71" s="34">
        <f>IF(T$12=0,0,T71/T$12)</f>
        <v>5.6908649980534055E-2</v>
      </c>
      <c r="W71" s="16"/>
      <c r="X71" s="31">
        <f>P71-T71</f>
        <v>-16384.38</v>
      </c>
      <c r="Y71" s="16"/>
      <c r="Z71" s="34">
        <f>IF(T71=0,0,X71/T71)</f>
        <v>-2.0962695609118254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5</v>
      </c>
      <c r="C74" s="28"/>
      <c r="D74" s="36">
        <f>SUM(D71:D73)</f>
        <v>5855.6400000000021</v>
      </c>
      <c r="E74" s="14"/>
      <c r="F74" s="33">
        <f>IF(D$12=0,0,D74/D$12)</f>
        <v>0.10747089793270986</v>
      </c>
      <c r="G74" s="14"/>
      <c r="H74" s="36">
        <f>SUM(H71:H73)</f>
        <v>7334.2800000000052</v>
      </c>
      <c r="I74" s="14"/>
      <c r="J74" s="33">
        <f>IF(H$12=0,0,H74/H$12)</f>
        <v>0.12847919825314211</v>
      </c>
      <c r="K74" s="16"/>
      <c r="L74" s="36">
        <f>+D74-H74</f>
        <v>-1478.6400000000031</v>
      </c>
      <c r="M74" s="16"/>
      <c r="N74" s="33">
        <f>IF(H74=0,0,L74/H74)</f>
        <v>-0.20160670168032882</v>
      </c>
      <c r="O74" s="29"/>
      <c r="P74" s="36">
        <f>SUM(P71:P73)</f>
        <v>-8568.41</v>
      </c>
      <c r="Q74" s="14"/>
      <c r="R74" s="33">
        <f>IF(P$12=0,0,P74/P$12)</f>
        <v>-6.5969914600457646E-2</v>
      </c>
      <c r="S74" s="14"/>
      <c r="T74" s="36">
        <f>SUM(T71:T73)</f>
        <v>7815.9700000000012</v>
      </c>
      <c r="U74" s="14"/>
      <c r="V74" s="33">
        <f>IF(T$12=0,0,T74/T$12)</f>
        <v>5.6908649980534055E-2</v>
      </c>
      <c r="W74" s="16"/>
      <c r="X74" s="36">
        <f>+P74-T74</f>
        <v>-16384.38</v>
      </c>
      <c r="Y74" s="16"/>
      <c r="Z74" s="33">
        <f>IF(T74=0,0,X74/T74)</f>
        <v>-2.0962695609118254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61">
        <v>43791.355621261573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6" t="s">
        <v>313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7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","414", " - ", "Starbucks UDP")</f>
        <v>Department 414 - Starbucks UDP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117328.67</v>
      </c>
      <c r="E12" s="4"/>
      <c r="F12" s="12"/>
      <c r="G12" s="4"/>
      <c r="H12" s="4">
        <f>SUM(OSRRefH13x_0)</f>
        <v>118367.51000000001</v>
      </c>
      <c r="I12" s="4"/>
      <c r="J12" s="12"/>
      <c r="K12" s="4"/>
      <c r="L12" s="4">
        <f t="shared" ref="L12:L14" si="0">+D12-H12</f>
        <v>-1038.8400000000111</v>
      </c>
      <c r="M12" s="4"/>
      <c r="N12" s="12">
        <f t="shared" ref="N12:N14" si="1">IF(H12=0,0,L12/H12)</f>
        <v>-8.7763948063113856E-3</v>
      </c>
      <c r="O12" s="10"/>
      <c r="P12" s="4">
        <f>SUM(OSRRefP13x_0)</f>
        <v>271866.2</v>
      </c>
      <c r="Q12" s="4"/>
      <c r="R12" s="12"/>
      <c r="S12" s="4"/>
      <c r="T12" s="4">
        <f>SUM(OSRRefT13x_0)</f>
        <v>307083.49</v>
      </c>
      <c r="U12" s="4"/>
      <c r="V12" s="12"/>
      <c r="W12" s="4"/>
      <c r="X12" s="4">
        <f t="shared" ref="X12:X14" si="2">+P12-T12</f>
        <v>-35217.289999999979</v>
      </c>
      <c r="Y12" s="4"/>
      <c r="Z12" s="12">
        <f t="shared" ref="Z12:Z14" si="3">IF(T12=0,0,X12/T12)</f>
        <v>-0.11468311109789713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--21855.03</f>
        <v>21855.03</v>
      </c>
      <c r="E13" s="2"/>
      <c r="F13" s="19"/>
      <c r="G13" s="2"/>
      <c r="H13" s="2">
        <f>--27897.29</f>
        <v>27897.29</v>
      </c>
      <c r="I13" s="2"/>
      <c r="J13" s="19"/>
      <c r="K13" s="2"/>
      <c r="L13" s="2">
        <f t="shared" si="0"/>
        <v>-6042.260000000002</v>
      </c>
      <c r="M13" s="2"/>
      <c r="N13" s="19">
        <f t="shared" si="1"/>
        <v>-0.21658949668587887</v>
      </c>
      <c r="O13" s="11"/>
      <c r="P13" s="2">
        <f>--64145.93</f>
        <v>64145.93</v>
      </c>
      <c r="Q13" s="2"/>
      <c r="R13" s="19"/>
      <c r="S13" s="2"/>
      <c r="T13" s="2">
        <f>--93588.92</f>
        <v>93588.92</v>
      </c>
      <c r="U13" s="2"/>
      <c r="V13" s="19"/>
      <c r="W13" s="2"/>
      <c r="X13" s="2">
        <f t="shared" si="2"/>
        <v>-29442.989999999998</v>
      </c>
      <c r="Y13" s="2"/>
      <c r="Z13" s="19">
        <f t="shared" si="3"/>
        <v>-0.3145990999789291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>--95473.64</f>
        <v>95473.64</v>
      </c>
      <c r="E14" s="2"/>
      <c r="F14" s="19"/>
      <c r="G14" s="2"/>
      <c r="H14" s="2">
        <f>--90470.22</f>
        <v>90470.22</v>
      </c>
      <c r="I14" s="2"/>
      <c r="J14" s="19"/>
      <c r="K14" s="2"/>
      <c r="L14" s="2">
        <f t="shared" si="0"/>
        <v>5003.4199999999983</v>
      </c>
      <c r="M14" s="2"/>
      <c r="N14" s="19">
        <f t="shared" si="1"/>
        <v>5.5304607416672563E-2</v>
      </c>
      <c r="O14" s="11"/>
      <c r="P14" s="2">
        <f>--207720.27</f>
        <v>207720.27</v>
      </c>
      <c r="Q14" s="2"/>
      <c r="R14" s="19"/>
      <c r="S14" s="2"/>
      <c r="T14" s="2">
        <f>--213494.57</f>
        <v>213494.57</v>
      </c>
      <c r="U14" s="2"/>
      <c r="V14" s="19"/>
      <c r="W14" s="2"/>
      <c r="X14" s="2">
        <f t="shared" si="2"/>
        <v>-5774.3000000000175</v>
      </c>
      <c r="Y14" s="2"/>
      <c r="Z14" s="19">
        <f t="shared" si="3"/>
        <v>-2.7046589522159825E-2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30425.61</v>
      </c>
      <c r="E16" s="4"/>
      <c r="F16" s="12">
        <f t="shared" ref="F16:F18" si="4">IF(D$12=0,0,D16/D$12)</f>
        <v>0.25931948261239135</v>
      </c>
      <c r="G16" s="4"/>
      <c r="H16" s="4">
        <f>SUM(OSRRefH16x_0)</f>
        <v>34326.74</v>
      </c>
      <c r="I16" s="4"/>
      <c r="J16" s="12">
        <f t="shared" ref="J16:J18" si="5">IF(H$12=0,0,H16/H$12)</f>
        <v>0.29000136946363064</v>
      </c>
      <c r="K16" s="4"/>
      <c r="L16" s="4">
        <f t="shared" ref="L16:L18" si="6">+D16-H16</f>
        <v>-3901.1299999999974</v>
      </c>
      <c r="M16" s="4"/>
      <c r="N16" s="12">
        <f t="shared" ref="N16:N18" si="7">IF(H16=0,0,L16/H16)</f>
        <v>-0.11364697026283292</v>
      </c>
      <c r="O16" s="10"/>
      <c r="P16" s="4">
        <f>SUM(OSRRefP16x_0)</f>
        <v>92355.51</v>
      </c>
      <c r="Q16" s="4"/>
      <c r="R16" s="12">
        <f t="shared" ref="R16:R18" si="8">IF(P$12=0,0,P16/P$12)</f>
        <v>0.33970942323834297</v>
      </c>
      <c r="S16" s="4"/>
      <c r="T16" s="4">
        <f>SUM(OSRRefT16x_0)</f>
        <v>103940.41</v>
      </c>
      <c r="U16" s="4"/>
      <c r="V16" s="12">
        <f t="shared" ref="V16:V18" si="9">IF(T$12=0,0,T16/T$12)</f>
        <v>0.33847606069606673</v>
      </c>
      <c r="W16" s="4"/>
      <c r="X16" s="4">
        <f t="shared" ref="X16:X18" si="10">+P16-T16</f>
        <v>-11584.900000000009</v>
      </c>
      <c r="Y16" s="4"/>
      <c r="Z16" s="12">
        <f t="shared" ref="Z16:Z18" si="11">IF(T16=0,0,X16/T16)</f>
        <v>-0.11145713202401268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37612.61</v>
      </c>
      <c r="E17" s="2"/>
      <c r="F17" s="19">
        <f t="shared" si="4"/>
        <v>0.3205747580706404</v>
      </c>
      <c r="G17" s="2"/>
      <c r="H17" s="2">
        <v>38224.74</v>
      </c>
      <c r="I17" s="2"/>
      <c r="J17" s="19">
        <f t="shared" si="5"/>
        <v>0.32293270340822405</v>
      </c>
      <c r="K17" s="2"/>
      <c r="L17" s="2">
        <f t="shared" si="6"/>
        <v>-612.12999999999738</v>
      </c>
      <c r="M17" s="2"/>
      <c r="N17" s="19">
        <f t="shared" si="7"/>
        <v>-1.6013974195769477E-2</v>
      </c>
      <c r="O17" s="11"/>
      <c r="P17" s="2">
        <v>89048.51</v>
      </c>
      <c r="Q17" s="2"/>
      <c r="R17" s="19">
        <f t="shared" si="8"/>
        <v>0.32754535135298168</v>
      </c>
      <c r="S17" s="2"/>
      <c r="T17" s="2">
        <v>108380.41</v>
      </c>
      <c r="U17" s="2"/>
      <c r="V17" s="19">
        <f t="shared" si="9"/>
        <v>0.35293466933048079</v>
      </c>
      <c r="W17" s="2"/>
      <c r="X17" s="2">
        <f t="shared" si="10"/>
        <v>-19331.900000000009</v>
      </c>
      <c r="Y17" s="2"/>
      <c r="Z17" s="19">
        <f t="shared" si="11"/>
        <v>-0.1783707959768745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-7187</v>
      </c>
      <c r="E18" s="2"/>
      <c r="F18" s="19">
        <f t="shared" si="4"/>
        <v>-6.1255275458249041E-2</v>
      </c>
      <c r="G18" s="2"/>
      <c r="H18" s="2">
        <v>-3898</v>
      </c>
      <c r="I18" s="2"/>
      <c r="J18" s="19">
        <f t="shared" si="5"/>
        <v>-3.2931333944593411E-2</v>
      </c>
      <c r="K18" s="2"/>
      <c r="L18" s="2">
        <f t="shared" si="6"/>
        <v>-3289</v>
      </c>
      <c r="M18" s="2"/>
      <c r="N18" s="19">
        <f t="shared" si="7"/>
        <v>0.84376603386351978</v>
      </c>
      <c r="O18" s="11"/>
      <c r="P18" s="2">
        <v>3307</v>
      </c>
      <c r="Q18" s="2"/>
      <c r="R18" s="19">
        <f t="shared" si="8"/>
        <v>1.2164071885361255E-2</v>
      </c>
      <c r="S18" s="2"/>
      <c r="T18" s="2">
        <v>-4440</v>
      </c>
      <c r="U18" s="2"/>
      <c r="V18" s="19">
        <f t="shared" si="9"/>
        <v>-1.4458608634414049E-2</v>
      </c>
      <c r="W18" s="2"/>
      <c r="X18" s="2">
        <f t="shared" si="10"/>
        <v>7747</v>
      </c>
      <c r="Y18" s="2"/>
      <c r="Z18" s="19">
        <f t="shared" si="11"/>
        <v>-1.7448198198198199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86903.06</v>
      </c>
      <c r="E20" s="14"/>
      <c r="F20" s="22">
        <f>IF(D$12=0,0,D20/D$12)</f>
        <v>0.74068051738760865</v>
      </c>
      <c r="G20" s="14"/>
      <c r="H20" s="21">
        <f>H12-H16</f>
        <v>84040.770000000019</v>
      </c>
      <c r="I20" s="14"/>
      <c r="J20" s="22">
        <f>IF(H$12=0,0,H20/H$12)</f>
        <v>0.70999863053636947</v>
      </c>
      <c r="K20" s="16"/>
      <c r="L20" s="21">
        <f>+D20-H20</f>
        <v>2862.289999999979</v>
      </c>
      <c r="M20" s="16"/>
      <c r="N20" s="22">
        <f>IF(H20=0,0,L20/H20)</f>
        <v>3.4058350488697077E-2</v>
      </c>
      <c r="O20" s="29"/>
      <c r="P20" s="21">
        <f>P12-P16</f>
        <v>179510.69</v>
      </c>
      <c r="Q20" s="14"/>
      <c r="R20" s="22">
        <f>IF(P$12=0,0,P20/P$12)</f>
        <v>0.66029057676165703</v>
      </c>
      <c r="S20" s="14"/>
      <c r="T20" s="21">
        <f>T12-T16</f>
        <v>203143.08</v>
      </c>
      <c r="U20" s="14"/>
      <c r="V20" s="22">
        <f>IF(T$12=0,0,T20/T$12)</f>
        <v>0.66152393930393327</v>
      </c>
      <c r="W20" s="16"/>
      <c r="X20" s="21">
        <f>+P20-T20</f>
        <v>-23632.389999999985</v>
      </c>
      <c r="Y20" s="16"/>
      <c r="Z20" s="22">
        <f>IF(T20=0,0,X20/T20)</f>
        <v>-0.11633371907130671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47383.26</v>
      </c>
      <c r="E22" s="20"/>
      <c r="F22" s="35">
        <f t="shared" ref="F22:F31" si="12">IF(D$12=0,0,D22/D$12)</f>
        <v>0.40385065304157969</v>
      </c>
      <c r="G22" s="20"/>
      <c r="H22" s="20">
        <f>SUM(OSRRefH22x_0)</f>
        <v>51265.380000000005</v>
      </c>
      <c r="I22" s="20"/>
      <c r="J22" s="35">
        <f t="shared" ref="J22:J31" si="13">IF(H$12=0,0,H22/H$12)</f>
        <v>0.43310347577641872</v>
      </c>
      <c r="K22" s="4"/>
      <c r="L22" s="20">
        <f t="shared" ref="L22:L31" si="14">+D22-H22</f>
        <v>-3882.1200000000026</v>
      </c>
      <c r="M22" s="4"/>
      <c r="N22" s="35">
        <f t="shared" ref="N22:N31" si="15">IF(H22=0,0,L22/H22)</f>
        <v>-7.572595775160551E-2</v>
      </c>
      <c r="O22" s="10"/>
      <c r="P22" s="20">
        <f>SUM(OSRRefP22x_0)</f>
        <v>139054.48000000001</v>
      </c>
      <c r="Q22" s="20"/>
      <c r="R22" s="35">
        <f t="shared" ref="R22:R31" si="16">IF(P$12=0,0,P22/P$12)</f>
        <v>0.51148130955595072</v>
      </c>
      <c r="S22" s="20"/>
      <c r="T22" s="20">
        <f>SUM(OSRRefT22x_0)</f>
        <v>150152.08000000002</v>
      </c>
      <c r="U22" s="20"/>
      <c r="V22" s="35">
        <f t="shared" ref="V22:V31" si="17">IF(T$12=0,0,T22/T$12)</f>
        <v>0.48896174782955615</v>
      </c>
      <c r="W22" s="4"/>
      <c r="X22" s="20">
        <f t="shared" ref="X22:X31" si="18">+P22-T22</f>
        <v>-11097.600000000006</v>
      </c>
      <c r="Y22" s="4"/>
      <c r="Z22" s="35">
        <f t="shared" ref="Z22:Z31" si="19">IF(T22=0,0,X22/T22)</f>
        <v>-7.3909066061555756E-2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1737.2800000000002</v>
      </c>
      <c r="E23" s="1"/>
      <c r="F23" s="5">
        <f t="shared" si="12"/>
        <v>1.4806952128580339E-2</v>
      </c>
      <c r="G23" s="1"/>
      <c r="H23" s="1">
        <f>SUM(OSRRefH22_0x_0)</f>
        <v>4822.13</v>
      </c>
      <c r="I23" s="1"/>
      <c r="J23" s="5">
        <f t="shared" si="13"/>
        <v>4.07386283617861E-2</v>
      </c>
      <c r="K23" s="1"/>
      <c r="L23" s="1">
        <f t="shared" si="14"/>
        <v>-3084.85</v>
      </c>
      <c r="M23" s="1"/>
      <c r="N23" s="5">
        <f t="shared" si="15"/>
        <v>-0.63972767221124271</v>
      </c>
      <c r="O23" s="13"/>
      <c r="P23" s="1">
        <f>SUM(OSRRefP22_0x_0)</f>
        <v>9681.65</v>
      </c>
      <c r="Q23" s="1"/>
      <c r="R23" s="5">
        <f t="shared" si="16"/>
        <v>3.5611819343485875E-2</v>
      </c>
      <c r="S23" s="1"/>
      <c r="T23" s="1">
        <f>SUM(OSRRefT22_0x_0)</f>
        <v>14101.089999999998</v>
      </c>
      <c r="U23" s="1"/>
      <c r="V23" s="5">
        <f t="shared" si="17"/>
        <v>4.591940126771387E-2</v>
      </c>
      <c r="W23" s="1"/>
      <c r="X23" s="1">
        <f t="shared" si="18"/>
        <v>-4419.4399999999987</v>
      </c>
      <c r="Y23" s="1"/>
      <c r="Z23" s="5">
        <f t="shared" si="19"/>
        <v>-0.313411232748674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652.94000000000005</v>
      </c>
      <c r="E24" s="2"/>
      <c r="F24" s="7">
        <f t="shared" si="12"/>
        <v>5.5650507246012429E-3</v>
      </c>
      <c r="G24" s="2"/>
      <c r="H24" s="6">
        <v>982.9</v>
      </c>
      <c r="I24" s="2"/>
      <c r="J24" s="7">
        <f t="shared" si="13"/>
        <v>8.3037989056287485E-3</v>
      </c>
      <c r="K24" s="2"/>
      <c r="L24" s="6">
        <f t="shared" si="14"/>
        <v>-329.95999999999992</v>
      </c>
      <c r="M24" s="2"/>
      <c r="N24" s="7">
        <f t="shared" si="15"/>
        <v>-0.33570047817682364</v>
      </c>
      <c r="O24" s="11"/>
      <c r="P24" s="6">
        <v>2898.63</v>
      </c>
      <c r="Q24" s="2"/>
      <c r="R24" s="7">
        <f t="shared" si="16"/>
        <v>1.0661972690978136E-2</v>
      </c>
      <c r="S24" s="2"/>
      <c r="T24" s="6">
        <v>3456.06</v>
      </c>
      <c r="U24" s="2"/>
      <c r="V24" s="7">
        <f t="shared" si="17"/>
        <v>1.1254463729065994E-2</v>
      </c>
      <c r="W24" s="2"/>
      <c r="X24" s="6">
        <f t="shared" si="18"/>
        <v>-557.42999999999984</v>
      </c>
      <c r="Y24" s="2"/>
      <c r="Z24" s="7">
        <f t="shared" si="19"/>
        <v>-0.16129060259370492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-427.93</v>
      </c>
      <c r="E25" s="2"/>
      <c r="F25" s="7">
        <f t="shared" si="12"/>
        <v>-3.6472756403017267E-3</v>
      </c>
      <c r="G25" s="2"/>
      <c r="H25" s="6">
        <v>1805.73</v>
      </c>
      <c r="I25" s="2"/>
      <c r="J25" s="7">
        <f t="shared" si="13"/>
        <v>1.5255284156944755E-2</v>
      </c>
      <c r="K25" s="2"/>
      <c r="L25" s="6">
        <f t="shared" si="14"/>
        <v>-2233.66</v>
      </c>
      <c r="M25" s="2"/>
      <c r="N25" s="7">
        <f t="shared" si="15"/>
        <v>-1.2369844882679026</v>
      </c>
      <c r="O25" s="11"/>
      <c r="P25" s="6">
        <v>1457.73</v>
      </c>
      <c r="Q25" s="2"/>
      <c r="R25" s="7">
        <f t="shared" si="16"/>
        <v>5.3619390714991413E-3</v>
      </c>
      <c r="S25" s="2"/>
      <c r="T25" s="6">
        <v>2908.1</v>
      </c>
      <c r="U25" s="2"/>
      <c r="V25" s="7">
        <f t="shared" si="17"/>
        <v>9.4700630112025883E-3</v>
      </c>
      <c r="W25" s="2"/>
      <c r="X25" s="6">
        <f t="shared" si="18"/>
        <v>-1450.37</v>
      </c>
      <c r="Y25" s="2"/>
      <c r="Z25" s="7">
        <f t="shared" si="19"/>
        <v>-0.49873456896255286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650.39</v>
      </c>
      <c r="E26" s="2"/>
      <c r="F26" s="7">
        <f t="shared" si="12"/>
        <v>5.5433169062599963E-3</v>
      </c>
      <c r="G26" s="2"/>
      <c r="H26" s="6">
        <v>720.58</v>
      </c>
      <c r="I26" s="2"/>
      <c r="J26" s="7">
        <f t="shared" si="13"/>
        <v>6.0876502344266595E-3</v>
      </c>
      <c r="K26" s="2"/>
      <c r="L26" s="6">
        <f t="shared" si="14"/>
        <v>-70.190000000000055</v>
      </c>
      <c r="M26" s="2"/>
      <c r="N26" s="7">
        <f t="shared" si="15"/>
        <v>-9.7407643842460312E-2</v>
      </c>
      <c r="O26" s="11"/>
      <c r="P26" s="6">
        <v>2601.56</v>
      </c>
      <c r="Q26" s="2"/>
      <c r="R26" s="7">
        <f t="shared" si="16"/>
        <v>9.5692660580829828E-3</v>
      </c>
      <c r="S26" s="2"/>
      <c r="T26" s="6">
        <v>2441.2800000000002</v>
      </c>
      <c r="U26" s="2"/>
      <c r="V26" s="7">
        <f t="shared" si="17"/>
        <v>7.949890109689715E-3</v>
      </c>
      <c r="W26" s="2"/>
      <c r="X26" s="6">
        <f t="shared" si="18"/>
        <v>160.27999999999975</v>
      </c>
      <c r="Y26" s="2"/>
      <c r="Z26" s="7">
        <f t="shared" si="19"/>
        <v>6.5654083103945368E-2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55.46</v>
      </c>
      <c r="E27" s="2"/>
      <c r="F27" s="7">
        <f t="shared" si="12"/>
        <v>4.7268924125706021E-4</v>
      </c>
      <c r="G27" s="2"/>
      <c r="H27" s="6">
        <v>70.66</v>
      </c>
      <c r="I27" s="2"/>
      <c r="J27" s="7">
        <f t="shared" si="13"/>
        <v>5.9695435005771428E-4</v>
      </c>
      <c r="K27" s="2"/>
      <c r="L27" s="6">
        <f t="shared" si="14"/>
        <v>-15.199999999999996</v>
      </c>
      <c r="M27" s="2"/>
      <c r="N27" s="7">
        <f t="shared" si="15"/>
        <v>-0.21511463345598636</v>
      </c>
      <c r="O27" s="11"/>
      <c r="P27" s="6">
        <v>181.82</v>
      </c>
      <c r="Q27" s="2"/>
      <c r="R27" s="7">
        <f t="shared" si="16"/>
        <v>6.6878486549633602E-4</v>
      </c>
      <c r="S27" s="2"/>
      <c r="T27" s="6">
        <v>216.03</v>
      </c>
      <c r="U27" s="2"/>
      <c r="V27" s="7">
        <f t="shared" si="17"/>
        <v>7.0348946470551058E-4</v>
      </c>
      <c r="W27" s="2"/>
      <c r="X27" s="6">
        <f t="shared" si="18"/>
        <v>-34.210000000000008</v>
      </c>
      <c r="Y27" s="2"/>
      <c r="Z27" s="7">
        <f t="shared" si="19"/>
        <v>-0.15835763551358611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2"/>
        <v>0</v>
      </c>
      <c r="G28" s="2"/>
      <c r="H28" s="6">
        <v>792.84</v>
      </c>
      <c r="I28" s="2"/>
      <c r="J28" s="7">
        <f t="shared" si="13"/>
        <v>6.698121807242545E-3</v>
      </c>
      <c r="K28" s="2"/>
      <c r="L28" s="6">
        <f t="shared" si="14"/>
        <v>-792.84</v>
      </c>
      <c r="M28" s="2"/>
      <c r="N28" s="7">
        <f t="shared" si="15"/>
        <v>-1</v>
      </c>
      <c r="O28" s="11"/>
      <c r="P28" s="6"/>
      <c r="Q28" s="2"/>
      <c r="R28" s="7">
        <f t="shared" si="16"/>
        <v>0</v>
      </c>
      <c r="S28" s="2"/>
      <c r="T28" s="6">
        <v>2239.64</v>
      </c>
      <c r="U28" s="2"/>
      <c r="V28" s="7">
        <f t="shared" si="17"/>
        <v>7.2932608653106029E-3</v>
      </c>
      <c r="W28" s="2"/>
      <c r="X28" s="6">
        <f t="shared" si="18"/>
        <v>-2239.64</v>
      </c>
      <c r="Y28" s="2"/>
      <c r="Z28" s="7">
        <f t="shared" si="19"/>
        <v>-1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288.75</v>
      </c>
      <c r="E29" s="2"/>
      <c r="F29" s="7">
        <f t="shared" si="12"/>
        <v>2.4610353121705037E-3</v>
      </c>
      <c r="G29" s="2"/>
      <c r="H29" s="6"/>
      <c r="I29" s="2"/>
      <c r="J29" s="7">
        <f t="shared" si="13"/>
        <v>0</v>
      </c>
      <c r="K29" s="2"/>
      <c r="L29" s="6">
        <f t="shared" si="14"/>
        <v>288.75</v>
      </c>
      <c r="M29" s="2"/>
      <c r="N29" s="7">
        <f t="shared" si="15"/>
        <v>0</v>
      </c>
      <c r="O29" s="11"/>
      <c r="P29" s="6">
        <v>866.25</v>
      </c>
      <c r="Q29" s="2"/>
      <c r="R29" s="7">
        <f t="shared" si="16"/>
        <v>3.1863100304488014E-3</v>
      </c>
      <c r="S29" s="2"/>
      <c r="T29" s="6">
        <v>573.96</v>
      </c>
      <c r="U29" s="2"/>
      <c r="V29" s="7">
        <f t="shared" si="17"/>
        <v>1.8690682459027675E-3</v>
      </c>
      <c r="W29" s="2"/>
      <c r="X29" s="6">
        <f t="shared" si="18"/>
        <v>292.28999999999996</v>
      </c>
      <c r="Y29" s="2"/>
      <c r="Z29" s="7">
        <f t="shared" si="19"/>
        <v>0.509251515785072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345.93</v>
      </c>
      <c r="E30" s="2"/>
      <c r="F30" s="7">
        <f t="shared" si="12"/>
        <v>2.9483842269753847E-3</v>
      </c>
      <c r="G30" s="2"/>
      <c r="H30" s="6">
        <v>305.25</v>
      </c>
      <c r="I30" s="2"/>
      <c r="J30" s="7">
        <f t="shared" si="13"/>
        <v>2.5788326543322569E-3</v>
      </c>
      <c r="K30" s="2"/>
      <c r="L30" s="6">
        <f t="shared" si="14"/>
        <v>40.680000000000007</v>
      </c>
      <c r="M30" s="2"/>
      <c r="N30" s="7">
        <f t="shared" si="15"/>
        <v>0.13326781326781328</v>
      </c>
      <c r="O30" s="11"/>
      <c r="P30" s="6">
        <v>1037.79</v>
      </c>
      <c r="Q30" s="2"/>
      <c r="R30" s="7">
        <f t="shared" si="16"/>
        <v>3.8172821777771562E-3</v>
      </c>
      <c r="S30" s="2"/>
      <c r="T30" s="6">
        <v>1677.05</v>
      </c>
      <c r="U30" s="2"/>
      <c r="V30" s="7">
        <f t="shared" si="17"/>
        <v>5.4612183807081259E-3</v>
      </c>
      <c r="W30" s="2"/>
      <c r="X30" s="6">
        <f t="shared" si="18"/>
        <v>-639.26</v>
      </c>
      <c r="Y30" s="2"/>
      <c r="Z30" s="7">
        <f t="shared" si="19"/>
        <v>-0.38118124086938376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171.74</v>
      </c>
      <c r="E31" s="2"/>
      <c r="F31" s="7">
        <f t="shared" si="12"/>
        <v>1.4637513576178781E-3</v>
      </c>
      <c r="G31" s="2"/>
      <c r="H31" s="6">
        <v>144.16999999999999</v>
      </c>
      <c r="I31" s="2"/>
      <c r="J31" s="7">
        <f t="shared" si="13"/>
        <v>1.21798625315342E-3</v>
      </c>
      <c r="K31" s="2"/>
      <c r="L31" s="6">
        <f t="shared" si="14"/>
        <v>27.570000000000022</v>
      </c>
      <c r="M31" s="2"/>
      <c r="N31" s="7">
        <f t="shared" si="15"/>
        <v>0.19123257265727978</v>
      </c>
      <c r="O31" s="11"/>
      <c r="P31" s="6">
        <v>637.87</v>
      </c>
      <c r="Q31" s="2"/>
      <c r="R31" s="7">
        <f t="shared" si="16"/>
        <v>2.3462644492033211E-3</v>
      </c>
      <c r="S31" s="2"/>
      <c r="T31" s="6">
        <v>588.97</v>
      </c>
      <c r="U31" s="2"/>
      <c r="V31" s="7">
        <f t="shared" si="17"/>
        <v>1.9179474611285682E-3</v>
      </c>
      <c r="W31" s="2"/>
      <c r="X31" s="6">
        <f t="shared" si="18"/>
        <v>48.899999999999977</v>
      </c>
      <c r="Y31" s="2"/>
      <c r="Z31" s="7">
        <f t="shared" si="19"/>
        <v>8.3026300151111218E-2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28225.86</v>
      </c>
      <c r="E32" s="1"/>
      <c r="F32" s="5">
        <f t="shared" ref="F32:F38" si="20">IF(D$12=0,0,D32/D$12)</f>
        <v>0.24057086814331058</v>
      </c>
      <c r="G32" s="1"/>
      <c r="H32" s="1">
        <f>SUM(OSRRefH22_1x_0)</f>
        <v>28610.37</v>
      </c>
      <c r="I32" s="1"/>
      <c r="J32" s="5">
        <f t="shared" ref="J32:J38" si="21">IF(H$12=0,0,H32/H$12)</f>
        <v>0.24170796530230296</v>
      </c>
      <c r="K32" s="1"/>
      <c r="L32" s="1">
        <f t="shared" ref="L32:L38" si="22">+D32-H32</f>
        <v>-384.5099999999984</v>
      </c>
      <c r="M32" s="1"/>
      <c r="N32" s="5">
        <f t="shared" ref="N32:N38" si="23">IF(H32=0,0,L32/H32)</f>
        <v>-1.3439532589057689E-2</v>
      </c>
      <c r="O32" s="13"/>
      <c r="P32" s="1">
        <f>SUM(OSRRefP22_1x_0)</f>
        <v>81303.100000000006</v>
      </c>
      <c r="Q32" s="1"/>
      <c r="R32" s="5">
        <f t="shared" ref="R32:R38" si="24">IF(P$12=0,0,P32/P$12)</f>
        <v>0.29905556483299506</v>
      </c>
      <c r="S32" s="1"/>
      <c r="T32" s="1">
        <f>SUM(OSRRefT22_1x_0)</f>
        <v>82910.170000000013</v>
      </c>
      <c r="U32" s="1"/>
      <c r="V32" s="5">
        <f t="shared" ref="V32:V38" si="25">IF(T$12=0,0,T32/T$12)</f>
        <v>0.26999227473935511</v>
      </c>
      <c r="W32" s="1"/>
      <c r="X32" s="1">
        <f t="shared" ref="X32:X38" si="26">+P32-T32</f>
        <v>-1607.070000000007</v>
      </c>
      <c r="Y32" s="1"/>
      <c r="Z32" s="5">
        <f t="shared" ref="Z32:Z38" si="27">IF(T32=0,0,X32/T32)</f>
        <v>-1.9383267456815088E-2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0"/>
        <v>0</v>
      </c>
      <c r="G33" s="2"/>
      <c r="H33" s="6">
        <v>5514.58</v>
      </c>
      <c r="I33" s="2"/>
      <c r="J33" s="7">
        <f t="shared" si="21"/>
        <v>4.6588628923595665E-2</v>
      </c>
      <c r="K33" s="2"/>
      <c r="L33" s="6">
        <f t="shared" si="22"/>
        <v>-5514.58</v>
      </c>
      <c r="M33" s="2"/>
      <c r="N33" s="7">
        <f t="shared" si="23"/>
        <v>-1</v>
      </c>
      <c r="O33" s="11"/>
      <c r="P33" s="6"/>
      <c r="Q33" s="2"/>
      <c r="R33" s="7">
        <f t="shared" si="24"/>
        <v>0</v>
      </c>
      <c r="S33" s="2"/>
      <c r="T33" s="6">
        <v>19632.150000000001</v>
      </c>
      <c r="U33" s="2"/>
      <c r="V33" s="7">
        <f t="shared" si="25"/>
        <v>6.3930985022998155E-2</v>
      </c>
      <c r="W33" s="2"/>
      <c r="X33" s="6">
        <f t="shared" si="26"/>
        <v>-19632.150000000001</v>
      </c>
      <c r="Y33" s="2"/>
      <c r="Z33" s="7">
        <f t="shared" si="27"/>
        <v>-1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8535.16</v>
      </c>
      <c r="E34" s="2"/>
      <c r="F34" s="7">
        <f t="shared" si="20"/>
        <v>7.274573213861539E-2</v>
      </c>
      <c r="G34" s="2"/>
      <c r="H34" s="6"/>
      <c r="I34" s="2"/>
      <c r="J34" s="7">
        <f t="shared" si="21"/>
        <v>0</v>
      </c>
      <c r="K34" s="2"/>
      <c r="L34" s="6">
        <f t="shared" si="22"/>
        <v>8535.16</v>
      </c>
      <c r="M34" s="2"/>
      <c r="N34" s="7">
        <f t="shared" si="23"/>
        <v>0</v>
      </c>
      <c r="O34" s="11"/>
      <c r="P34" s="6">
        <v>25070.31</v>
      </c>
      <c r="Q34" s="2"/>
      <c r="R34" s="7">
        <f t="shared" si="24"/>
        <v>9.221561930096496E-2</v>
      </c>
      <c r="S34" s="2"/>
      <c r="T34" s="6"/>
      <c r="U34" s="2"/>
      <c r="V34" s="7">
        <f t="shared" si="25"/>
        <v>0</v>
      </c>
      <c r="W34" s="2"/>
      <c r="X34" s="6">
        <f t="shared" si="26"/>
        <v>25070.31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0"/>
        <v>0</v>
      </c>
      <c r="G35" s="2"/>
      <c r="H35" s="6">
        <v>2189.56</v>
      </c>
      <c r="I35" s="2"/>
      <c r="J35" s="7">
        <f t="shared" si="21"/>
        <v>1.8497981413987671E-2</v>
      </c>
      <c r="K35" s="2"/>
      <c r="L35" s="6">
        <f t="shared" si="22"/>
        <v>-2189.56</v>
      </c>
      <c r="M35" s="2"/>
      <c r="N35" s="7">
        <f t="shared" si="23"/>
        <v>-1</v>
      </c>
      <c r="O35" s="11"/>
      <c r="P35" s="6">
        <v>1997.5</v>
      </c>
      <c r="Q35" s="2"/>
      <c r="R35" s="7">
        <f t="shared" si="24"/>
        <v>7.3473642549165726E-3</v>
      </c>
      <c r="S35" s="2"/>
      <c r="T35" s="6">
        <v>7630.01</v>
      </c>
      <c r="U35" s="2"/>
      <c r="V35" s="7">
        <f t="shared" si="25"/>
        <v>2.4846695600600346E-2</v>
      </c>
      <c r="W35" s="2"/>
      <c r="X35" s="6">
        <f t="shared" si="26"/>
        <v>-5632.51</v>
      </c>
      <c r="Y35" s="2"/>
      <c r="Z35" s="7">
        <f t="shared" si="27"/>
        <v>-0.7382047992073405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29.25</v>
      </c>
      <c r="Q36" s="2"/>
      <c r="R36" s="7">
        <f t="shared" si="24"/>
        <v>1.0758968933982966E-4</v>
      </c>
      <c r="S36" s="2"/>
      <c r="T36" s="6"/>
      <c r="U36" s="2"/>
      <c r="V36" s="7">
        <f t="shared" si="25"/>
        <v>0</v>
      </c>
      <c r="W36" s="2"/>
      <c r="X36" s="6">
        <f t="shared" si="26"/>
        <v>29.25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19690.7</v>
      </c>
      <c r="E37" s="2"/>
      <c r="F37" s="7">
        <f t="shared" si="20"/>
        <v>0.1678251360046952</v>
      </c>
      <c r="G37" s="2"/>
      <c r="H37" s="6">
        <v>20031.73</v>
      </c>
      <c r="I37" s="2"/>
      <c r="J37" s="7">
        <f t="shared" si="21"/>
        <v>0.16923334790095693</v>
      </c>
      <c r="K37" s="2"/>
      <c r="L37" s="6">
        <f t="shared" si="22"/>
        <v>-341.02999999999884</v>
      </c>
      <c r="M37" s="2"/>
      <c r="N37" s="7">
        <f t="shared" si="23"/>
        <v>-1.7024490645590713E-2</v>
      </c>
      <c r="O37" s="11"/>
      <c r="P37" s="6">
        <v>54206.04</v>
      </c>
      <c r="Q37" s="2"/>
      <c r="R37" s="7">
        <f t="shared" si="24"/>
        <v>0.19938499158777367</v>
      </c>
      <c r="S37" s="2"/>
      <c r="T37" s="6">
        <v>54198.76</v>
      </c>
      <c r="U37" s="2"/>
      <c r="V37" s="7">
        <f t="shared" si="25"/>
        <v>0.17649519353840873</v>
      </c>
      <c r="W37" s="2"/>
      <c r="X37" s="6">
        <f t="shared" si="26"/>
        <v>7.2799999999988358</v>
      </c>
      <c r="Y37" s="2"/>
      <c r="Z37" s="7">
        <f t="shared" si="27"/>
        <v>1.343204161866219E-4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874.5</v>
      </c>
      <c r="I38" s="2"/>
      <c r="J38" s="7">
        <f t="shared" si="21"/>
        <v>7.388007063762682E-3</v>
      </c>
      <c r="K38" s="2"/>
      <c r="L38" s="6">
        <f t="shared" si="22"/>
        <v>-874.5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1449.25</v>
      </c>
      <c r="U38" s="2"/>
      <c r="V38" s="7">
        <f t="shared" si="25"/>
        <v>4.7194005773478738E-3</v>
      </c>
      <c r="W38" s="2"/>
      <c r="X38" s="6">
        <f t="shared" si="26"/>
        <v>-1449.25</v>
      </c>
      <c r="Y38" s="2"/>
      <c r="Z38" s="7">
        <f t="shared" si="27"/>
        <v>-1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48.68</v>
      </c>
      <c r="E39" s="1"/>
      <c r="F39" s="5">
        <f t="shared" ref="F39:F53" si="28">IF(D$12=0,0,D39/D$12)</f>
        <v>4.1490285366739435E-4</v>
      </c>
      <c r="G39" s="1"/>
      <c r="H39" s="1">
        <f>SUM(OSRRefH22_2x_0)</f>
        <v>433.48</v>
      </c>
      <c r="I39" s="1"/>
      <c r="J39" s="5">
        <f t="shared" ref="J39:J53" si="29">IF(H$12=0,0,H39/H$12)</f>
        <v>3.6621535757574014E-3</v>
      </c>
      <c r="K39" s="1"/>
      <c r="L39" s="1">
        <f t="shared" ref="L39:L53" si="30">+D39-H39</f>
        <v>-384.8</v>
      </c>
      <c r="M39" s="1"/>
      <c r="N39" s="5">
        <f t="shared" ref="N39:N53" si="31">IF(H39=0,0,L39/H39)</f>
        <v>-0.88769954784534466</v>
      </c>
      <c r="O39" s="13"/>
      <c r="P39" s="1">
        <f>SUM(OSRRefP22_2x_0)</f>
        <v>579.89</v>
      </c>
      <c r="Q39" s="1"/>
      <c r="R39" s="5">
        <f t="shared" ref="R39:R53" si="32">IF(P$12=0,0,P39/P$12)</f>
        <v>2.1329977761119254E-3</v>
      </c>
      <c r="S39" s="1"/>
      <c r="T39" s="1">
        <f>SUM(OSRRefT22_2x_0)</f>
        <v>511.48</v>
      </c>
      <c r="U39" s="1"/>
      <c r="V39" s="5">
        <f t="shared" ref="V39:V53" si="33">IF(T$12=0,0,T39/T$12)</f>
        <v>1.6656056631374095E-3</v>
      </c>
      <c r="W39" s="1"/>
      <c r="X39" s="1">
        <f t="shared" ref="X39:X53" si="34">+P39-T39</f>
        <v>68.409999999999968</v>
      </c>
      <c r="Y39" s="1"/>
      <c r="Z39" s="5">
        <f t="shared" ref="Z39:Z53" si="35">IF(T39=0,0,X39/T39)</f>
        <v>0.13374912020020327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48.68</v>
      </c>
      <c r="E40" s="2"/>
      <c r="F40" s="7">
        <f t="shared" si="28"/>
        <v>4.1490285366739435E-4</v>
      </c>
      <c r="G40" s="2"/>
      <c r="H40" s="6">
        <v>433.48</v>
      </c>
      <c r="I40" s="2"/>
      <c r="J40" s="7">
        <f t="shared" si="29"/>
        <v>3.6621535757574014E-3</v>
      </c>
      <c r="K40" s="2"/>
      <c r="L40" s="6">
        <f t="shared" si="30"/>
        <v>-384.8</v>
      </c>
      <c r="M40" s="2"/>
      <c r="N40" s="7">
        <f t="shared" si="31"/>
        <v>-0.88769954784534466</v>
      </c>
      <c r="O40" s="11"/>
      <c r="P40" s="6">
        <v>579.89</v>
      </c>
      <c r="Q40" s="2"/>
      <c r="R40" s="7">
        <f t="shared" si="32"/>
        <v>2.1329977761119254E-3</v>
      </c>
      <c r="S40" s="2"/>
      <c r="T40" s="6">
        <v>511.48</v>
      </c>
      <c r="U40" s="2"/>
      <c r="V40" s="7">
        <f t="shared" si="33"/>
        <v>1.6656056631374095E-3</v>
      </c>
      <c r="W40" s="2"/>
      <c r="X40" s="6">
        <f t="shared" si="34"/>
        <v>68.409999999999968</v>
      </c>
      <c r="Y40" s="2"/>
      <c r="Z40" s="7">
        <f t="shared" si="35"/>
        <v>0.13374912020020327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1.68</v>
      </c>
      <c r="E41" s="1"/>
      <c r="F41" s="5">
        <f t="shared" si="28"/>
        <v>1.4318750907173839E-5</v>
      </c>
      <c r="G41" s="1"/>
      <c r="H41" s="1">
        <f>SUM(OSRRefH22_3x_0)</f>
        <v>13.05</v>
      </c>
      <c r="I41" s="1"/>
      <c r="J41" s="5">
        <f t="shared" si="29"/>
        <v>1.1024984812132991E-4</v>
      </c>
      <c r="K41" s="1"/>
      <c r="L41" s="1">
        <f t="shared" si="30"/>
        <v>-11.370000000000001</v>
      </c>
      <c r="M41" s="1"/>
      <c r="N41" s="5">
        <f t="shared" si="31"/>
        <v>-0.87126436781609196</v>
      </c>
      <c r="O41" s="13"/>
      <c r="P41" s="1">
        <f>SUM(OSRRefP22_3x_0)</f>
        <v>1.88</v>
      </c>
      <c r="Q41" s="1"/>
      <c r="R41" s="5">
        <f t="shared" si="32"/>
        <v>6.9151663575685388E-6</v>
      </c>
      <c r="S41" s="1"/>
      <c r="T41" s="1">
        <f>SUM(OSRRefT22_3x_0)</f>
        <v>64.17</v>
      </c>
      <c r="U41" s="1"/>
      <c r="V41" s="5">
        <f t="shared" si="33"/>
        <v>2.0896597208791657E-4</v>
      </c>
      <c r="W41" s="1"/>
      <c r="X41" s="1">
        <f t="shared" si="34"/>
        <v>-62.29</v>
      </c>
      <c r="Y41" s="1"/>
      <c r="Z41" s="5">
        <f t="shared" si="35"/>
        <v>-0.97070282063269442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1.68</v>
      </c>
      <c r="E42" s="2"/>
      <c r="F42" s="7">
        <f t="shared" si="28"/>
        <v>1.4318750907173839E-5</v>
      </c>
      <c r="G42" s="2"/>
      <c r="H42" s="6">
        <v>13.05</v>
      </c>
      <c r="I42" s="2"/>
      <c r="J42" s="7">
        <f t="shared" si="29"/>
        <v>1.1024984812132991E-4</v>
      </c>
      <c r="K42" s="2"/>
      <c r="L42" s="6">
        <f t="shared" si="30"/>
        <v>-11.370000000000001</v>
      </c>
      <c r="M42" s="2"/>
      <c r="N42" s="7">
        <f t="shared" si="31"/>
        <v>-0.87126436781609196</v>
      </c>
      <c r="O42" s="11"/>
      <c r="P42" s="6">
        <v>1.88</v>
      </c>
      <c r="Q42" s="2"/>
      <c r="R42" s="7">
        <f t="shared" si="32"/>
        <v>6.9151663575685388E-6</v>
      </c>
      <c r="S42" s="2"/>
      <c r="T42" s="6">
        <v>64.17</v>
      </c>
      <c r="U42" s="2"/>
      <c r="V42" s="7">
        <f t="shared" si="33"/>
        <v>2.0896597208791657E-4</v>
      </c>
      <c r="W42" s="2"/>
      <c r="X42" s="6">
        <f t="shared" si="34"/>
        <v>-62.29</v>
      </c>
      <c r="Y42" s="2"/>
      <c r="Z42" s="7">
        <f t="shared" si="35"/>
        <v>-0.97070282063269442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3652.09</v>
      </c>
      <c r="E43" s="1"/>
      <c r="F43" s="5">
        <f t="shared" si="28"/>
        <v>3.1127004167012209E-2</v>
      </c>
      <c r="G43" s="1"/>
      <c r="H43" s="1">
        <f>SUM(OSRRefH22_4x_0)</f>
        <v>3919.91</v>
      </c>
      <c r="I43" s="1"/>
      <c r="J43" s="5">
        <f t="shared" si="29"/>
        <v>3.3116435413738106E-2</v>
      </c>
      <c r="K43" s="1"/>
      <c r="L43" s="1">
        <f t="shared" si="30"/>
        <v>-267.81999999999971</v>
      </c>
      <c r="M43" s="1"/>
      <c r="N43" s="5">
        <f t="shared" si="31"/>
        <v>-6.8322997211670608E-2</v>
      </c>
      <c r="O43" s="13"/>
      <c r="P43" s="1">
        <f>SUM(OSRRefP22_4x_0)</f>
        <v>7431.61</v>
      </c>
      <c r="Q43" s="1"/>
      <c r="R43" s="5">
        <f t="shared" si="32"/>
        <v>2.7335542263069109E-2</v>
      </c>
      <c r="S43" s="1"/>
      <c r="T43" s="1">
        <f>SUM(OSRRefT22_4x_0)</f>
        <v>8586.02</v>
      </c>
      <c r="U43" s="1"/>
      <c r="V43" s="5">
        <f t="shared" si="33"/>
        <v>2.7959888042173808E-2</v>
      </c>
      <c r="W43" s="1"/>
      <c r="X43" s="1">
        <f t="shared" si="34"/>
        <v>-1154.4100000000008</v>
      </c>
      <c r="Y43" s="1"/>
      <c r="Z43" s="5">
        <f t="shared" si="35"/>
        <v>-0.1344522840617656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3652.09</v>
      </c>
      <c r="E44" s="2"/>
      <c r="F44" s="7">
        <f t="shared" si="28"/>
        <v>3.1127004167012209E-2</v>
      </c>
      <c r="G44" s="2"/>
      <c r="H44" s="6">
        <v>3919.91</v>
      </c>
      <c r="I44" s="2"/>
      <c r="J44" s="7">
        <f t="shared" si="29"/>
        <v>3.3116435413738106E-2</v>
      </c>
      <c r="K44" s="2"/>
      <c r="L44" s="6">
        <f t="shared" si="30"/>
        <v>-267.81999999999971</v>
      </c>
      <c r="M44" s="2"/>
      <c r="N44" s="7">
        <f t="shared" si="31"/>
        <v>-6.8322997211670608E-2</v>
      </c>
      <c r="O44" s="11"/>
      <c r="P44" s="6">
        <v>7431.61</v>
      </c>
      <c r="Q44" s="2"/>
      <c r="R44" s="7">
        <f t="shared" si="32"/>
        <v>2.7335542263069109E-2</v>
      </c>
      <c r="S44" s="2"/>
      <c r="T44" s="6">
        <v>8586.02</v>
      </c>
      <c r="U44" s="2"/>
      <c r="V44" s="7">
        <f t="shared" si="33"/>
        <v>2.7959888042173808E-2</v>
      </c>
      <c r="W44" s="2"/>
      <c r="X44" s="6">
        <f t="shared" si="34"/>
        <v>-1154.4100000000008</v>
      </c>
      <c r="Y44" s="2"/>
      <c r="Z44" s="7">
        <f t="shared" si="35"/>
        <v>-0.1344522840617656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1647.59</v>
      </c>
      <c r="E45" s="1"/>
      <c r="F45" s="5">
        <f t="shared" si="28"/>
        <v>1.4042518337589609E-2</v>
      </c>
      <c r="G45" s="1"/>
      <c r="H45" s="1">
        <f>SUM(OSRRefH22_5x_0)</f>
        <v>1147.5899999999999</v>
      </c>
      <c r="I45" s="1"/>
      <c r="J45" s="5">
        <f t="shared" si="29"/>
        <v>9.6951435406557075E-3</v>
      </c>
      <c r="K45" s="1"/>
      <c r="L45" s="1">
        <f t="shared" si="30"/>
        <v>500</v>
      </c>
      <c r="M45" s="1"/>
      <c r="N45" s="5">
        <f t="shared" si="31"/>
        <v>0.43569567528472714</v>
      </c>
      <c r="O45" s="13"/>
      <c r="P45" s="1">
        <f>SUM(OSRRefP22_5x_0)</f>
        <v>6590.36</v>
      </c>
      <c r="Q45" s="1"/>
      <c r="R45" s="5">
        <f t="shared" si="32"/>
        <v>2.4241189232056062E-2</v>
      </c>
      <c r="S45" s="1"/>
      <c r="T45" s="1">
        <f>SUM(OSRRefT22_5x_0)</f>
        <v>4590.3599999999997</v>
      </c>
      <c r="U45" s="1"/>
      <c r="V45" s="5">
        <f t="shared" si="33"/>
        <v>1.4948247461952448E-2</v>
      </c>
      <c r="W45" s="1"/>
      <c r="X45" s="1">
        <f t="shared" si="34"/>
        <v>2000</v>
      </c>
      <c r="Y45" s="1"/>
      <c r="Z45" s="5">
        <f t="shared" si="35"/>
        <v>0.43569567528472714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1647.59</v>
      </c>
      <c r="E46" s="2"/>
      <c r="F46" s="7">
        <f t="shared" si="28"/>
        <v>1.4042518337589609E-2</v>
      </c>
      <c r="G46" s="2"/>
      <c r="H46" s="6">
        <v>1147.5899999999999</v>
      </c>
      <c r="I46" s="2"/>
      <c r="J46" s="7">
        <f t="shared" si="29"/>
        <v>9.6951435406557075E-3</v>
      </c>
      <c r="K46" s="2"/>
      <c r="L46" s="6">
        <f t="shared" si="30"/>
        <v>500</v>
      </c>
      <c r="M46" s="2"/>
      <c r="N46" s="7">
        <f t="shared" si="31"/>
        <v>0.43569567528472714</v>
      </c>
      <c r="O46" s="11"/>
      <c r="P46" s="6">
        <v>6590.36</v>
      </c>
      <c r="Q46" s="2"/>
      <c r="R46" s="7">
        <f t="shared" si="32"/>
        <v>2.4241189232056062E-2</v>
      </c>
      <c r="S46" s="2"/>
      <c r="T46" s="6">
        <v>4590.3599999999997</v>
      </c>
      <c r="U46" s="2"/>
      <c r="V46" s="7">
        <f t="shared" si="33"/>
        <v>1.4948247461952448E-2</v>
      </c>
      <c r="W46" s="2"/>
      <c r="X46" s="6">
        <f t="shared" si="34"/>
        <v>2000</v>
      </c>
      <c r="Y46" s="2"/>
      <c r="Z46" s="7">
        <f t="shared" si="35"/>
        <v>0.43569567528472714</v>
      </c>
    </row>
    <row r="47" spans="1:26" s="27" customFormat="1" outlineLevel="1" collapsed="1" x14ac:dyDescent="0.25">
      <c r="A47" s="25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SUM(OSRRefD22_6x_0)</f>
        <v>118.91</v>
      </c>
      <c r="E47" s="1"/>
      <c r="F47" s="5">
        <f t="shared" si="28"/>
        <v>1.0134777799833579E-3</v>
      </c>
      <c r="G47" s="1"/>
      <c r="H47" s="1">
        <f>SUM(OSRRefH22_6x_0)</f>
        <v>118.91</v>
      </c>
      <c r="I47" s="1"/>
      <c r="J47" s="5">
        <f t="shared" si="29"/>
        <v>1.0045830988587999E-3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SUM(OSRRefP22_6x_0)</f>
        <v>475.64</v>
      </c>
      <c r="Q47" s="1"/>
      <c r="R47" s="5">
        <f t="shared" si="32"/>
        <v>1.7495370884648403E-3</v>
      </c>
      <c r="S47" s="1"/>
      <c r="T47" s="1">
        <f>SUM(OSRRefT22_6x_0)</f>
        <v>475.64</v>
      </c>
      <c r="U47" s="1"/>
      <c r="V47" s="5">
        <f t="shared" si="33"/>
        <v>1.5488947321785356E-3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6"/>
      <c r="B48" s="11" t="str">
        <f>CONCATENATE("          ", "6351", " - ", "EQUIPMENT RENTAL")</f>
        <v xml:space="preserve">          6351 - EQUIPMENT RENTAL</v>
      </c>
      <c r="C48" s="11"/>
      <c r="D48" s="6">
        <v>118.91</v>
      </c>
      <c r="E48" s="2"/>
      <c r="F48" s="7">
        <f t="shared" si="28"/>
        <v>1.0134777799833579E-3</v>
      </c>
      <c r="G48" s="2"/>
      <c r="H48" s="6">
        <v>118.91</v>
      </c>
      <c r="I48" s="2"/>
      <c r="J48" s="7">
        <f t="shared" si="29"/>
        <v>1.0045830988587999E-3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475.64</v>
      </c>
      <c r="Q48" s="2"/>
      <c r="R48" s="7">
        <f t="shared" si="32"/>
        <v>1.7495370884648403E-3</v>
      </c>
      <c r="S48" s="2"/>
      <c r="T48" s="6">
        <v>475.64</v>
      </c>
      <c r="U48" s="2"/>
      <c r="V48" s="7">
        <f t="shared" si="33"/>
        <v>1.5488947321785356E-3</v>
      </c>
      <c r="W48" s="2"/>
      <c r="X48" s="6">
        <f t="shared" si="34"/>
        <v>0</v>
      </c>
      <c r="Y48" s="2"/>
      <c r="Z48" s="7">
        <f t="shared" si="35"/>
        <v>0</v>
      </c>
    </row>
    <row r="49" spans="1:26" s="27" customFormat="1" outlineLevel="1" collapsed="1" x14ac:dyDescent="0.25">
      <c r="A49" s="25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SUM(OSRRefD22_7x_0)</f>
        <v>1465.02</v>
      </c>
      <c r="E49" s="1"/>
      <c r="F49" s="5">
        <f t="shared" si="28"/>
        <v>1.2486462175016559E-2</v>
      </c>
      <c r="G49" s="1"/>
      <c r="H49" s="1">
        <f>SUM(OSRRefH22_7x_0)</f>
        <v>1102.81</v>
      </c>
      <c r="I49" s="1"/>
      <c r="J49" s="5">
        <f t="shared" si="29"/>
        <v>9.3168302687114037E-3</v>
      </c>
      <c r="K49" s="1"/>
      <c r="L49" s="1">
        <f t="shared" si="30"/>
        <v>362.21000000000004</v>
      </c>
      <c r="M49" s="1"/>
      <c r="N49" s="5">
        <f t="shared" si="31"/>
        <v>0.32844279612988642</v>
      </c>
      <c r="O49" s="13"/>
      <c r="P49" s="1">
        <f>SUM(OSRRefP22_7x_0)</f>
        <v>4201.76</v>
      </c>
      <c r="Q49" s="1"/>
      <c r="R49" s="5">
        <f t="shared" si="32"/>
        <v>1.5455249677966588E-2</v>
      </c>
      <c r="S49" s="1"/>
      <c r="T49" s="1">
        <f>SUM(OSRRefT22_7x_0)</f>
        <v>5300.46</v>
      </c>
      <c r="U49" s="1"/>
      <c r="V49" s="5">
        <f t="shared" si="33"/>
        <v>1.7260647910442857E-2</v>
      </c>
      <c r="W49" s="1"/>
      <c r="X49" s="1">
        <f t="shared" si="34"/>
        <v>-1098.6999999999998</v>
      </c>
      <c r="Y49" s="1"/>
      <c r="Z49" s="5">
        <f t="shared" si="35"/>
        <v>-0.20728389611467679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6">
        <v>1465.02</v>
      </c>
      <c r="E50" s="2"/>
      <c r="F50" s="7">
        <f t="shared" si="28"/>
        <v>1.2486462175016559E-2</v>
      </c>
      <c r="G50" s="2"/>
      <c r="H50" s="6">
        <v>1102.81</v>
      </c>
      <c r="I50" s="2"/>
      <c r="J50" s="7">
        <f t="shared" si="29"/>
        <v>9.3168302687114037E-3</v>
      </c>
      <c r="K50" s="2"/>
      <c r="L50" s="6">
        <f t="shared" si="30"/>
        <v>362.21000000000004</v>
      </c>
      <c r="M50" s="2"/>
      <c r="N50" s="7">
        <f t="shared" si="31"/>
        <v>0.32844279612988642</v>
      </c>
      <c r="O50" s="11"/>
      <c r="P50" s="6">
        <v>4201.76</v>
      </c>
      <c r="Q50" s="2"/>
      <c r="R50" s="7">
        <f t="shared" si="32"/>
        <v>1.5455249677966588E-2</v>
      </c>
      <c r="S50" s="2"/>
      <c r="T50" s="6">
        <v>5300.46</v>
      </c>
      <c r="U50" s="2"/>
      <c r="V50" s="7">
        <f t="shared" si="33"/>
        <v>1.7260647910442857E-2</v>
      </c>
      <c r="W50" s="2"/>
      <c r="X50" s="6">
        <f t="shared" si="34"/>
        <v>-1098.6999999999998</v>
      </c>
      <c r="Y50" s="2"/>
      <c r="Z50" s="7">
        <f t="shared" si="35"/>
        <v>-0.20728389611467679</v>
      </c>
    </row>
    <row r="51" spans="1:26" s="27" customFormat="1" outlineLevel="1" collapsed="1" x14ac:dyDescent="0.25">
      <c r="A51" s="25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SUM(OSRRefD22_8x_0)</f>
        <v>377</v>
      </c>
      <c r="E51" s="1"/>
      <c r="F51" s="5">
        <f t="shared" si="28"/>
        <v>3.2131958880979388E-3</v>
      </c>
      <c r="G51" s="1"/>
      <c r="H51" s="1">
        <f>SUM(OSRRefH22_8x_0)</f>
        <v>583.16</v>
      </c>
      <c r="I51" s="1"/>
      <c r="J51" s="5">
        <f t="shared" si="29"/>
        <v>4.9266897647842712E-3</v>
      </c>
      <c r="K51" s="1"/>
      <c r="L51" s="1">
        <f t="shared" si="30"/>
        <v>-206.15999999999997</v>
      </c>
      <c r="M51" s="1"/>
      <c r="N51" s="5">
        <f t="shared" si="31"/>
        <v>-0.35352218945057956</v>
      </c>
      <c r="O51" s="13"/>
      <c r="P51" s="1">
        <f>SUM(OSRRefP22_8x_0)</f>
        <v>3971.6299999999997</v>
      </c>
      <c r="Q51" s="1"/>
      <c r="R51" s="5">
        <f t="shared" si="32"/>
        <v>1.4608767106760604E-2</v>
      </c>
      <c r="S51" s="1"/>
      <c r="T51" s="1">
        <f>SUM(OSRRefT22_8x_0)</f>
        <v>4120.2</v>
      </c>
      <c r="U51" s="1"/>
      <c r="V51" s="5">
        <f t="shared" si="33"/>
        <v>1.34171980395299E-2</v>
      </c>
      <c r="W51" s="1"/>
      <c r="X51" s="1">
        <f t="shared" si="34"/>
        <v>-148.57000000000016</v>
      </c>
      <c r="Y51" s="1"/>
      <c r="Z51" s="5">
        <f t="shared" si="35"/>
        <v>-3.6058929178195274E-2</v>
      </c>
    </row>
    <row r="52" spans="1:26" s="24" customFormat="1" hidden="1" outlineLevel="2" x14ac:dyDescent="0.25">
      <c r="A52" s="26"/>
      <c r="B52" s="11" t="str">
        <f>CONCATENATE("          ", "6373", " - ", "MAINTENANCE CONTRACTS")</f>
        <v xml:space="preserve">          6373 - MAINTENANCE CONTRACTS</v>
      </c>
      <c r="C52" s="11"/>
      <c r="D52" s="6">
        <v>111.64</v>
      </c>
      <c r="E52" s="2"/>
      <c r="F52" s="7">
        <f t="shared" si="28"/>
        <v>9.5151509004576631E-4</v>
      </c>
      <c r="G52" s="2"/>
      <c r="H52" s="6"/>
      <c r="I52" s="2"/>
      <c r="J52" s="7">
        <f t="shared" si="29"/>
        <v>0</v>
      </c>
      <c r="K52" s="2"/>
      <c r="L52" s="6">
        <f t="shared" si="30"/>
        <v>111.64</v>
      </c>
      <c r="M52" s="2"/>
      <c r="N52" s="7">
        <f t="shared" si="31"/>
        <v>0</v>
      </c>
      <c r="O52" s="11"/>
      <c r="P52" s="6">
        <v>111.64</v>
      </c>
      <c r="Q52" s="2"/>
      <c r="R52" s="7">
        <f t="shared" si="32"/>
        <v>4.1064317668029347E-4</v>
      </c>
      <c r="S52" s="2"/>
      <c r="T52" s="6">
        <v>110.97</v>
      </c>
      <c r="U52" s="2"/>
      <c r="V52" s="7">
        <f t="shared" si="33"/>
        <v>3.6136752255876733E-4</v>
      </c>
      <c r="W52" s="2"/>
      <c r="X52" s="6">
        <f t="shared" si="34"/>
        <v>0.67000000000000171</v>
      </c>
      <c r="Y52" s="2"/>
      <c r="Z52" s="7">
        <f t="shared" si="35"/>
        <v>6.0376678381544712E-3</v>
      </c>
    </row>
    <row r="53" spans="1:26" s="24" customFormat="1" hidden="1" outlineLevel="2" x14ac:dyDescent="0.25">
      <c r="A53" s="26"/>
      <c r="B53" s="11" t="str">
        <f>CONCATENATE("          ", "6375", " - ", "OUTSIDE REPAIRS &amp; MAINTENANCE")</f>
        <v xml:space="preserve">          6375 - OUTSIDE REPAIRS &amp; MAINTENANCE</v>
      </c>
      <c r="C53" s="11"/>
      <c r="D53" s="6">
        <v>265.36</v>
      </c>
      <c r="E53" s="2"/>
      <c r="F53" s="7">
        <f t="shared" si="28"/>
        <v>2.2616807980521728E-3</v>
      </c>
      <c r="G53" s="2"/>
      <c r="H53" s="6">
        <v>583.16</v>
      </c>
      <c r="I53" s="2"/>
      <c r="J53" s="7">
        <f t="shared" si="29"/>
        <v>4.9266897647842712E-3</v>
      </c>
      <c r="K53" s="2"/>
      <c r="L53" s="6">
        <f t="shared" si="30"/>
        <v>-317.79999999999995</v>
      </c>
      <c r="M53" s="2"/>
      <c r="N53" s="7">
        <f t="shared" si="31"/>
        <v>-0.54496193154537342</v>
      </c>
      <c r="O53" s="11"/>
      <c r="P53" s="6">
        <v>3859.99</v>
      </c>
      <c r="Q53" s="2"/>
      <c r="R53" s="7">
        <f t="shared" si="32"/>
        <v>1.419812393008031E-2</v>
      </c>
      <c r="S53" s="2"/>
      <c r="T53" s="6">
        <v>4009.23</v>
      </c>
      <c r="U53" s="2"/>
      <c r="V53" s="7">
        <f t="shared" si="33"/>
        <v>1.3055830516971133E-2</v>
      </c>
      <c r="W53" s="2"/>
      <c r="X53" s="6">
        <f t="shared" si="34"/>
        <v>-149.24000000000024</v>
      </c>
      <c r="Y53" s="2"/>
      <c r="Z53" s="7">
        <f t="shared" si="35"/>
        <v>-3.7224105376842995E-2</v>
      </c>
    </row>
    <row r="54" spans="1:26" s="27" customFormat="1" outlineLevel="1" collapsed="1" x14ac:dyDescent="0.25">
      <c r="A54" s="25"/>
      <c r="B54" s="13" t="str">
        <f>CONCATENATE("     ","Royalty &amp; Commissions                             ")</f>
        <v xml:space="preserve">     Royalty &amp; Commissions                             </v>
      </c>
      <c r="C54" s="13"/>
      <c r="D54" s="1">
        <f>SUM(OSRRefD22_9x_0)</f>
        <v>9386.32</v>
      </c>
      <c r="E54" s="1"/>
      <c r="F54" s="5">
        <f t="shared" ref="F54:F67" si="36">IF(D$12=0,0,D54/D$12)</f>
        <v>8.0000225008942827E-2</v>
      </c>
      <c r="G54" s="1"/>
      <c r="H54" s="1">
        <f>SUM(OSRRefH22_9x_0)</f>
        <v>9469.44</v>
      </c>
      <c r="I54" s="1"/>
      <c r="J54" s="5">
        <f t="shared" ref="J54:J67" si="37">IF(H$12=0,0,H54/H$12)</f>
        <v>8.0000331171957567E-2</v>
      </c>
      <c r="K54" s="1"/>
      <c r="L54" s="1">
        <f t="shared" ref="L54:L67" si="38">+D54-H54</f>
        <v>-83.1200000000008</v>
      </c>
      <c r="M54" s="1"/>
      <c r="N54" s="5">
        <f t="shared" ref="N54:N67" si="39">IF(H54=0,0,L54/H54)</f>
        <v>-8.7777101919438525E-3</v>
      </c>
      <c r="O54" s="13"/>
      <c r="P54" s="1">
        <f>SUM(OSRRefP22_9x_0)</f>
        <v>18529.52</v>
      </c>
      <c r="Q54" s="1"/>
      <c r="R54" s="5">
        <f t="shared" ref="R54:R67" si="40">IF(P$12=0,0,P54/P$12)</f>
        <v>6.8156762407390103E-2</v>
      </c>
      <c r="S54" s="1"/>
      <c r="T54" s="1">
        <f>SUM(OSRRefT22_9x_0)</f>
        <v>24566.720000000001</v>
      </c>
      <c r="U54" s="1"/>
      <c r="V54" s="5">
        <f t="shared" ref="V54:V67" si="41">IF(T$12=0,0,T54/T$12)</f>
        <v>8.0000132862890164E-2</v>
      </c>
      <c r="W54" s="1"/>
      <c r="X54" s="1">
        <f t="shared" ref="X54:X67" si="42">+P54-T54</f>
        <v>-6037.2000000000007</v>
      </c>
      <c r="Y54" s="1"/>
      <c r="Z54" s="5">
        <f t="shared" ref="Z54:Z67" si="43">IF(T54=0,0,X54/T54)</f>
        <v>-0.24574709200088576</v>
      </c>
    </row>
    <row r="55" spans="1:26" s="24" customFormat="1" hidden="1" outlineLevel="2" x14ac:dyDescent="0.25">
      <c r="A55" s="26"/>
      <c r="B55" s="11" t="str">
        <f>CONCATENATE("          ", "6259", " - ", "ROYALTY &amp; COMMISSIONS")</f>
        <v xml:space="preserve">          6259 - ROYALTY &amp; COMMISSIONS</v>
      </c>
      <c r="C55" s="11"/>
      <c r="D55" s="6">
        <v>9386.32</v>
      </c>
      <c r="E55" s="2"/>
      <c r="F55" s="7">
        <f t="shared" si="36"/>
        <v>8.0000225008942827E-2</v>
      </c>
      <c r="G55" s="2"/>
      <c r="H55" s="6">
        <v>9469.44</v>
      </c>
      <c r="I55" s="2"/>
      <c r="J55" s="7">
        <f t="shared" si="37"/>
        <v>8.0000331171957567E-2</v>
      </c>
      <c r="K55" s="2"/>
      <c r="L55" s="6">
        <f t="shared" si="38"/>
        <v>-83.1200000000008</v>
      </c>
      <c r="M55" s="2"/>
      <c r="N55" s="7">
        <f t="shared" si="39"/>
        <v>-8.7777101919438525E-3</v>
      </c>
      <c r="O55" s="11"/>
      <c r="P55" s="6">
        <v>18529.52</v>
      </c>
      <c r="Q55" s="2"/>
      <c r="R55" s="7">
        <f t="shared" si="40"/>
        <v>6.8156762407390103E-2</v>
      </c>
      <c r="S55" s="2"/>
      <c r="T55" s="6">
        <v>24566.720000000001</v>
      </c>
      <c r="U55" s="2"/>
      <c r="V55" s="7">
        <f t="shared" si="41"/>
        <v>8.0000132862890164E-2</v>
      </c>
      <c r="W55" s="2"/>
      <c r="X55" s="6">
        <f t="shared" si="42"/>
        <v>-6037.2000000000007</v>
      </c>
      <c r="Y55" s="2"/>
      <c r="Z55" s="7">
        <f t="shared" si="43"/>
        <v>-0.24574709200088576</v>
      </c>
    </row>
    <row r="56" spans="1:26" s="27" customFormat="1" outlineLevel="1" collapsed="1" x14ac:dyDescent="0.25">
      <c r="A56" s="25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SUM(OSRRefD22_10x_0)</f>
        <v>146.25</v>
      </c>
      <c r="E56" s="1"/>
      <c r="F56" s="5">
        <f t="shared" si="36"/>
        <v>1.2464984048655798E-3</v>
      </c>
      <c r="G56" s="1"/>
      <c r="H56" s="1">
        <f>SUM(OSRRefH22_10x_0)</f>
        <v>78</v>
      </c>
      <c r="I56" s="1"/>
      <c r="J56" s="5">
        <f t="shared" si="37"/>
        <v>6.5896460946082247E-4</v>
      </c>
      <c r="K56" s="1"/>
      <c r="L56" s="1">
        <f t="shared" si="38"/>
        <v>68.25</v>
      </c>
      <c r="M56" s="1"/>
      <c r="N56" s="5">
        <f t="shared" si="39"/>
        <v>0.875</v>
      </c>
      <c r="O56" s="13"/>
      <c r="P56" s="1">
        <f>SUM(OSRRefP22_10x_0)</f>
        <v>232.35</v>
      </c>
      <c r="Q56" s="1"/>
      <c r="R56" s="5">
        <f t="shared" si="40"/>
        <v>8.5464835275587763E-4</v>
      </c>
      <c r="S56" s="1"/>
      <c r="T56" s="1">
        <f>SUM(OSRRefT22_10x_0)</f>
        <v>189.15</v>
      </c>
      <c r="U56" s="1"/>
      <c r="V56" s="5">
        <f t="shared" si="41"/>
        <v>6.159562664863553E-4</v>
      </c>
      <c r="W56" s="1"/>
      <c r="X56" s="1">
        <f t="shared" si="42"/>
        <v>43.199999999999989</v>
      </c>
      <c r="Y56" s="1"/>
      <c r="Z56" s="5">
        <f t="shared" si="43"/>
        <v>0.22839016653449637</v>
      </c>
    </row>
    <row r="57" spans="1:26" s="24" customFormat="1" hidden="1" outlineLevel="2" x14ac:dyDescent="0.25">
      <c r="A57" s="26"/>
      <c r="B57" s="11" t="str">
        <f>CONCATENATE("          ", "6286", " - ", "LAUNDRY EXPENSE")</f>
        <v xml:space="preserve">          6286 - LAUNDRY EXPENSE</v>
      </c>
      <c r="C57" s="11"/>
      <c r="D57" s="6">
        <v>146.25</v>
      </c>
      <c r="E57" s="2"/>
      <c r="F57" s="7">
        <f t="shared" si="36"/>
        <v>1.2464984048655798E-3</v>
      </c>
      <c r="G57" s="2"/>
      <c r="H57" s="6">
        <v>78</v>
      </c>
      <c r="I57" s="2"/>
      <c r="J57" s="7">
        <f t="shared" si="37"/>
        <v>6.5896460946082247E-4</v>
      </c>
      <c r="K57" s="2"/>
      <c r="L57" s="6">
        <f t="shared" si="38"/>
        <v>68.25</v>
      </c>
      <c r="M57" s="2"/>
      <c r="N57" s="7">
        <f t="shared" si="39"/>
        <v>0.875</v>
      </c>
      <c r="O57" s="11"/>
      <c r="P57" s="6">
        <v>232.35</v>
      </c>
      <c r="Q57" s="2"/>
      <c r="R57" s="7">
        <f t="shared" si="40"/>
        <v>8.5464835275587763E-4</v>
      </c>
      <c r="S57" s="2"/>
      <c r="T57" s="6">
        <v>189.15</v>
      </c>
      <c r="U57" s="2"/>
      <c r="V57" s="7">
        <f t="shared" si="41"/>
        <v>6.159562664863553E-4</v>
      </c>
      <c r="W57" s="2"/>
      <c r="X57" s="6">
        <f t="shared" si="42"/>
        <v>43.199999999999989</v>
      </c>
      <c r="Y57" s="2"/>
      <c r="Z57" s="7">
        <f t="shared" si="43"/>
        <v>0.22839016653449637</v>
      </c>
    </row>
    <row r="58" spans="1:26" s="27" customFormat="1" outlineLevel="1" collapsed="1" x14ac:dyDescent="0.25">
      <c r="A58" s="25"/>
      <c r="B58" s="13" t="str">
        <f>CONCATENATE("     ","Subscriptions &amp; Dues                              ")</f>
        <v xml:space="preserve">     Subscriptions &amp; Dues                              </v>
      </c>
      <c r="C58" s="13"/>
      <c r="D58" s="1">
        <f>SUM(OSRRefD22_11x_0)</f>
        <v>0</v>
      </c>
      <c r="E58" s="1"/>
      <c r="F58" s="5">
        <f t="shared" si="36"/>
        <v>0</v>
      </c>
      <c r="G58" s="1"/>
      <c r="H58" s="1">
        <f>SUM(OSRRefH22_11x_0)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3"/>
      <c r="P58" s="1">
        <f>SUM(OSRRefP22_11x_0)</f>
        <v>61.36</v>
      </c>
      <c r="Q58" s="1"/>
      <c r="R58" s="5">
        <f t="shared" si="40"/>
        <v>2.2569925941510934E-4</v>
      </c>
      <c r="S58" s="1"/>
      <c r="T58" s="1">
        <f>SUM(OSRRefT22_11x_0)</f>
        <v>92.04</v>
      </c>
      <c r="U58" s="1"/>
      <c r="V58" s="5">
        <f t="shared" si="41"/>
        <v>2.9972304925933988E-4</v>
      </c>
      <c r="W58" s="1"/>
      <c r="X58" s="1">
        <f t="shared" si="42"/>
        <v>-30.680000000000007</v>
      </c>
      <c r="Y58" s="1"/>
      <c r="Z58" s="5">
        <f t="shared" si="43"/>
        <v>-0.33333333333333337</v>
      </c>
    </row>
    <row r="59" spans="1:26" s="24" customFormat="1" hidden="1" outlineLevel="2" x14ac:dyDescent="0.25">
      <c r="A59" s="26"/>
      <c r="B59" s="11" t="str">
        <f>CONCATENATE("          ", "6275", " - ", "SUBSCRIPTIONS")</f>
        <v xml:space="preserve">          6275 - SUBSCRIPTIONS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61.36</v>
      </c>
      <c r="Q59" s="2"/>
      <c r="R59" s="7">
        <f t="shared" si="40"/>
        <v>2.2569925941510934E-4</v>
      </c>
      <c r="S59" s="2"/>
      <c r="T59" s="6">
        <v>92.04</v>
      </c>
      <c r="U59" s="2"/>
      <c r="V59" s="7">
        <f t="shared" si="41"/>
        <v>2.9972304925933988E-4</v>
      </c>
      <c r="W59" s="2"/>
      <c r="X59" s="6">
        <f t="shared" si="42"/>
        <v>-30.680000000000007</v>
      </c>
      <c r="Y59" s="2"/>
      <c r="Z59" s="7">
        <f t="shared" si="43"/>
        <v>-0.33333333333333337</v>
      </c>
    </row>
    <row r="60" spans="1:26" s="27" customFormat="1" outlineLevel="1" collapsed="1" x14ac:dyDescent="0.25">
      <c r="A60" s="25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SUM(OSRRefD22_12x_0)</f>
        <v>576.57999999999993</v>
      </c>
      <c r="E60" s="1"/>
      <c r="F60" s="5">
        <f t="shared" si="36"/>
        <v>4.9142294036061259E-3</v>
      </c>
      <c r="G60" s="1"/>
      <c r="H60" s="1">
        <f>SUM(OSRRefH22_12x_0)</f>
        <v>916.53000000000009</v>
      </c>
      <c r="I60" s="1"/>
      <c r="J60" s="5">
        <f t="shared" si="37"/>
        <v>7.7430876090913798E-3</v>
      </c>
      <c r="K60" s="1"/>
      <c r="L60" s="1">
        <f t="shared" si="38"/>
        <v>-339.95000000000016</v>
      </c>
      <c r="M60" s="1"/>
      <c r="N60" s="5">
        <f t="shared" si="39"/>
        <v>-0.37090984474048871</v>
      </c>
      <c r="O60" s="13"/>
      <c r="P60" s="1">
        <f>SUM(OSRRefP22_12x_0)</f>
        <v>5942.7300000000005</v>
      </c>
      <c r="Q60" s="1"/>
      <c r="R60" s="5">
        <f t="shared" si="40"/>
        <v>2.1859024770273024E-2</v>
      </c>
      <c r="S60" s="1"/>
      <c r="T60" s="1">
        <f>SUM(OSRRefT22_12x_0)</f>
        <v>4319.42</v>
      </c>
      <c r="U60" s="1"/>
      <c r="V60" s="5">
        <f t="shared" si="41"/>
        <v>1.4065946690914578E-2</v>
      </c>
      <c r="W60" s="1"/>
      <c r="X60" s="1">
        <f t="shared" si="42"/>
        <v>1623.3100000000004</v>
      </c>
      <c r="Y60" s="1"/>
      <c r="Z60" s="5">
        <f t="shared" si="43"/>
        <v>0.37581666057016921</v>
      </c>
    </row>
    <row r="61" spans="1:26" s="24" customFormat="1" hidden="1" outlineLevel="2" x14ac:dyDescent="0.25">
      <c r="A61" s="26"/>
      <c r="B61" s="11" t="str">
        <f>CONCATENATE("          ", "6237", " - ", "JANITORIAL SUPPLIES")</f>
        <v xml:space="preserve">          6237 - JANITORIAL SUPPLIES</v>
      </c>
      <c r="C61" s="11"/>
      <c r="D61" s="6">
        <v>31.82</v>
      </c>
      <c r="E61" s="2"/>
      <c r="F61" s="7">
        <f t="shared" si="36"/>
        <v>2.7120396063468549E-4</v>
      </c>
      <c r="G61" s="2"/>
      <c r="H61" s="6"/>
      <c r="I61" s="2"/>
      <c r="J61" s="7">
        <f t="shared" si="37"/>
        <v>0</v>
      </c>
      <c r="K61" s="2"/>
      <c r="L61" s="6">
        <f t="shared" si="38"/>
        <v>31.82</v>
      </c>
      <c r="M61" s="2"/>
      <c r="N61" s="7">
        <f t="shared" si="39"/>
        <v>0</v>
      </c>
      <c r="O61" s="11"/>
      <c r="P61" s="6">
        <v>137.11000000000001</v>
      </c>
      <c r="Q61" s="2"/>
      <c r="R61" s="7">
        <f t="shared" si="40"/>
        <v>5.0432896770543744E-4</v>
      </c>
      <c r="S61" s="2"/>
      <c r="T61" s="6"/>
      <c r="U61" s="2"/>
      <c r="V61" s="7">
        <f t="shared" si="41"/>
        <v>0</v>
      </c>
      <c r="W61" s="2"/>
      <c r="X61" s="6">
        <f t="shared" si="42"/>
        <v>137.11000000000001</v>
      </c>
      <c r="Y61" s="2"/>
      <c r="Z61" s="7">
        <f t="shared" si="43"/>
        <v>0</v>
      </c>
    </row>
    <row r="62" spans="1:26" s="24" customFormat="1" hidden="1" outlineLevel="2" x14ac:dyDescent="0.25">
      <c r="A62" s="26"/>
      <c r="B62" s="11" t="str">
        <f>CONCATENATE("          ", "6239", " - ", "KITCHEN SUPPLIES")</f>
        <v xml:space="preserve">          6239 - KITCHEN SUPPLIES</v>
      </c>
      <c r="C62" s="11"/>
      <c r="D62" s="6"/>
      <c r="E62" s="2"/>
      <c r="F62" s="7">
        <f t="shared" si="36"/>
        <v>0</v>
      </c>
      <c r="G62" s="2"/>
      <c r="H62" s="6">
        <v>140.22999999999999</v>
      </c>
      <c r="I62" s="2"/>
      <c r="J62" s="7">
        <f t="shared" si="37"/>
        <v>1.1847000921114247E-3</v>
      </c>
      <c r="K62" s="2"/>
      <c r="L62" s="6">
        <f t="shared" si="38"/>
        <v>-140.22999999999999</v>
      </c>
      <c r="M62" s="2"/>
      <c r="N62" s="7">
        <f t="shared" si="39"/>
        <v>-1</v>
      </c>
      <c r="O62" s="11"/>
      <c r="P62" s="6">
        <v>1905.7</v>
      </c>
      <c r="Q62" s="2"/>
      <c r="R62" s="7">
        <f t="shared" si="40"/>
        <v>7.0096981529884916E-3</v>
      </c>
      <c r="S62" s="2"/>
      <c r="T62" s="6">
        <v>736.11</v>
      </c>
      <c r="U62" s="2"/>
      <c r="V62" s="7">
        <f t="shared" si="41"/>
        <v>2.3971005409636321E-3</v>
      </c>
      <c r="W62" s="2"/>
      <c r="X62" s="6">
        <f t="shared" si="42"/>
        <v>1169.5900000000001</v>
      </c>
      <c r="Y62" s="2"/>
      <c r="Z62" s="7">
        <f t="shared" si="43"/>
        <v>1.5888793794405729</v>
      </c>
    </row>
    <row r="63" spans="1:26" s="24" customFormat="1" hidden="1" outlineLevel="2" x14ac:dyDescent="0.25">
      <c r="A63" s="26"/>
      <c r="B63" s="11" t="str">
        <f>CONCATENATE("          ", "6241", " - ", "OFFICE EXPENSE")</f>
        <v xml:space="preserve">          6241 - OFFICE EXPENSE</v>
      </c>
      <c r="C63" s="11"/>
      <c r="D63" s="6">
        <v>45.22</v>
      </c>
      <c r="E63" s="2"/>
      <c r="F63" s="7">
        <f t="shared" si="36"/>
        <v>3.8541304525142915E-4</v>
      </c>
      <c r="G63" s="2"/>
      <c r="H63" s="6"/>
      <c r="I63" s="2"/>
      <c r="J63" s="7">
        <f t="shared" si="37"/>
        <v>0</v>
      </c>
      <c r="K63" s="2"/>
      <c r="L63" s="6">
        <f t="shared" si="38"/>
        <v>45.22</v>
      </c>
      <c r="M63" s="2"/>
      <c r="N63" s="7">
        <f t="shared" si="39"/>
        <v>0</v>
      </c>
      <c r="O63" s="11"/>
      <c r="P63" s="6">
        <v>1119.5</v>
      </c>
      <c r="Q63" s="2"/>
      <c r="R63" s="7">
        <f t="shared" si="40"/>
        <v>4.1178344347329674E-3</v>
      </c>
      <c r="S63" s="2"/>
      <c r="T63" s="6">
        <v>54.73</v>
      </c>
      <c r="U63" s="2"/>
      <c r="V63" s="7">
        <f t="shared" si="41"/>
        <v>1.7822514652285603E-4</v>
      </c>
      <c r="W63" s="2"/>
      <c r="X63" s="6">
        <f t="shared" si="42"/>
        <v>1064.77</v>
      </c>
      <c r="Y63" s="2"/>
      <c r="Z63" s="7">
        <f t="shared" si="43"/>
        <v>19.454960716243377</v>
      </c>
    </row>
    <row r="64" spans="1:26" s="24" customFormat="1" hidden="1" outlineLevel="2" x14ac:dyDescent="0.25">
      <c r="A64" s="26"/>
      <c r="B64" s="11" t="str">
        <f>CONCATENATE("          ", "6243", " - ", "PAPER SUPPLIES")</f>
        <v xml:space="preserve">          6243 - PAPER SUPPLIES</v>
      </c>
      <c r="C64" s="11"/>
      <c r="D64" s="6">
        <v>412.66</v>
      </c>
      <c r="E64" s="2"/>
      <c r="F64" s="7">
        <f t="shared" si="36"/>
        <v>3.5171284222347363E-3</v>
      </c>
      <c r="G64" s="2"/>
      <c r="H64" s="6">
        <v>764.85</v>
      </c>
      <c r="I64" s="2"/>
      <c r="J64" s="7">
        <f t="shared" si="37"/>
        <v>6.4616548916167959E-3</v>
      </c>
      <c r="K64" s="2"/>
      <c r="L64" s="6">
        <f t="shared" si="38"/>
        <v>-352.19</v>
      </c>
      <c r="M64" s="2"/>
      <c r="N64" s="7">
        <f t="shared" si="39"/>
        <v>-0.46046937307968883</v>
      </c>
      <c r="O64" s="11"/>
      <c r="P64" s="6">
        <v>1573.54</v>
      </c>
      <c r="Q64" s="2"/>
      <c r="R64" s="7">
        <f t="shared" si="40"/>
        <v>5.7879206756853187E-3</v>
      </c>
      <c r="S64" s="2"/>
      <c r="T64" s="6">
        <v>1929.38</v>
      </c>
      <c r="U64" s="2"/>
      <c r="V64" s="7">
        <f t="shared" si="41"/>
        <v>6.28291674033013E-3</v>
      </c>
      <c r="W64" s="2"/>
      <c r="X64" s="6">
        <f t="shared" si="42"/>
        <v>-355.84000000000015</v>
      </c>
      <c r="Y64" s="2"/>
      <c r="Z64" s="7">
        <f t="shared" si="43"/>
        <v>-0.18443230467818683</v>
      </c>
    </row>
    <row r="65" spans="1:26" s="24" customFormat="1" hidden="1" outlineLevel="2" x14ac:dyDescent="0.25">
      <c r="A65" s="26"/>
      <c r="B65" s="11" t="str">
        <f>CONCATENATE("          ", "6245", " - ", "PRINTING")</f>
        <v xml:space="preserve">          6245 - PRINTING</v>
      </c>
      <c r="C65" s="11"/>
      <c r="D65" s="6">
        <v>27.79</v>
      </c>
      <c r="E65" s="2"/>
      <c r="F65" s="7">
        <f t="shared" si="36"/>
        <v>2.368560045895006E-4</v>
      </c>
      <c r="G65" s="2"/>
      <c r="H65" s="6"/>
      <c r="I65" s="2"/>
      <c r="J65" s="7">
        <f t="shared" si="37"/>
        <v>0</v>
      </c>
      <c r="K65" s="2"/>
      <c r="L65" s="6">
        <f t="shared" si="38"/>
        <v>27.79</v>
      </c>
      <c r="M65" s="2"/>
      <c r="N65" s="7">
        <f t="shared" si="39"/>
        <v>0</v>
      </c>
      <c r="O65" s="11"/>
      <c r="P65" s="6">
        <v>181.92</v>
      </c>
      <c r="Q65" s="2"/>
      <c r="R65" s="7">
        <f t="shared" si="40"/>
        <v>6.6915269349407901E-4</v>
      </c>
      <c r="S65" s="2"/>
      <c r="T65" s="6"/>
      <c r="U65" s="2"/>
      <c r="V65" s="7">
        <f t="shared" si="41"/>
        <v>0</v>
      </c>
      <c r="W65" s="2"/>
      <c r="X65" s="6">
        <f t="shared" si="42"/>
        <v>181.92</v>
      </c>
      <c r="Y65" s="2"/>
      <c r="Z65" s="7">
        <f t="shared" si="43"/>
        <v>0</v>
      </c>
    </row>
    <row r="66" spans="1:26" s="24" customFormat="1" hidden="1" outlineLevel="2" x14ac:dyDescent="0.25">
      <c r="A66" s="26"/>
      <c r="B66" s="11" t="str">
        <f>CONCATENATE("          ", "6247", " - ", "STORE SUPPLIES")</f>
        <v xml:space="preserve">          6247 - STORE SUPPLIES</v>
      </c>
      <c r="C66" s="11"/>
      <c r="D66" s="6">
        <v>36.159999999999997</v>
      </c>
      <c r="E66" s="2"/>
      <c r="F66" s="7">
        <f t="shared" si="36"/>
        <v>3.0819406714488451E-4</v>
      </c>
      <c r="G66" s="2"/>
      <c r="H66" s="6"/>
      <c r="I66" s="2"/>
      <c r="J66" s="7">
        <f t="shared" si="37"/>
        <v>0</v>
      </c>
      <c r="K66" s="2"/>
      <c r="L66" s="6">
        <f t="shared" si="38"/>
        <v>36.159999999999997</v>
      </c>
      <c r="M66" s="2"/>
      <c r="N66" s="7">
        <f t="shared" si="39"/>
        <v>0</v>
      </c>
      <c r="O66" s="11"/>
      <c r="P66" s="6">
        <v>911.18</v>
      </c>
      <c r="Q66" s="2"/>
      <c r="R66" s="7">
        <f t="shared" si="40"/>
        <v>3.3515751498347348E-3</v>
      </c>
      <c r="S66" s="2"/>
      <c r="T66" s="6">
        <v>1111.82</v>
      </c>
      <c r="U66" s="2"/>
      <c r="V66" s="7">
        <f t="shared" si="41"/>
        <v>3.6205788855662672E-3</v>
      </c>
      <c r="W66" s="2"/>
      <c r="X66" s="6">
        <f t="shared" si="42"/>
        <v>-200.64</v>
      </c>
      <c r="Y66" s="2"/>
      <c r="Z66" s="7">
        <f t="shared" si="43"/>
        <v>-0.18046086596751273</v>
      </c>
    </row>
    <row r="67" spans="1:26" s="24" customFormat="1" hidden="1" outlineLevel="2" x14ac:dyDescent="0.25">
      <c r="A67" s="26"/>
      <c r="B67" s="11" t="str">
        <f>CONCATENATE("          ", "6248", " - ", "UNIFORMS")</f>
        <v xml:space="preserve">          6248 - UNIFORMS</v>
      </c>
      <c r="C67" s="11"/>
      <c r="D67" s="6">
        <v>22.93</v>
      </c>
      <c r="E67" s="2"/>
      <c r="F67" s="7">
        <f t="shared" si="36"/>
        <v>1.9543390375089054E-4</v>
      </c>
      <c r="G67" s="2"/>
      <c r="H67" s="6">
        <v>11.45</v>
      </c>
      <c r="I67" s="2"/>
      <c r="J67" s="7">
        <f t="shared" si="37"/>
        <v>9.6732625363159187E-5</v>
      </c>
      <c r="K67" s="2"/>
      <c r="L67" s="6">
        <f t="shared" si="38"/>
        <v>11.48</v>
      </c>
      <c r="M67" s="2"/>
      <c r="N67" s="7">
        <f t="shared" si="39"/>
        <v>1.0026200873362447</v>
      </c>
      <c r="O67" s="11"/>
      <c r="P67" s="6">
        <v>113.78</v>
      </c>
      <c r="Q67" s="2"/>
      <c r="R67" s="7">
        <f t="shared" si="40"/>
        <v>4.1851469583199379E-4</v>
      </c>
      <c r="S67" s="2"/>
      <c r="T67" s="6">
        <v>487.38</v>
      </c>
      <c r="U67" s="2"/>
      <c r="V67" s="7">
        <f t="shared" si="41"/>
        <v>1.5871253775316934E-3</v>
      </c>
      <c r="W67" s="2"/>
      <c r="X67" s="6">
        <f t="shared" si="42"/>
        <v>-373.6</v>
      </c>
      <c r="Y67" s="2"/>
      <c r="Z67" s="7">
        <f t="shared" si="43"/>
        <v>-0.76654766301448563</v>
      </c>
    </row>
    <row r="68" spans="1:26" s="27" customFormat="1" outlineLevel="1" collapsed="1" x14ac:dyDescent="0.25">
      <c r="A68" s="25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0</v>
      </c>
      <c r="E68" s="1"/>
      <c r="F68" s="5">
        <f t="shared" ref="F68:F71" si="44">IF(D$12=0,0,D68/D$12)</f>
        <v>0</v>
      </c>
      <c r="G68" s="1"/>
      <c r="H68" s="1">
        <f>SUM(OSRRefH22_13x_0)</f>
        <v>50</v>
      </c>
      <c r="I68" s="1"/>
      <c r="J68" s="5">
        <f t="shared" ref="J68:J71" si="45">IF(H$12=0,0,H68/H$12)</f>
        <v>4.2241321119283488E-4</v>
      </c>
      <c r="K68" s="1"/>
      <c r="L68" s="1">
        <f t="shared" ref="L68:L71" si="46">+D68-H68</f>
        <v>-50</v>
      </c>
      <c r="M68" s="1"/>
      <c r="N68" s="5">
        <f t="shared" ref="N68:N71" si="47">IF(H68=0,0,L68/H68)</f>
        <v>-1</v>
      </c>
      <c r="O68" s="13"/>
      <c r="P68" s="1">
        <f>SUM(OSRRefP22_13x_0)</f>
        <v>-45</v>
      </c>
      <c r="Q68" s="1"/>
      <c r="R68" s="5">
        <f t="shared" ref="R68:R71" si="48">IF(P$12=0,0,P68/P$12)</f>
        <v>-1.6552259898435333E-4</v>
      </c>
      <c r="S68" s="1"/>
      <c r="T68" s="1">
        <f>SUM(OSRRefT22_13x_0)</f>
        <v>200</v>
      </c>
      <c r="U68" s="1"/>
      <c r="V68" s="5">
        <f t="shared" ref="V68:V71" si="49">IF(T$12=0,0,T68/T$12)</f>
        <v>6.5128867722585805E-4</v>
      </c>
      <c r="W68" s="1"/>
      <c r="X68" s="1">
        <f t="shared" ref="X68:X71" si="50">+P68-T68</f>
        <v>-245</v>
      </c>
      <c r="Y68" s="1"/>
      <c r="Z68" s="5">
        <f t="shared" ref="Z68:Z71" si="51">IF(T68=0,0,X68/T68)</f>
        <v>-1.2250000000000001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6"/>
      <c r="E69" s="2"/>
      <c r="F69" s="7">
        <f t="shared" si="44"/>
        <v>0</v>
      </c>
      <c r="G69" s="2"/>
      <c r="H69" s="6">
        <v>50</v>
      </c>
      <c r="I69" s="2"/>
      <c r="J69" s="7">
        <f t="shared" si="45"/>
        <v>4.2241321119283488E-4</v>
      </c>
      <c r="K69" s="2"/>
      <c r="L69" s="6">
        <f t="shared" si="46"/>
        <v>-50</v>
      </c>
      <c r="M69" s="2"/>
      <c r="N69" s="7">
        <f t="shared" si="47"/>
        <v>-1</v>
      </c>
      <c r="O69" s="11"/>
      <c r="P69" s="6">
        <v>-45</v>
      </c>
      <c r="Q69" s="2"/>
      <c r="R69" s="7">
        <f t="shared" si="48"/>
        <v>-1.6552259898435333E-4</v>
      </c>
      <c r="S69" s="2"/>
      <c r="T69" s="6">
        <v>200</v>
      </c>
      <c r="U69" s="2"/>
      <c r="V69" s="7">
        <f t="shared" si="49"/>
        <v>6.5128867722585805E-4</v>
      </c>
      <c r="W69" s="2"/>
      <c r="X69" s="6">
        <f t="shared" si="50"/>
        <v>-245</v>
      </c>
      <c r="Y69" s="2"/>
      <c r="Z69" s="7">
        <f t="shared" si="51"/>
        <v>-1.2250000000000001</v>
      </c>
    </row>
    <row r="70" spans="1:26" s="27" customFormat="1" outlineLevel="1" collapsed="1" x14ac:dyDescent="0.25">
      <c r="A70" s="25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SUM(OSRRefD22_14x_0)</f>
        <v>0</v>
      </c>
      <c r="E70" s="1"/>
      <c r="F70" s="5">
        <f t="shared" si="44"/>
        <v>0</v>
      </c>
      <c r="G70" s="1"/>
      <c r="H70" s="1">
        <f>SUM(OSRRefH22_14x_0)</f>
        <v>0</v>
      </c>
      <c r="I70" s="1"/>
      <c r="J70" s="5">
        <f t="shared" si="45"/>
        <v>0</v>
      </c>
      <c r="K70" s="1"/>
      <c r="L70" s="1">
        <f t="shared" si="46"/>
        <v>0</v>
      </c>
      <c r="M70" s="1"/>
      <c r="N70" s="5">
        <f t="shared" si="47"/>
        <v>0</v>
      </c>
      <c r="O70" s="13"/>
      <c r="P70" s="1">
        <f>SUM(OSRRefP22_14x_0)</f>
        <v>96</v>
      </c>
      <c r="Q70" s="1"/>
      <c r="R70" s="5">
        <f t="shared" si="48"/>
        <v>3.5311487783328709E-4</v>
      </c>
      <c r="S70" s="1"/>
      <c r="T70" s="1">
        <f>SUM(OSRRefT22_14x_0)</f>
        <v>125.16</v>
      </c>
      <c r="U70" s="1"/>
      <c r="V70" s="5">
        <f t="shared" si="49"/>
        <v>4.0757645420794197E-4</v>
      </c>
      <c r="W70" s="1"/>
      <c r="X70" s="1">
        <f t="shared" si="50"/>
        <v>-29.159999999999997</v>
      </c>
      <c r="Y70" s="1"/>
      <c r="Z70" s="5">
        <f t="shared" si="51"/>
        <v>-0.23298178331735378</v>
      </c>
    </row>
    <row r="71" spans="1:26" s="24" customFormat="1" hidden="1" outlineLevel="2" x14ac:dyDescent="0.25">
      <c r="A71" s="26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>
        <v>96</v>
      </c>
      <c r="Q71" s="2"/>
      <c r="R71" s="7">
        <f t="shared" si="48"/>
        <v>3.5311487783328709E-4</v>
      </c>
      <c r="S71" s="2"/>
      <c r="T71" s="6">
        <v>125.16</v>
      </c>
      <c r="U71" s="2"/>
      <c r="V71" s="7">
        <f t="shared" si="49"/>
        <v>4.0757645420794197E-4</v>
      </c>
      <c r="W71" s="2"/>
      <c r="X71" s="6">
        <f t="shared" si="50"/>
        <v>-29.159999999999997</v>
      </c>
      <c r="Y71" s="2"/>
      <c r="Z71" s="7">
        <f t="shared" si="51"/>
        <v>-0.23298178331735378</v>
      </c>
    </row>
    <row r="72" spans="1:26" s="55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9" t="s">
        <v>0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3</v>
      </c>
      <c r="C75" s="28"/>
      <c r="D75" s="21">
        <f>+D20-D22+D73</f>
        <v>39519.799999999996</v>
      </c>
      <c r="E75" s="14"/>
      <c r="F75" s="22">
        <f>IF(D$12=0,0,D75/D$12)</f>
        <v>0.33682986434602896</v>
      </c>
      <c r="G75" s="14"/>
      <c r="H75" s="21">
        <f>+H20-H22+H73</f>
        <v>32775.390000000014</v>
      </c>
      <c r="I75" s="14"/>
      <c r="J75" s="22">
        <f>IF(H$12=0,0,H75/H$12)</f>
        <v>0.27689515475995069</v>
      </c>
      <c r="K75" s="16"/>
      <c r="L75" s="21">
        <f>+D75-H75</f>
        <v>6744.4099999999817</v>
      </c>
      <c r="M75" s="16"/>
      <c r="N75" s="22">
        <f>IF(H75=0,0,L75/H75)</f>
        <v>0.2057766513228364</v>
      </c>
      <c r="O75" s="29"/>
      <c r="P75" s="21">
        <f>+P20-P22+P73</f>
        <v>40456.209999999992</v>
      </c>
      <c r="Q75" s="14"/>
      <c r="R75" s="22">
        <f>IF(P$12=0,0,P75/P$12)</f>
        <v>0.14880926720570631</v>
      </c>
      <c r="S75" s="14"/>
      <c r="T75" s="21">
        <f>+T20-T22+T73</f>
        <v>52990.999999999971</v>
      </c>
      <c r="U75" s="14"/>
      <c r="V75" s="22">
        <f>IF(T$12=0,0,T75/T$12)</f>
        <v>0.17256219147437712</v>
      </c>
      <c r="W75" s="16"/>
      <c r="X75" s="21">
        <f>+P75-T75</f>
        <v>-12534.789999999979</v>
      </c>
      <c r="Y75" s="16"/>
      <c r="Z75" s="22">
        <f>IF(T75=0,0,X75/T75)</f>
        <v>-0.23654563982563051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>
        <v>10767.37</v>
      </c>
      <c r="E77" s="4"/>
      <c r="F77" s="12">
        <f>IF(D$12=0,0,D77/D$12)</f>
        <v>9.177100533058119E-2</v>
      </c>
      <c r="G77" s="4"/>
      <c r="H77" s="4">
        <v>11435.61</v>
      </c>
      <c r="I77" s="4"/>
      <c r="J77" s="12">
        <f>IF(H$12=0,0,H77/H$12)</f>
        <v>9.66110548409779E-2</v>
      </c>
      <c r="K77" s="4"/>
      <c r="L77" s="4">
        <f>+D77-H77</f>
        <v>-668.23999999999978</v>
      </c>
      <c r="M77" s="4"/>
      <c r="N77" s="12">
        <f>IF(H77=0,0,L77/H77)</f>
        <v>-5.843501133739256E-2</v>
      </c>
      <c r="O77" s="10"/>
      <c r="P77" s="4">
        <v>27366.75</v>
      </c>
      <c r="Q77" s="4"/>
      <c r="R77" s="12">
        <f>IF(P$12=0,0,P77/P$12)</f>
        <v>0.10066256857233448</v>
      </c>
      <c r="S77" s="4"/>
      <c r="T77" s="4">
        <v>28202.48</v>
      </c>
      <c r="U77" s="4"/>
      <c r="V77" s="12">
        <f>IF(T$12=0,0,T77/T$12)</f>
        <v>9.1839779468443586E-2</v>
      </c>
      <c r="W77" s="4"/>
      <c r="X77" s="4">
        <f>+P77-T77</f>
        <v>-835.72999999999956</v>
      </c>
      <c r="Y77" s="4"/>
      <c r="Z77" s="12">
        <f>IF(T77=0,0,X77/T77)</f>
        <v>-2.9633209561712288E-2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4</v>
      </c>
      <c r="C79" s="28"/>
      <c r="D79" s="31">
        <f>+D75-D77</f>
        <v>28752.429999999993</v>
      </c>
      <c r="E79" s="14"/>
      <c r="F79" s="34">
        <f>IF(D$12=0,0,D79/D$12)</f>
        <v>0.24505885901544774</v>
      </c>
      <c r="G79" s="14"/>
      <c r="H79" s="31">
        <f>+H75-H77</f>
        <v>21339.780000000013</v>
      </c>
      <c r="I79" s="14"/>
      <c r="J79" s="34">
        <f>IF(H$12=0,0,H79/H$12)</f>
        <v>0.18028409991897279</v>
      </c>
      <c r="K79" s="16"/>
      <c r="L79" s="31">
        <f>D79-H79</f>
        <v>7412.6499999999796</v>
      </c>
      <c r="M79" s="16"/>
      <c r="N79" s="34">
        <f>IF(H79=0,0,L79/H79)</f>
        <v>0.34736299999343834</v>
      </c>
      <c r="O79" s="29"/>
      <c r="P79" s="31">
        <f>+P75-P77</f>
        <v>13089.459999999992</v>
      </c>
      <c r="Q79" s="14"/>
      <c r="R79" s="34">
        <f>IF(P$12=0,0,P79/P$12)</f>
        <v>4.8146698633371822E-2</v>
      </c>
      <c r="S79" s="14"/>
      <c r="T79" s="31">
        <f>+T75-T77</f>
        <v>24788.519999999971</v>
      </c>
      <c r="U79" s="14"/>
      <c r="V79" s="34">
        <f>IF(T$12=0,0,T79/T$12)</f>
        <v>8.0722412005933539E-2</v>
      </c>
      <c r="W79" s="16"/>
      <c r="X79" s="31">
        <f>P79-T79</f>
        <v>-11699.059999999979</v>
      </c>
      <c r="Y79" s="16"/>
      <c r="Z79" s="34">
        <f>IF(T79=0,0,X79/T79)</f>
        <v>-0.47195475970328171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5</v>
      </c>
      <c r="C82" s="28"/>
      <c r="D82" s="36">
        <f>SUM(D79:D81)</f>
        <v>28752.429999999993</v>
      </c>
      <c r="E82" s="14"/>
      <c r="F82" s="33">
        <f>IF(D$12=0,0,D82/D$12)</f>
        <v>0.24505885901544774</v>
      </c>
      <c r="G82" s="14"/>
      <c r="H82" s="36">
        <f>SUM(H79:H81)</f>
        <v>21339.780000000013</v>
      </c>
      <c r="I82" s="14"/>
      <c r="J82" s="33">
        <f>IF(H$12=0,0,H82/H$12)</f>
        <v>0.18028409991897279</v>
      </c>
      <c r="K82" s="16"/>
      <c r="L82" s="36">
        <f>+D82-H82</f>
        <v>7412.6499999999796</v>
      </c>
      <c r="M82" s="16"/>
      <c r="N82" s="33">
        <f>IF(H82=0,0,L82/H82)</f>
        <v>0.34736299999343834</v>
      </c>
      <c r="O82" s="29"/>
      <c r="P82" s="36">
        <f>SUM(P79:P81)</f>
        <v>13089.459999999992</v>
      </c>
      <c r="Q82" s="14"/>
      <c r="R82" s="33">
        <f>IF(P$12=0,0,P82/P$12)</f>
        <v>4.8146698633371822E-2</v>
      </c>
      <c r="S82" s="14"/>
      <c r="T82" s="36">
        <f>SUM(T79:T81)</f>
        <v>24788.519999999971</v>
      </c>
      <c r="U82" s="14"/>
      <c r="V82" s="33">
        <f>IF(T$12=0,0,T82/T$12)</f>
        <v>8.0722412005933539E-2</v>
      </c>
      <c r="W82" s="16"/>
      <c r="X82" s="36">
        <f>+P82-T82</f>
        <v>-11699.059999999979</v>
      </c>
      <c r="Y82" s="16"/>
      <c r="Z82" s="33">
        <f>IF(T82=0,0,X82/T82)</f>
        <v>-0.47195475970328171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61">
        <v>43791.355635219908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6" t="s">
        <v>313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7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","415", " - ", "Outpost")</f>
        <v>Department 415 - Outpost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138771.65</v>
      </c>
      <c r="E12" s="4"/>
      <c r="F12" s="12"/>
      <c r="G12" s="4"/>
      <c r="H12" s="4">
        <f>SUM(OSRRefH13x_0)</f>
        <v>146869.22</v>
      </c>
      <c r="I12" s="4"/>
      <c r="J12" s="12"/>
      <c r="K12" s="4"/>
      <c r="L12" s="4">
        <f t="shared" ref="L12:L14" si="0">+D12-H12</f>
        <v>-8097.570000000007</v>
      </c>
      <c r="M12" s="4"/>
      <c r="N12" s="12">
        <f t="shared" ref="N12:N14" si="1">IF(H12=0,0,L12/H12)</f>
        <v>-5.5134561210306743E-2</v>
      </c>
      <c r="O12" s="10"/>
      <c r="P12" s="4">
        <f>SUM(OSRRefP13x_0)</f>
        <v>311832.64</v>
      </c>
      <c r="Q12" s="4"/>
      <c r="R12" s="12"/>
      <c r="S12" s="4"/>
      <c r="T12" s="4">
        <f>SUM(OSRRefT13x_0)</f>
        <v>324329.90999999997</v>
      </c>
      <c r="U12" s="4"/>
      <c r="V12" s="12"/>
      <c r="W12" s="4"/>
      <c r="X12" s="4">
        <f t="shared" ref="X12:X14" si="2">+P12-T12</f>
        <v>-12497.26999999996</v>
      </c>
      <c r="Y12" s="4"/>
      <c r="Z12" s="12">
        <f t="shared" ref="Z12:Z14" si="3">IF(T12=0,0,X12/T12)</f>
        <v>-3.85325855392121E-2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--37940.7</f>
        <v>37940.699999999997</v>
      </c>
      <c r="E13" s="2"/>
      <c r="F13" s="19"/>
      <c r="G13" s="2"/>
      <c r="H13" s="2">
        <f>--44778.63</f>
        <v>44778.63</v>
      </c>
      <c r="I13" s="2"/>
      <c r="J13" s="19"/>
      <c r="K13" s="2"/>
      <c r="L13" s="2">
        <f t="shared" si="0"/>
        <v>-6837.93</v>
      </c>
      <c r="M13" s="2"/>
      <c r="N13" s="19">
        <f t="shared" si="1"/>
        <v>-0.1527052078189976</v>
      </c>
      <c r="O13" s="11"/>
      <c r="P13" s="2">
        <f>--94820.75</f>
        <v>94820.75</v>
      </c>
      <c r="Q13" s="2"/>
      <c r="R13" s="19"/>
      <c r="S13" s="2"/>
      <c r="T13" s="2">
        <f>--114238.45</f>
        <v>114238.45</v>
      </c>
      <c r="U13" s="2"/>
      <c r="V13" s="19"/>
      <c r="W13" s="2"/>
      <c r="X13" s="2">
        <f t="shared" si="2"/>
        <v>-19417.699999999997</v>
      </c>
      <c r="Y13" s="2"/>
      <c r="Z13" s="19">
        <f t="shared" si="3"/>
        <v>-0.16997517035639048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--100830.95</f>
        <v>100830.95</v>
      </c>
      <c r="E14" s="2"/>
      <c r="F14" s="19"/>
      <c r="G14" s="2"/>
      <c r="H14" s="2">
        <f>--102090.59</f>
        <v>102090.59</v>
      </c>
      <c r="I14" s="2"/>
      <c r="J14" s="19"/>
      <c r="K14" s="2"/>
      <c r="L14" s="2">
        <f t="shared" si="0"/>
        <v>-1259.6399999999994</v>
      </c>
      <c r="M14" s="2"/>
      <c r="N14" s="19">
        <f t="shared" si="1"/>
        <v>-1.2338453524462925E-2</v>
      </c>
      <c r="O14" s="11"/>
      <c r="P14" s="2">
        <f>--217011.89</f>
        <v>217011.89</v>
      </c>
      <c r="Q14" s="2"/>
      <c r="R14" s="19"/>
      <c r="S14" s="2"/>
      <c r="T14" s="2">
        <f>--210091.46</f>
        <v>210091.46</v>
      </c>
      <c r="U14" s="2"/>
      <c r="V14" s="19"/>
      <c r="W14" s="2"/>
      <c r="X14" s="2">
        <f t="shared" si="2"/>
        <v>6920.4300000000221</v>
      </c>
      <c r="Y14" s="2"/>
      <c r="Z14" s="19">
        <f t="shared" si="3"/>
        <v>3.294008238126396E-2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38137.440000000002</v>
      </c>
      <c r="E16" s="4"/>
      <c r="F16" s="12">
        <f t="shared" ref="F16:F18" si="4">IF(D$12=0,0,D16/D$12)</f>
        <v>0.27482155036709588</v>
      </c>
      <c r="G16" s="4"/>
      <c r="H16" s="4">
        <f>SUM(OSRRefH16x_0)</f>
        <v>46410.84</v>
      </c>
      <c r="I16" s="4"/>
      <c r="J16" s="12">
        <f t="shared" ref="J16:J18" si="5">IF(H$12=0,0,H16/H$12)</f>
        <v>0.31600113352545889</v>
      </c>
      <c r="K16" s="4"/>
      <c r="L16" s="4">
        <f t="shared" ref="L16:L18" si="6">+D16-H16</f>
        <v>-8273.3999999999942</v>
      </c>
      <c r="M16" s="4"/>
      <c r="N16" s="12">
        <f t="shared" ref="N16:N18" si="7">IF(H16=0,0,L16/H16)</f>
        <v>-0.17826438823343846</v>
      </c>
      <c r="O16" s="10"/>
      <c r="P16" s="4">
        <f>SUM(OSRRefP16x_0)</f>
        <v>99570.239999999991</v>
      </c>
      <c r="Q16" s="4"/>
      <c r="R16" s="12">
        <f t="shared" ref="R16:R18" si="8">IF(P$12=0,0,P16/P$12)</f>
        <v>0.31930666398488622</v>
      </c>
      <c r="S16" s="4"/>
      <c r="T16" s="4">
        <f>SUM(OSRRefT16x_0)</f>
        <v>104531.27</v>
      </c>
      <c r="U16" s="4"/>
      <c r="V16" s="12">
        <f t="shared" ref="V16:V18" si="9">IF(T$12=0,0,T16/T$12)</f>
        <v>0.32229919836872278</v>
      </c>
      <c r="W16" s="4"/>
      <c r="X16" s="4">
        <f t="shared" ref="X16:X18" si="10">+P16-T16</f>
        <v>-4961.0300000000134</v>
      </c>
      <c r="Y16" s="4"/>
      <c r="Z16" s="12">
        <f t="shared" ref="Z16:Z18" si="11">IF(T16=0,0,X16/T16)</f>
        <v>-4.7459769693796061E-2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44109.440000000002</v>
      </c>
      <c r="E17" s="2"/>
      <c r="F17" s="19">
        <f t="shared" si="4"/>
        <v>0.31785627684040657</v>
      </c>
      <c r="G17" s="2"/>
      <c r="H17" s="2">
        <v>45455.839999999997</v>
      </c>
      <c r="I17" s="2"/>
      <c r="J17" s="19">
        <f t="shared" si="5"/>
        <v>0.30949874997633947</v>
      </c>
      <c r="K17" s="2"/>
      <c r="L17" s="2">
        <f t="shared" si="6"/>
        <v>-1346.3999999999942</v>
      </c>
      <c r="M17" s="2"/>
      <c r="N17" s="19">
        <f t="shared" si="7"/>
        <v>-2.9619956423640927E-2</v>
      </c>
      <c r="O17" s="11"/>
      <c r="P17" s="2">
        <v>102127.23999999999</v>
      </c>
      <c r="Q17" s="2"/>
      <c r="R17" s="19">
        <f t="shared" si="8"/>
        <v>0.32750657532194188</v>
      </c>
      <c r="S17" s="2"/>
      <c r="T17" s="2">
        <v>104065.27</v>
      </c>
      <c r="U17" s="2"/>
      <c r="V17" s="19">
        <f t="shared" si="9"/>
        <v>0.32086238978082537</v>
      </c>
      <c r="W17" s="2"/>
      <c r="X17" s="2">
        <f t="shared" si="10"/>
        <v>-1938.0300000000134</v>
      </c>
      <c r="Y17" s="2"/>
      <c r="Z17" s="19">
        <f t="shared" si="11"/>
        <v>-1.862321598742802E-2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-5972</v>
      </c>
      <c r="E18" s="2"/>
      <c r="F18" s="19">
        <f t="shared" si="4"/>
        <v>-4.303472647331065E-2</v>
      </c>
      <c r="G18" s="2"/>
      <c r="H18" s="2">
        <v>955</v>
      </c>
      <c r="I18" s="2"/>
      <c r="J18" s="19">
        <f t="shared" si="5"/>
        <v>6.5023835491194136E-3</v>
      </c>
      <c r="K18" s="2"/>
      <c r="L18" s="2">
        <f t="shared" si="6"/>
        <v>-6927</v>
      </c>
      <c r="M18" s="2"/>
      <c r="N18" s="19">
        <f t="shared" si="7"/>
        <v>-7.2534031413612565</v>
      </c>
      <c r="O18" s="11"/>
      <c r="P18" s="2">
        <v>-2557</v>
      </c>
      <c r="Q18" s="2"/>
      <c r="R18" s="19">
        <f t="shared" si="8"/>
        <v>-8.1999113370556723E-3</v>
      </c>
      <c r="S18" s="2"/>
      <c r="T18" s="2">
        <v>466</v>
      </c>
      <c r="U18" s="2"/>
      <c r="V18" s="19">
        <f t="shared" si="9"/>
        <v>1.4368085878974284E-3</v>
      </c>
      <c r="W18" s="2"/>
      <c r="X18" s="2">
        <f t="shared" si="10"/>
        <v>-3023</v>
      </c>
      <c r="Y18" s="2"/>
      <c r="Z18" s="19">
        <f t="shared" si="11"/>
        <v>-6.4871244635193133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100634.20999999999</v>
      </c>
      <c r="E20" s="14"/>
      <c r="F20" s="22">
        <f>IF(D$12=0,0,D20/D$12)</f>
        <v>0.72517844963290412</v>
      </c>
      <c r="G20" s="14"/>
      <c r="H20" s="21">
        <f>H12-H16</f>
        <v>100458.38</v>
      </c>
      <c r="I20" s="14"/>
      <c r="J20" s="22">
        <f>IF(H$12=0,0,H20/H$12)</f>
        <v>0.68399886647454111</v>
      </c>
      <c r="K20" s="16"/>
      <c r="L20" s="21">
        <f>+D20-H20</f>
        <v>175.82999999998719</v>
      </c>
      <c r="M20" s="16"/>
      <c r="N20" s="22">
        <f>IF(H20=0,0,L20/H20)</f>
        <v>1.7502770799209303E-3</v>
      </c>
      <c r="O20" s="29"/>
      <c r="P20" s="21">
        <f>P12-P16</f>
        <v>212262.40000000002</v>
      </c>
      <c r="Q20" s="14"/>
      <c r="R20" s="22">
        <f>IF(P$12=0,0,P20/P$12)</f>
        <v>0.68069333601511384</v>
      </c>
      <c r="S20" s="14"/>
      <c r="T20" s="21">
        <f>T12-T16</f>
        <v>219798.63999999996</v>
      </c>
      <c r="U20" s="14"/>
      <c r="V20" s="22">
        <f>IF(T$12=0,0,T20/T$12)</f>
        <v>0.67770080163127711</v>
      </c>
      <c r="W20" s="16"/>
      <c r="X20" s="21">
        <f>+P20-T20</f>
        <v>-7536.2399999999325</v>
      </c>
      <c r="Y20" s="16"/>
      <c r="Z20" s="22">
        <f>IF(T20=0,0,X20/T20)</f>
        <v>-3.4287018336418888E-2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88811.919999999984</v>
      </c>
      <c r="E22" s="20"/>
      <c r="F22" s="35">
        <f t="shared" ref="F22:F31" si="12">IF(D$12=0,0,D22/D$12)</f>
        <v>0.63998604902370182</v>
      </c>
      <c r="G22" s="20"/>
      <c r="H22" s="20">
        <f>SUM(OSRRefH22x_0)</f>
        <v>86795.710000000021</v>
      </c>
      <c r="I22" s="20"/>
      <c r="J22" s="35">
        <f t="shared" ref="J22:J31" si="13">IF(H$12=0,0,H22/H$12)</f>
        <v>0.59097277155826133</v>
      </c>
      <c r="K22" s="4"/>
      <c r="L22" s="20">
        <f t="shared" ref="L22:L31" si="14">+D22-H22</f>
        <v>2016.2099999999627</v>
      </c>
      <c r="M22" s="4"/>
      <c r="N22" s="35">
        <f t="shared" ref="N22:N31" si="15">IF(H22=0,0,L22/H22)</f>
        <v>2.3229373894170142E-2</v>
      </c>
      <c r="O22" s="10"/>
      <c r="P22" s="20">
        <f>SUM(OSRRefP22x_0)</f>
        <v>285781.77999999997</v>
      </c>
      <c r="Q22" s="20"/>
      <c r="R22" s="35">
        <f t="shared" ref="R22:R31" si="16">IF(P$12=0,0,P22/P$12)</f>
        <v>0.91645884151190826</v>
      </c>
      <c r="S22" s="20"/>
      <c r="T22" s="20">
        <f>SUM(OSRRefT22x_0)</f>
        <v>273359.33000000007</v>
      </c>
      <c r="U22" s="20"/>
      <c r="V22" s="35">
        <f t="shared" ref="V22:V31" si="17">IF(T$12=0,0,T22/T$12)</f>
        <v>0.84284341829589537</v>
      </c>
      <c r="W22" s="4"/>
      <c r="X22" s="20">
        <f t="shared" ref="X22:X31" si="18">+P22-T22</f>
        <v>12422.449999999895</v>
      </c>
      <c r="Y22" s="4"/>
      <c r="Z22" s="35">
        <f t="shared" ref="Z22:Z31" si="19">IF(T22=0,0,X22/T22)</f>
        <v>4.5443665668919705E-2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8312.51</v>
      </c>
      <c r="E23" s="1"/>
      <c r="F23" s="5">
        <f t="shared" si="12"/>
        <v>5.9900635324289943E-2</v>
      </c>
      <c r="G23" s="1"/>
      <c r="H23" s="1">
        <f>SUM(OSRRefH22_0x_0)</f>
        <v>10657.04</v>
      </c>
      <c r="I23" s="1"/>
      <c r="J23" s="5">
        <f t="shared" si="13"/>
        <v>7.2561425736447707E-2</v>
      </c>
      <c r="K23" s="1"/>
      <c r="L23" s="1">
        <f t="shared" si="14"/>
        <v>-2344.5300000000007</v>
      </c>
      <c r="M23" s="1"/>
      <c r="N23" s="5">
        <f t="shared" si="15"/>
        <v>-0.21999823590790693</v>
      </c>
      <c r="O23" s="13"/>
      <c r="P23" s="1">
        <f>SUM(OSRRefP22_0x_0)</f>
        <v>34547.42</v>
      </c>
      <c r="Q23" s="1"/>
      <c r="R23" s="5">
        <f t="shared" si="16"/>
        <v>0.11078833825734213</v>
      </c>
      <c r="S23" s="1"/>
      <c r="T23" s="1">
        <f>SUM(OSRRefT22_0x_0)</f>
        <v>30840.899999999994</v>
      </c>
      <c r="U23" s="1"/>
      <c r="V23" s="5">
        <f t="shared" si="17"/>
        <v>9.5091137292887956E-2</v>
      </c>
      <c r="W23" s="1"/>
      <c r="X23" s="1">
        <f t="shared" si="18"/>
        <v>3706.5200000000041</v>
      </c>
      <c r="Y23" s="1"/>
      <c r="Z23" s="5">
        <f t="shared" si="19"/>
        <v>0.12018196615533284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2456.4</v>
      </c>
      <c r="E24" s="2"/>
      <c r="F24" s="7">
        <f t="shared" si="12"/>
        <v>1.7701021786510431E-2</v>
      </c>
      <c r="G24" s="2"/>
      <c r="H24" s="6">
        <v>2287.54</v>
      </c>
      <c r="I24" s="2"/>
      <c r="J24" s="7">
        <f t="shared" si="13"/>
        <v>1.5575353365395417E-2</v>
      </c>
      <c r="K24" s="2"/>
      <c r="L24" s="6">
        <f t="shared" si="14"/>
        <v>168.86000000000013</v>
      </c>
      <c r="M24" s="2"/>
      <c r="N24" s="7">
        <f t="shared" si="15"/>
        <v>7.3817288440857928E-2</v>
      </c>
      <c r="O24" s="11"/>
      <c r="P24" s="6">
        <v>6268.05</v>
      </c>
      <c r="Q24" s="2"/>
      <c r="R24" s="7">
        <f t="shared" si="16"/>
        <v>2.0100686060317483E-2</v>
      </c>
      <c r="S24" s="2"/>
      <c r="T24" s="6">
        <v>5816.62</v>
      </c>
      <c r="U24" s="2"/>
      <c r="V24" s="7">
        <f t="shared" si="17"/>
        <v>1.7934269460377555E-2</v>
      </c>
      <c r="W24" s="2"/>
      <c r="X24" s="6">
        <f t="shared" si="18"/>
        <v>451.43000000000029</v>
      </c>
      <c r="Y24" s="2"/>
      <c r="Z24" s="7">
        <f t="shared" si="19"/>
        <v>7.7610364782296298E-2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-224.96</v>
      </c>
      <c r="E25" s="2"/>
      <c r="F25" s="7">
        <f t="shared" si="12"/>
        <v>-1.6210803863757476E-3</v>
      </c>
      <c r="G25" s="2"/>
      <c r="H25" s="6">
        <v>2120.2399999999998</v>
      </c>
      <c r="I25" s="2"/>
      <c r="J25" s="7">
        <f t="shared" si="13"/>
        <v>1.4436244708047063E-2</v>
      </c>
      <c r="K25" s="2"/>
      <c r="L25" s="6">
        <f t="shared" si="14"/>
        <v>-2345.1999999999998</v>
      </c>
      <c r="M25" s="2"/>
      <c r="N25" s="7">
        <f t="shared" si="15"/>
        <v>-1.1061011960910085</v>
      </c>
      <c r="O25" s="11"/>
      <c r="P25" s="6">
        <v>2120.4299999999998</v>
      </c>
      <c r="Q25" s="2"/>
      <c r="R25" s="7">
        <f t="shared" si="16"/>
        <v>6.7998975347801941E-3</v>
      </c>
      <c r="S25" s="2"/>
      <c r="T25" s="6">
        <v>3256.25</v>
      </c>
      <c r="U25" s="2"/>
      <c r="V25" s="7">
        <f t="shared" si="17"/>
        <v>1.0039931253950645E-2</v>
      </c>
      <c r="W25" s="2"/>
      <c r="X25" s="6">
        <f t="shared" si="18"/>
        <v>-1135.8200000000002</v>
      </c>
      <c r="Y25" s="2"/>
      <c r="Z25" s="7">
        <f t="shared" si="19"/>
        <v>-0.34881228406909792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3090.11</v>
      </c>
      <c r="E26" s="2"/>
      <c r="F26" s="7">
        <f t="shared" si="12"/>
        <v>2.2267588516818818E-2</v>
      </c>
      <c r="G26" s="2"/>
      <c r="H26" s="6">
        <v>3401.61</v>
      </c>
      <c r="I26" s="2"/>
      <c r="J26" s="7">
        <f t="shared" si="13"/>
        <v>2.3160809324104806E-2</v>
      </c>
      <c r="K26" s="2"/>
      <c r="L26" s="6">
        <f t="shared" si="14"/>
        <v>-311.5</v>
      </c>
      <c r="M26" s="2"/>
      <c r="N26" s="7">
        <f t="shared" si="15"/>
        <v>-9.1574283942015694E-2</v>
      </c>
      <c r="O26" s="11"/>
      <c r="P26" s="6">
        <v>12360.44</v>
      </c>
      <c r="Q26" s="2"/>
      <c r="R26" s="7">
        <f t="shared" si="16"/>
        <v>3.9638057132184754E-2</v>
      </c>
      <c r="S26" s="2"/>
      <c r="T26" s="6">
        <v>11463.05</v>
      </c>
      <c r="U26" s="2"/>
      <c r="V26" s="7">
        <f t="shared" si="17"/>
        <v>3.5343795458149391E-2</v>
      </c>
      <c r="W26" s="2"/>
      <c r="X26" s="6">
        <f t="shared" si="18"/>
        <v>897.39000000000124</v>
      </c>
      <c r="Y26" s="2"/>
      <c r="Z26" s="7">
        <f t="shared" si="19"/>
        <v>7.8285447590301122E-2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83.52</v>
      </c>
      <c r="E27" s="2"/>
      <c r="F27" s="7">
        <f t="shared" si="12"/>
        <v>6.0185203534007131E-4</v>
      </c>
      <c r="G27" s="2"/>
      <c r="H27" s="6">
        <v>87.35</v>
      </c>
      <c r="I27" s="2"/>
      <c r="J27" s="7">
        <f t="shared" si="13"/>
        <v>5.9474680944039866E-4</v>
      </c>
      <c r="K27" s="2"/>
      <c r="L27" s="6">
        <f t="shared" si="14"/>
        <v>-3.8299999999999983</v>
      </c>
      <c r="M27" s="2"/>
      <c r="N27" s="7">
        <f t="shared" si="15"/>
        <v>-4.3846594161419561E-2</v>
      </c>
      <c r="O27" s="11"/>
      <c r="P27" s="6">
        <v>240.68</v>
      </c>
      <c r="Q27" s="2"/>
      <c r="R27" s="7">
        <f t="shared" si="16"/>
        <v>7.7182427086529488E-4</v>
      </c>
      <c r="S27" s="2"/>
      <c r="T27" s="6">
        <v>241.89</v>
      </c>
      <c r="U27" s="2"/>
      <c r="V27" s="7">
        <f t="shared" si="17"/>
        <v>7.4581465520710073E-4</v>
      </c>
      <c r="W27" s="2"/>
      <c r="X27" s="6">
        <f t="shared" si="18"/>
        <v>-1.2099999999999795</v>
      </c>
      <c r="Y27" s="2"/>
      <c r="Z27" s="7">
        <f t="shared" si="19"/>
        <v>-5.0022737608002793E-3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898.02</v>
      </c>
      <c r="E28" s="2"/>
      <c r="F28" s="7">
        <f t="shared" si="12"/>
        <v>6.4712064748095165E-3</v>
      </c>
      <c r="G28" s="2"/>
      <c r="H28" s="6">
        <v>900.46</v>
      </c>
      <c r="I28" s="2"/>
      <c r="J28" s="7">
        <f t="shared" si="13"/>
        <v>6.1310327650681336E-3</v>
      </c>
      <c r="K28" s="2"/>
      <c r="L28" s="6">
        <f t="shared" si="14"/>
        <v>-2.4400000000000546</v>
      </c>
      <c r="M28" s="2"/>
      <c r="N28" s="7">
        <f t="shared" si="15"/>
        <v>-2.7097261399729633E-3</v>
      </c>
      <c r="O28" s="11"/>
      <c r="P28" s="6">
        <v>2643.45</v>
      </c>
      <c r="Q28" s="2"/>
      <c r="R28" s="7">
        <f t="shared" si="16"/>
        <v>8.4771433805005143E-3</v>
      </c>
      <c r="S28" s="2"/>
      <c r="T28" s="6">
        <v>2543.64</v>
      </c>
      <c r="U28" s="2"/>
      <c r="V28" s="7">
        <f t="shared" si="17"/>
        <v>7.8427549281532508E-3</v>
      </c>
      <c r="W28" s="2"/>
      <c r="X28" s="6">
        <f t="shared" si="18"/>
        <v>99.809999999999945</v>
      </c>
      <c r="Y28" s="2"/>
      <c r="Z28" s="7">
        <f t="shared" si="19"/>
        <v>3.9239043260838775E-2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1071.26</v>
      </c>
      <c r="E29" s="2"/>
      <c r="F29" s="7">
        <f t="shared" si="12"/>
        <v>7.7195882588410531E-3</v>
      </c>
      <c r="G29" s="2"/>
      <c r="H29" s="6">
        <v>987.15</v>
      </c>
      <c r="I29" s="2"/>
      <c r="J29" s="7">
        <f t="shared" si="13"/>
        <v>6.7212857806421252E-3</v>
      </c>
      <c r="K29" s="2"/>
      <c r="L29" s="6">
        <f t="shared" si="14"/>
        <v>84.110000000000014</v>
      </c>
      <c r="M29" s="2"/>
      <c r="N29" s="7">
        <f t="shared" si="15"/>
        <v>8.520488274325079E-2</v>
      </c>
      <c r="O29" s="11"/>
      <c r="P29" s="6">
        <v>4389.2299999999996</v>
      </c>
      <c r="Q29" s="2"/>
      <c r="R29" s="7">
        <f t="shared" si="16"/>
        <v>1.4075595165406673E-2</v>
      </c>
      <c r="S29" s="2"/>
      <c r="T29" s="6">
        <v>3400.41</v>
      </c>
      <c r="U29" s="2"/>
      <c r="V29" s="7">
        <f t="shared" si="17"/>
        <v>1.0484416932129387E-2</v>
      </c>
      <c r="W29" s="2"/>
      <c r="X29" s="6">
        <f t="shared" si="18"/>
        <v>988.81999999999971</v>
      </c>
      <c r="Y29" s="2"/>
      <c r="Z29" s="7">
        <f t="shared" si="19"/>
        <v>0.290794345387762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589.35</v>
      </c>
      <c r="E30" s="2"/>
      <c r="F30" s="7">
        <f t="shared" si="12"/>
        <v>4.2469048973619618E-3</v>
      </c>
      <c r="G30" s="2"/>
      <c r="H30" s="6">
        <v>574.71</v>
      </c>
      <c r="I30" s="2"/>
      <c r="J30" s="7">
        <f t="shared" si="13"/>
        <v>3.9130731408527943E-3</v>
      </c>
      <c r="K30" s="2"/>
      <c r="L30" s="6">
        <f t="shared" si="14"/>
        <v>14.639999999999986</v>
      </c>
      <c r="M30" s="2"/>
      <c r="N30" s="7">
        <f t="shared" si="15"/>
        <v>2.5473717179098999E-2</v>
      </c>
      <c r="O30" s="11"/>
      <c r="P30" s="6">
        <v>5210.9799999999996</v>
      </c>
      <c r="Q30" s="2"/>
      <c r="R30" s="7">
        <f t="shared" si="16"/>
        <v>1.6710822831118639E-2</v>
      </c>
      <c r="S30" s="2"/>
      <c r="T30" s="6">
        <v>2955.33</v>
      </c>
      <c r="U30" s="2"/>
      <c r="V30" s="7">
        <f t="shared" si="17"/>
        <v>9.1121105666757667E-3</v>
      </c>
      <c r="W30" s="2"/>
      <c r="X30" s="6">
        <f t="shared" si="18"/>
        <v>2255.6499999999996</v>
      </c>
      <c r="Y30" s="2"/>
      <c r="Z30" s="7">
        <f t="shared" si="19"/>
        <v>0.76324809750518541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348.81</v>
      </c>
      <c r="E31" s="2"/>
      <c r="F31" s="7">
        <f t="shared" si="12"/>
        <v>2.5135537409838394E-3</v>
      </c>
      <c r="G31" s="2"/>
      <c r="H31" s="6">
        <v>297.98</v>
      </c>
      <c r="I31" s="2"/>
      <c r="J31" s="7">
        <f t="shared" si="13"/>
        <v>2.0288798428969666E-3</v>
      </c>
      <c r="K31" s="2"/>
      <c r="L31" s="6">
        <f t="shared" si="14"/>
        <v>50.829999999999984</v>
      </c>
      <c r="M31" s="2"/>
      <c r="N31" s="7">
        <f t="shared" si="15"/>
        <v>0.17058191824954688</v>
      </c>
      <c r="O31" s="11"/>
      <c r="P31" s="6">
        <v>1314.16</v>
      </c>
      <c r="Q31" s="2"/>
      <c r="R31" s="7">
        <f t="shared" si="16"/>
        <v>4.2143118821685891E-3</v>
      </c>
      <c r="S31" s="2"/>
      <c r="T31" s="6">
        <v>1163.71</v>
      </c>
      <c r="U31" s="2"/>
      <c r="V31" s="7">
        <f t="shared" si="17"/>
        <v>3.588044038244885E-3</v>
      </c>
      <c r="W31" s="2"/>
      <c r="X31" s="6">
        <f t="shared" si="18"/>
        <v>150.45000000000005</v>
      </c>
      <c r="Y31" s="2"/>
      <c r="Z31" s="7">
        <f t="shared" si="19"/>
        <v>0.12928478744704441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35545.39</v>
      </c>
      <c r="E32" s="1"/>
      <c r="F32" s="5">
        <f t="shared" ref="F32:F38" si="20">IF(D$12=0,0,D32/D$12)</f>
        <v>0.25614302344895373</v>
      </c>
      <c r="G32" s="1"/>
      <c r="H32" s="1">
        <f>SUM(OSRRefH22_1x_0)</f>
        <v>35394.92</v>
      </c>
      <c r="I32" s="1"/>
      <c r="J32" s="5">
        <f t="shared" ref="J32:J38" si="21">IF(H$12=0,0,H32/H$12)</f>
        <v>0.24099617333025938</v>
      </c>
      <c r="K32" s="1"/>
      <c r="L32" s="1">
        <f t="shared" ref="L32:L38" si="22">+D32-H32</f>
        <v>150.47000000000116</v>
      </c>
      <c r="M32" s="1"/>
      <c r="N32" s="5">
        <f t="shared" ref="N32:N38" si="23">IF(H32=0,0,L32/H32)</f>
        <v>4.2511750273768432E-3</v>
      </c>
      <c r="O32" s="13"/>
      <c r="P32" s="1">
        <f>SUM(OSRRefP22_1x_0)</f>
        <v>101024.98</v>
      </c>
      <c r="Q32" s="1"/>
      <c r="R32" s="5">
        <f t="shared" ref="R32:R38" si="24">IF(P$12=0,0,P32/P$12)</f>
        <v>0.32397179461393133</v>
      </c>
      <c r="S32" s="1"/>
      <c r="T32" s="1">
        <f>SUM(OSRRefT22_1x_0)</f>
        <v>95294.890000000014</v>
      </c>
      <c r="U32" s="1"/>
      <c r="V32" s="5">
        <f t="shared" ref="V32:V38" si="25">IF(T$12=0,0,T32/T$12)</f>
        <v>0.29382085050373558</v>
      </c>
      <c r="W32" s="1"/>
      <c r="X32" s="1">
        <f t="shared" ref="X32:X38" si="26">+P32-T32</f>
        <v>5730.089999999982</v>
      </c>
      <c r="Y32" s="1"/>
      <c r="Z32" s="5">
        <f t="shared" ref="Z32:Z38" si="27">IF(T32=0,0,X32/T32)</f>
        <v>6.0130086723432716E-2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6225.71</v>
      </c>
      <c r="E33" s="2"/>
      <c r="F33" s="7">
        <f t="shared" si="20"/>
        <v>4.4862981740146496E-2</v>
      </c>
      <c r="G33" s="2"/>
      <c r="H33" s="6">
        <v>5035.78</v>
      </c>
      <c r="I33" s="2"/>
      <c r="J33" s="7">
        <f t="shared" si="21"/>
        <v>3.4287511025114722E-2</v>
      </c>
      <c r="K33" s="2"/>
      <c r="L33" s="6">
        <f t="shared" si="22"/>
        <v>1189.9300000000003</v>
      </c>
      <c r="M33" s="2"/>
      <c r="N33" s="7">
        <f t="shared" si="23"/>
        <v>0.23629507246146583</v>
      </c>
      <c r="O33" s="11"/>
      <c r="P33" s="6">
        <v>21737.42</v>
      </c>
      <c r="Q33" s="2"/>
      <c r="R33" s="7">
        <f t="shared" si="24"/>
        <v>6.9708610362276366E-2</v>
      </c>
      <c r="S33" s="2"/>
      <c r="T33" s="6">
        <v>20369.52</v>
      </c>
      <c r="U33" s="2"/>
      <c r="V33" s="7">
        <f t="shared" si="25"/>
        <v>6.2804938341949418E-2</v>
      </c>
      <c r="W33" s="2"/>
      <c r="X33" s="6">
        <f t="shared" si="26"/>
        <v>1367.8999999999978</v>
      </c>
      <c r="Y33" s="2"/>
      <c r="Z33" s="7">
        <f t="shared" si="27"/>
        <v>6.7154257930476413E-2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4143.22</v>
      </c>
      <c r="E34" s="2"/>
      <c r="F34" s="7">
        <f t="shared" si="20"/>
        <v>2.9856386372865067E-2</v>
      </c>
      <c r="G34" s="2"/>
      <c r="H34" s="6">
        <v>4526.8500000000004</v>
      </c>
      <c r="I34" s="2"/>
      <c r="J34" s="7">
        <f t="shared" si="21"/>
        <v>3.0822319339613845E-2</v>
      </c>
      <c r="K34" s="2"/>
      <c r="L34" s="6">
        <f t="shared" si="22"/>
        <v>-383.63000000000011</v>
      </c>
      <c r="M34" s="2"/>
      <c r="N34" s="7">
        <f t="shared" si="23"/>
        <v>-8.4745463180799022E-2</v>
      </c>
      <c r="O34" s="11"/>
      <c r="P34" s="6">
        <v>13763.85</v>
      </c>
      <c r="Q34" s="2"/>
      <c r="R34" s="7">
        <f t="shared" si="24"/>
        <v>4.4138580233294374E-2</v>
      </c>
      <c r="S34" s="2"/>
      <c r="T34" s="6">
        <v>13454.39</v>
      </c>
      <c r="U34" s="2"/>
      <c r="V34" s="7">
        <f t="shared" si="25"/>
        <v>4.1483654714423349E-2</v>
      </c>
      <c r="W34" s="2"/>
      <c r="X34" s="6">
        <f t="shared" si="26"/>
        <v>309.46000000000095</v>
      </c>
      <c r="Y34" s="2"/>
      <c r="Z34" s="7">
        <f t="shared" si="27"/>
        <v>2.3000671156403297E-2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15188.56</v>
      </c>
      <c r="E35" s="2"/>
      <c r="F35" s="7">
        <f t="shared" si="20"/>
        <v>0.10945002095168574</v>
      </c>
      <c r="G35" s="2"/>
      <c r="H35" s="6">
        <v>12684.81</v>
      </c>
      <c r="I35" s="2"/>
      <c r="J35" s="7">
        <f t="shared" si="21"/>
        <v>8.6368062688696789E-2</v>
      </c>
      <c r="K35" s="2"/>
      <c r="L35" s="6">
        <f t="shared" si="22"/>
        <v>2503.75</v>
      </c>
      <c r="M35" s="2"/>
      <c r="N35" s="7">
        <f t="shared" si="23"/>
        <v>0.1973817502981913</v>
      </c>
      <c r="O35" s="11"/>
      <c r="P35" s="6">
        <v>31502.37</v>
      </c>
      <c r="Q35" s="2"/>
      <c r="R35" s="7">
        <f t="shared" si="24"/>
        <v>0.10102332456281676</v>
      </c>
      <c r="S35" s="2"/>
      <c r="T35" s="6">
        <v>25533.510000000002</v>
      </c>
      <c r="U35" s="2"/>
      <c r="V35" s="7">
        <f t="shared" si="25"/>
        <v>7.8726966624817318E-2</v>
      </c>
      <c r="W35" s="2"/>
      <c r="X35" s="6">
        <f t="shared" si="26"/>
        <v>5968.8599999999969</v>
      </c>
      <c r="Y35" s="2"/>
      <c r="Z35" s="7">
        <f t="shared" si="27"/>
        <v>0.23376574548505069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200.5</v>
      </c>
      <c r="Q36" s="2"/>
      <c r="R36" s="7">
        <f t="shared" si="24"/>
        <v>6.4297310249497933E-4</v>
      </c>
      <c r="S36" s="2"/>
      <c r="T36" s="6"/>
      <c r="U36" s="2"/>
      <c r="V36" s="7">
        <f t="shared" si="25"/>
        <v>0</v>
      </c>
      <c r="W36" s="2"/>
      <c r="X36" s="6">
        <f t="shared" si="26"/>
        <v>200.5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9987.9</v>
      </c>
      <c r="E37" s="2"/>
      <c r="F37" s="7">
        <f t="shared" si="20"/>
        <v>7.1973634384256441E-2</v>
      </c>
      <c r="G37" s="2"/>
      <c r="H37" s="6">
        <v>12421.48</v>
      </c>
      <c r="I37" s="2"/>
      <c r="J37" s="7">
        <f t="shared" si="21"/>
        <v>8.4575107023786192E-2</v>
      </c>
      <c r="K37" s="2"/>
      <c r="L37" s="6">
        <f t="shared" si="22"/>
        <v>-2433.58</v>
      </c>
      <c r="M37" s="2"/>
      <c r="N37" s="7">
        <f t="shared" si="23"/>
        <v>-0.19591707268377037</v>
      </c>
      <c r="O37" s="11"/>
      <c r="P37" s="6">
        <v>33820.839999999997</v>
      </c>
      <c r="Q37" s="2"/>
      <c r="R37" s="7">
        <f t="shared" si="24"/>
        <v>0.10845830635304884</v>
      </c>
      <c r="S37" s="2"/>
      <c r="T37" s="6">
        <v>35211.47</v>
      </c>
      <c r="U37" s="2"/>
      <c r="V37" s="7">
        <f t="shared" si="25"/>
        <v>0.10856682937444778</v>
      </c>
      <c r="W37" s="2"/>
      <c r="X37" s="6">
        <f t="shared" si="26"/>
        <v>-1390.6300000000047</v>
      </c>
      <c r="Y37" s="2"/>
      <c r="Z37" s="7">
        <f t="shared" si="27"/>
        <v>-3.9493664990413763E-2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726</v>
      </c>
      <c r="I38" s="2"/>
      <c r="J38" s="7">
        <f t="shared" si="21"/>
        <v>4.9431732530478478E-3</v>
      </c>
      <c r="K38" s="2"/>
      <c r="L38" s="6">
        <f t="shared" si="22"/>
        <v>-726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726</v>
      </c>
      <c r="U38" s="2"/>
      <c r="V38" s="7">
        <f t="shared" si="25"/>
        <v>2.2384614480977102E-3</v>
      </c>
      <c r="W38" s="2"/>
      <c r="X38" s="6">
        <f t="shared" si="26"/>
        <v>-726</v>
      </c>
      <c r="Y38" s="2"/>
      <c r="Z38" s="7">
        <f t="shared" si="27"/>
        <v>-1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575.12</v>
      </c>
      <c r="E39" s="1"/>
      <c r="F39" s="5">
        <f t="shared" ref="F39:F47" si="28">IF(D$12=0,0,D39/D$12)</f>
        <v>4.1443623391377131E-3</v>
      </c>
      <c r="G39" s="1"/>
      <c r="H39" s="1">
        <f>SUM(OSRRefH22_2x_0)</f>
        <v>689.14</v>
      </c>
      <c r="I39" s="1"/>
      <c r="J39" s="5">
        <f t="shared" ref="J39:J47" si="29">IF(H$12=0,0,H39/H$12)</f>
        <v>4.6922016743875944E-3</v>
      </c>
      <c r="K39" s="1"/>
      <c r="L39" s="1">
        <f t="shared" ref="L39:L47" si="30">+D39-H39</f>
        <v>-114.01999999999998</v>
      </c>
      <c r="M39" s="1"/>
      <c r="N39" s="5">
        <f t="shared" ref="N39:N47" si="31">IF(H39=0,0,L39/H39)</f>
        <v>-0.165452593087036</v>
      </c>
      <c r="O39" s="13"/>
      <c r="P39" s="1">
        <f>SUM(OSRRefP22_2x_0)</f>
        <v>2588.98</v>
      </c>
      <c r="Q39" s="1"/>
      <c r="R39" s="5">
        <f t="shared" ref="R39:R47" si="32">IF(P$12=0,0,P39/P$12)</f>
        <v>8.3024663486157193E-3</v>
      </c>
      <c r="S39" s="1"/>
      <c r="T39" s="1">
        <f>SUM(OSRRefT22_2x_0)</f>
        <v>1254.98</v>
      </c>
      <c r="U39" s="1"/>
      <c r="V39" s="5">
        <f t="shared" ref="V39:V47" si="33">IF(T$12=0,0,T39/T$12)</f>
        <v>3.8694550249774992E-3</v>
      </c>
      <c r="W39" s="1"/>
      <c r="X39" s="1">
        <f t="shared" ref="X39:X47" si="34">+P39-T39</f>
        <v>1334</v>
      </c>
      <c r="Y39" s="1"/>
      <c r="Z39" s="5">
        <f t="shared" ref="Z39:Z47" si="35">IF(T39=0,0,X39/T39)</f>
        <v>1.0629651468549299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575.12</v>
      </c>
      <c r="E40" s="2"/>
      <c r="F40" s="7">
        <f t="shared" si="28"/>
        <v>4.1443623391377131E-3</v>
      </c>
      <c r="G40" s="2"/>
      <c r="H40" s="6">
        <v>689.14</v>
      </c>
      <c r="I40" s="2"/>
      <c r="J40" s="7">
        <f t="shared" si="29"/>
        <v>4.6922016743875944E-3</v>
      </c>
      <c r="K40" s="2"/>
      <c r="L40" s="6">
        <f t="shared" si="30"/>
        <v>-114.01999999999998</v>
      </c>
      <c r="M40" s="2"/>
      <c r="N40" s="7">
        <f t="shared" si="31"/>
        <v>-0.165452593087036</v>
      </c>
      <c r="O40" s="11"/>
      <c r="P40" s="6">
        <v>2588.98</v>
      </c>
      <c r="Q40" s="2"/>
      <c r="R40" s="7">
        <f t="shared" si="32"/>
        <v>8.3024663486157193E-3</v>
      </c>
      <c r="S40" s="2"/>
      <c r="T40" s="6">
        <v>1254.98</v>
      </c>
      <c r="U40" s="2"/>
      <c r="V40" s="7">
        <f t="shared" si="33"/>
        <v>3.8694550249774992E-3</v>
      </c>
      <c r="W40" s="2"/>
      <c r="X40" s="6">
        <f t="shared" si="34"/>
        <v>1334</v>
      </c>
      <c r="Y40" s="2"/>
      <c r="Z40" s="7">
        <f t="shared" si="35"/>
        <v>1.0629651468549299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-8.65</v>
      </c>
      <c r="E41" s="1"/>
      <c r="F41" s="5">
        <f t="shared" si="28"/>
        <v>-6.2332616207993498E-5</v>
      </c>
      <c r="G41" s="1"/>
      <c r="H41" s="1">
        <f>SUM(OSRRefH22_3x_0)</f>
        <v>22.32</v>
      </c>
      <c r="I41" s="1"/>
      <c r="J41" s="5">
        <f t="shared" si="29"/>
        <v>1.5197193802758672E-4</v>
      </c>
      <c r="K41" s="1"/>
      <c r="L41" s="1">
        <f t="shared" si="30"/>
        <v>-30.97</v>
      </c>
      <c r="M41" s="1"/>
      <c r="N41" s="5">
        <f t="shared" si="31"/>
        <v>-1.3875448028673834</v>
      </c>
      <c r="O41" s="13"/>
      <c r="P41" s="1">
        <f>SUM(OSRRefP22_3x_0)</f>
        <v>-6.62</v>
      </c>
      <c r="Q41" s="1"/>
      <c r="R41" s="5">
        <f t="shared" si="32"/>
        <v>-2.1229336351704555E-5</v>
      </c>
      <c r="S41" s="1"/>
      <c r="T41" s="1">
        <f>SUM(OSRRefT22_3x_0)</f>
        <v>46.77</v>
      </c>
      <c r="U41" s="1"/>
      <c r="V41" s="5">
        <f t="shared" si="33"/>
        <v>1.4420501642910458E-4</v>
      </c>
      <c r="W41" s="1"/>
      <c r="X41" s="1">
        <f t="shared" si="34"/>
        <v>-53.39</v>
      </c>
      <c r="Y41" s="1"/>
      <c r="Z41" s="5">
        <f t="shared" si="35"/>
        <v>-1.1415437246097926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-8.65</v>
      </c>
      <c r="E42" s="2"/>
      <c r="F42" s="7">
        <f t="shared" si="28"/>
        <v>-6.2332616207993498E-5</v>
      </c>
      <c r="G42" s="2"/>
      <c r="H42" s="6">
        <v>22.32</v>
      </c>
      <c r="I42" s="2"/>
      <c r="J42" s="7">
        <f t="shared" si="29"/>
        <v>1.5197193802758672E-4</v>
      </c>
      <c r="K42" s="2"/>
      <c r="L42" s="6">
        <f t="shared" si="30"/>
        <v>-30.97</v>
      </c>
      <c r="M42" s="2"/>
      <c r="N42" s="7">
        <f t="shared" si="31"/>
        <v>-1.3875448028673834</v>
      </c>
      <c r="O42" s="11"/>
      <c r="P42" s="6">
        <v>-6.62</v>
      </c>
      <c r="Q42" s="2"/>
      <c r="R42" s="7">
        <f t="shared" si="32"/>
        <v>-2.1229336351704555E-5</v>
      </c>
      <c r="S42" s="2"/>
      <c r="T42" s="6">
        <v>46.77</v>
      </c>
      <c r="U42" s="2"/>
      <c r="V42" s="7">
        <f t="shared" si="33"/>
        <v>1.4420501642910458E-4</v>
      </c>
      <c r="W42" s="2"/>
      <c r="X42" s="6">
        <f t="shared" si="34"/>
        <v>-53.39</v>
      </c>
      <c r="Y42" s="2"/>
      <c r="Z42" s="7">
        <f t="shared" si="35"/>
        <v>-1.1415437246097926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5588.45</v>
      </c>
      <c r="E43" s="1"/>
      <c r="F43" s="5">
        <f t="shared" si="28"/>
        <v>4.0270833415903033E-2</v>
      </c>
      <c r="G43" s="1"/>
      <c r="H43" s="1">
        <f>SUM(OSRRefH22_4x_0)</f>
        <v>5517.61</v>
      </c>
      <c r="I43" s="1"/>
      <c r="J43" s="5">
        <f t="shared" si="29"/>
        <v>3.7568184810949493E-2</v>
      </c>
      <c r="K43" s="1"/>
      <c r="L43" s="1">
        <f t="shared" si="30"/>
        <v>70.840000000000146</v>
      </c>
      <c r="M43" s="1"/>
      <c r="N43" s="5">
        <f t="shared" si="31"/>
        <v>1.2838892201514813E-2</v>
      </c>
      <c r="O43" s="13"/>
      <c r="P43" s="1">
        <f>SUM(OSRRefP22_4x_0)</f>
        <v>11981.29</v>
      </c>
      <c r="Q43" s="1"/>
      <c r="R43" s="5">
        <f t="shared" si="32"/>
        <v>3.8422180564548984E-2</v>
      </c>
      <c r="S43" s="1"/>
      <c r="T43" s="1">
        <f>SUM(OSRRefT22_4x_0)</f>
        <v>11698.58</v>
      </c>
      <c r="U43" s="1"/>
      <c r="V43" s="5">
        <f t="shared" si="33"/>
        <v>3.6070000451083897E-2</v>
      </c>
      <c r="W43" s="1"/>
      <c r="X43" s="1">
        <f t="shared" si="34"/>
        <v>282.71000000000095</v>
      </c>
      <c r="Y43" s="1"/>
      <c r="Z43" s="5">
        <f t="shared" si="35"/>
        <v>2.4166180852718957E-2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5588.45</v>
      </c>
      <c r="E44" s="2"/>
      <c r="F44" s="7">
        <f t="shared" si="28"/>
        <v>4.0270833415903033E-2</v>
      </c>
      <c r="G44" s="2"/>
      <c r="H44" s="6">
        <v>5517.61</v>
      </c>
      <c r="I44" s="2"/>
      <c r="J44" s="7">
        <f t="shared" si="29"/>
        <v>3.7568184810949493E-2</v>
      </c>
      <c r="K44" s="2"/>
      <c r="L44" s="6">
        <f t="shared" si="30"/>
        <v>70.840000000000146</v>
      </c>
      <c r="M44" s="2"/>
      <c r="N44" s="7">
        <f t="shared" si="31"/>
        <v>1.2838892201514813E-2</v>
      </c>
      <c r="O44" s="11"/>
      <c r="P44" s="6">
        <v>11981.29</v>
      </c>
      <c r="Q44" s="2"/>
      <c r="R44" s="7">
        <f t="shared" si="32"/>
        <v>3.8422180564548984E-2</v>
      </c>
      <c r="S44" s="2"/>
      <c r="T44" s="6">
        <v>11698.58</v>
      </c>
      <c r="U44" s="2"/>
      <c r="V44" s="7">
        <f t="shared" si="33"/>
        <v>3.6070000451083897E-2</v>
      </c>
      <c r="W44" s="2"/>
      <c r="X44" s="6">
        <f t="shared" si="34"/>
        <v>282.71000000000095</v>
      </c>
      <c r="Y44" s="2"/>
      <c r="Z44" s="7">
        <f t="shared" si="35"/>
        <v>2.4166180852718957E-2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13266.91</v>
      </c>
      <c r="E45" s="1"/>
      <c r="F45" s="5">
        <f t="shared" si="28"/>
        <v>9.5602451941733058E-2</v>
      </c>
      <c r="G45" s="1"/>
      <c r="H45" s="1">
        <f>SUM(OSRRefH22_5x_0)</f>
        <v>13266.9</v>
      </c>
      <c r="I45" s="1"/>
      <c r="J45" s="5">
        <f t="shared" si="29"/>
        <v>9.033138461551031E-2</v>
      </c>
      <c r="K45" s="1"/>
      <c r="L45" s="1">
        <f t="shared" si="30"/>
        <v>1.0000000000218279E-2</v>
      </c>
      <c r="M45" s="1"/>
      <c r="N45" s="5">
        <f t="shared" si="31"/>
        <v>7.537555872297431E-7</v>
      </c>
      <c r="O45" s="13"/>
      <c r="P45" s="1">
        <f>SUM(OSRRefP22_5x_0)</f>
        <v>53067.64</v>
      </c>
      <c r="Q45" s="1"/>
      <c r="R45" s="5">
        <f t="shared" si="32"/>
        <v>0.17017987597449707</v>
      </c>
      <c r="S45" s="1"/>
      <c r="T45" s="1">
        <f>SUM(OSRRefT22_5x_0)</f>
        <v>53067.6</v>
      </c>
      <c r="U45" s="1"/>
      <c r="V45" s="5">
        <f t="shared" si="33"/>
        <v>0.16362228201524801</v>
      </c>
      <c r="W45" s="1"/>
      <c r="X45" s="1">
        <f t="shared" si="34"/>
        <v>4.0000000000873115E-2</v>
      </c>
      <c r="Y45" s="1"/>
      <c r="Z45" s="5">
        <f t="shared" si="35"/>
        <v>7.537555872297431E-7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10612.46</v>
      </c>
      <c r="E46" s="2"/>
      <c r="F46" s="7">
        <f t="shared" si="28"/>
        <v>7.6474265456957527E-2</v>
      </c>
      <c r="G46" s="2"/>
      <c r="H46" s="6">
        <v>10612.46</v>
      </c>
      <c r="I46" s="2"/>
      <c r="J46" s="7">
        <f t="shared" si="29"/>
        <v>7.2257890387107657E-2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42449.84</v>
      </c>
      <c r="Q46" s="2"/>
      <c r="R46" s="7">
        <f t="shared" si="32"/>
        <v>0.13613020112326918</v>
      </c>
      <c r="S46" s="2"/>
      <c r="T46" s="6">
        <v>42449.84</v>
      </c>
      <c r="U46" s="2"/>
      <c r="V46" s="7">
        <f t="shared" si="33"/>
        <v>0.13088475250401665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2654.45</v>
      </c>
      <c r="E47" s="2"/>
      <c r="F47" s="7">
        <f t="shared" si="28"/>
        <v>1.9128186484775527E-2</v>
      </c>
      <c r="G47" s="2"/>
      <c r="H47" s="6">
        <v>2654.44</v>
      </c>
      <c r="I47" s="2"/>
      <c r="J47" s="7">
        <f t="shared" si="29"/>
        <v>1.8073494228402657E-2</v>
      </c>
      <c r="K47" s="2"/>
      <c r="L47" s="6">
        <f t="shared" si="30"/>
        <v>9.9999999997635314E-3</v>
      </c>
      <c r="M47" s="2"/>
      <c r="N47" s="7">
        <f t="shared" si="31"/>
        <v>3.7672729463704327E-6</v>
      </c>
      <c r="O47" s="11"/>
      <c r="P47" s="6">
        <v>10617.8</v>
      </c>
      <c r="Q47" s="2"/>
      <c r="R47" s="7">
        <f t="shared" si="32"/>
        <v>3.4049674851227889E-2</v>
      </c>
      <c r="S47" s="2"/>
      <c r="T47" s="6">
        <v>10617.76</v>
      </c>
      <c r="U47" s="2"/>
      <c r="V47" s="7">
        <f t="shared" si="33"/>
        <v>3.2737529511231329E-2</v>
      </c>
      <c r="W47" s="2"/>
      <c r="X47" s="6">
        <f t="shared" si="34"/>
        <v>3.9999999999054126E-2</v>
      </c>
      <c r="Y47" s="2"/>
      <c r="Z47" s="7">
        <f t="shared" si="35"/>
        <v>3.7672729463704327E-6</v>
      </c>
    </row>
    <row r="48" spans="1:26" s="27" customFormat="1" outlineLevel="1" collapsed="1" x14ac:dyDescent="0.25">
      <c r="A48" s="25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33.28</v>
      </c>
      <c r="E48" s="1"/>
      <c r="F48" s="5">
        <f t="shared" ref="F48:F61" si="36">IF(D$12=0,0,D48/D$12)</f>
        <v>2.3981843553780619E-4</v>
      </c>
      <c r="G48" s="1"/>
      <c r="H48" s="1">
        <f>SUM(OSRRefH22_6x_0)</f>
        <v>48.04</v>
      </c>
      <c r="I48" s="1"/>
      <c r="J48" s="5">
        <f t="shared" ref="J48:J61" si="37">IF(H$12=0,0,H48/H$12)</f>
        <v>3.2709372324575564E-4</v>
      </c>
      <c r="K48" s="1"/>
      <c r="L48" s="1">
        <f t="shared" ref="L48:L61" si="38">+D48-H48</f>
        <v>-14.759999999999998</v>
      </c>
      <c r="M48" s="1"/>
      <c r="N48" s="5">
        <f t="shared" ref="N48:N61" si="39">IF(H48=0,0,L48/H48)</f>
        <v>-0.30724396336386339</v>
      </c>
      <c r="O48" s="13"/>
      <c r="P48" s="1">
        <f>SUM(OSRRefP22_6x_0)</f>
        <v>48.63</v>
      </c>
      <c r="Q48" s="1"/>
      <c r="R48" s="5">
        <f t="shared" ref="R48:R61" si="40">IF(P$12=0,0,P48/P$12)</f>
        <v>1.5594903727845808E-4</v>
      </c>
      <c r="S48" s="1"/>
      <c r="T48" s="1">
        <f>SUM(OSRRefT22_6x_0)</f>
        <v>48.04</v>
      </c>
      <c r="U48" s="1"/>
      <c r="V48" s="5">
        <f t="shared" ref="V48:V61" si="41">IF(T$12=0,0,T48/T$12)</f>
        <v>1.4812078232315977E-4</v>
      </c>
      <c r="W48" s="1"/>
      <c r="X48" s="1">
        <f t="shared" ref="X48:X61" si="42">+P48-T48</f>
        <v>0.59000000000000341</v>
      </c>
      <c r="Y48" s="1"/>
      <c r="Z48" s="5">
        <f t="shared" ref="Z48:Z61" si="43">IF(T48=0,0,X48/T48)</f>
        <v>1.2281432139883502E-2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>
        <v>33.28</v>
      </c>
      <c r="E49" s="2"/>
      <c r="F49" s="7">
        <f t="shared" si="36"/>
        <v>2.3981843553780619E-4</v>
      </c>
      <c r="G49" s="2"/>
      <c r="H49" s="6">
        <v>48.04</v>
      </c>
      <c r="I49" s="2"/>
      <c r="J49" s="7">
        <f t="shared" si="37"/>
        <v>3.2709372324575564E-4</v>
      </c>
      <c r="K49" s="2"/>
      <c r="L49" s="6">
        <f t="shared" si="38"/>
        <v>-14.759999999999998</v>
      </c>
      <c r="M49" s="2"/>
      <c r="N49" s="7">
        <f t="shared" si="39"/>
        <v>-0.30724396336386339</v>
      </c>
      <c r="O49" s="11"/>
      <c r="P49" s="6">
        <v>48.63</v>
      </c>
      <c r="Q49" s="2"/>
      <c r="R49" s="7">
        <f t="shared" si="40"/>
        <v>1.5594903727845808E-4</v>
      </c>
      <c r="S49" s="2"/>
      <c r="T49" s="6">
        <v>48.04</v>
      </c>
      <c r="U49" s="2"/>
      <c r="V49" s="7">
        <f t="shared" si="41"/>
        <v>1.4812078232315977E-4</v>
      </c>
      <c r="W49" s="2"/>
      <c r="X49" s="6">
        <f t="shared" si="42"/>
        <v>0.59000000000000341</v>
      </c>
      <c r="Y49" s="2"/>
      <c r="Z49" s="7">
        <f t="shared" si="43"/>
        <v>1.2281432139883502E-2</v>
      </c>
    </row>
    <row r="50" spans="1:26" s="27" customFormat="1" outlineLevel="1" collapsed="1" x14ac:dyDescent="0.25">
      <c r="A50" s="25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123.73</v>
      </c>
      <c r="E50" s="1"/>
      <c r="F50" s="5">
        <f t="shared" si="36"/>
        <v>8.9160862467225837E-4</v>
      </c>
      <c r="G50" s="1"/>
      <c r="H50" s="1">
        <f>SUM(OSRRefH22_7x_0)</f>
        <v>113.79</v>
      </c>
      <c r="I50" s="1"/>
      <c r="J50" s="5">
        <f t="shared" si="37"/>
        <v>7.7477091524010271E-4</v>
      </c>
      <c r="K50" s="1"/>
      <c r="L50" s="1">
        <f t="shared" si="38"/>
        <v>9.9399999999999977</v>
      </c>
      <c r="M50" s="1"/>
      <c r="N50" s="5">
        <f t="shared" si="39"/>
        <v>8.7353897530538682E-2</v>
      </c>
      <c r="O50" s="13"/>
      <c r="P50" s="1">
        <f>SUM(OSRRefP22_7x_0)</f>
        <v>472.93</v>
      </c>
      <c r="Q50" s="1"/>
      <c r="R50" s="5">
        <f t="shared" si="40"/>
        <v>1.5166148097902773E-3</v>
      </c>
      <c r="S50" s="1"/>
      <c r="T50" s="1">
        <f>SUM(OSRRefT22_7x_0)</f>
        <v>469.17</v>
      </c>
      <c r="U50" s="1"/>
      <c r="V50" s="5">
        <f t="shared" si="41"/>
        <v>1.4465825862314088E-3</v>
      </c>
      <c r="W50" s="1"/>
      <c r="X50" s="1">
        <f t="shared" si="42"/>
        <v>3.7599999999999909</v>
      </c>
      <c r="Y50" s="1"/>
      <c r="Z50" s="5">
        <f t="shared" si="43"/>
        <v>8.0141526525566234E-3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123.73</v>
      </c>
      <c r="E51" s="2"/>
      <c r="F51" s="7">
        <f t="shared" si="36"/>
        <v>8.9160862467225837E-4</v>
      </c>
      <c r="G51" s="2"/>
      <c r="H51" s="6">
        <v>113.79</v>
      </c>
      <c r="I51" s="2"/>
      <c r="J51" s="7">
        <f t="shared" si="37"/>
        <v>7.7477091524010271E-4</v>
      </c>
      <c r="K51" s="2"/>
      <c r="L51" s="6">
        <f t="shared" si="38"/>
        <v>9.9399999999999977</v>
      </c>
      <c r="M51" s="2"/>
      <c r="N51" s="7">
        <f t="shared" si="39"/>
        <v>8.7353897530538682E-2</v>
      </c>
      <c r="O51" s="11"/>
      <c r="P51" s="6">
        <v>472.93</v>
      </c>
      <c r="Q51" s="2"/>
      <c r="R51" s="7">
        <f t="shared" si="40"/>
        <v>1.5166148097902773E-3</v>
      </c>
      <c r="S51" s="2"/>
      <c r="T51" s="6">
        <v>469.17</v>
      </c>
      <c r="U51" s="2"/>
      <c r="V51" s="7">
        <f t="shared" si="41"/>
        <v>1.4465825862314088E-3</v>
      </c>
      <c r="W51" s="2"/>
      <c r="X51" s="6">
        <f t="shared" si="42"/>
        <v>3.7599999999999909</v>
      </c>
      <c r="Y51" s="2"/>
      <c r="Z51" s="7">
        <f t="shared" si="43"/>
        <v>8.0141526525566234E-3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0</v>
      </c>
      <c r="E52" s="1"/>
      <c r="F52" s="5">
        <f t="shared" si="36"/>
        <v>0</v>
      </c>
      <c r="G52" s="1"/>
      <c r="H52" s="1">
        <f>SUM(OSRRefH22_8x_0)</f>
        <v>322.77</v>
      </c>
      <c r="I52" s="1"/>
      <c r="J52" s="5">
        <f t="shared" si="37"/>
        <v>2.1976694640306526E-3</v>
      </c>
      <c r="K52" s="1"/>
      <c r="L52" s="1">
        <f t="shared" si="38"/>
        <v>-322.77</v>
      </c>
      <c r="M52" s="1"/>
      <c r="N52" s="5">
        <f t="shared" si="39"/>
        <v>-1</v>
      </c>
      <c r="O52" s="13"/>
      <c r="P52" s="1">
        <f>SUM(OSRRefP22_8x_0)</f>
        <v>1354.55</v>
      </c>
      <c r="Q52" s="1"/>
      <c r="R52" s="5">
        <f t="shared" si="40"/>
        <v>4.343836488701118E-3</v>
      </c>
      <c r="S52" s="1"/>
      <c r="T52" s="1">
        <f>SUM(OSRRefT22_8x_0)</f>
        <v>1631.97</v>
      </c>
      <c r="U52" s="1"/>
      <c r="V52" s="5">
        <f t="shared" si="41"/>
        <v>5.0318208394655927E-3</v>
      </c>
      <c r="W52" s="1"/>
      <c r="X52" s="1">
        <f t="shared" si="42"/>
        <v>-277.42000000000007</v>
      </c>
      <c r="Y52" s="1"/>
      <c r="Z52" s="5">
        <f t="shared" si="43"/>
        <v>-0.16999086993020709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6"/>
        <v>0</v>
      </c>
      <c r="G53" s="2"/>
      <c r="H53" s="6">
        <v>322.77</v>
      </c>
      <c r="I53" s="2"/>
      <c r="J53" s="7">
        <f t="shared" si="37"/>
        <v>2.1976694640306526E-3</v>
      </c>
      <c r="K53" s="2"/>
      <c r="L53" s="6">
        <f t="shared" si="38"/>
        <v>-322.77</v>
      </c>
      <c r="M53" s="2"/>
      <c r="N53" s="7">
        <f t="shared" si="39"/>
        <v>-1</v>
      </c>
      <c r="O53" s="11"/>
      <c r="P53" s="6">
        <v>1354.55</v>
      </c>
      <c r="Q53" s="2"/>
      <c r="R53" s="7">
        <f t="shared" si="40"/>
        <v>4.343836488701118E-3</v>
      </c>
      <c r="S53" s="2"/>
      <c r="T53" s="6">
        <v>1631.97</v>
      </c>
      <c r="U53" s="2"/>
      <c r="V53" s="7">
        <f t="shared" si="41"/>
        <v>5.0318208394655927E-3</v>
      </c>
      <c r="W53" s="2"/>
      <c r="X53" s="6">
        <f t="shared" si="42"/>
        <v>-277.42000000000007</v>
      </c>
      <c r="Y53" s="2"/>
      <c r="Z53" s="7">
        <f t="shared" si="43"/>
        <v>-0.16999086993020709</v>
      </c>
    </row>
    <row r="54" spans="1:26" s="27" customFormat="1" outlineLevel="1" collapsed="1" x14ac:dyDescent="0.25">
      <c r="A54" s="25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641.28</v>
      </c>
      <c r="E54" s="1"/>
      <c r="F54" s="5">
        <f t="shared" si="36"/>
        <v>4.6211167770938803E-3</v>
      </c>
      <c r="G54" s="1"/>
      <c r="H54" s="1">
        <f>SUM(OSRRefH22_9x_0)</f>
        <v>604.16</v>
      </c>
      <c r="I54" s="1"/>
      <c r="J54" s="5">
        <f t="shared" si="37"/>
        <v>4.1135916701947484E-3</v>
      </c>
      <c r="K54" s="1"/>
      <c r="L54" s="1">
        <f t="shared" si="38"/>
        <v>37.120000000000005</v>
      </c>
      <c r="M54" s="1"/>
      <c r="N54" s="5">
        <f t="shared" si="39"/>
        <v>6.1440677966101705E-2</v>
      </c>
      <c r="O54" s="13"/>
      <c r="P54" s="1">
        <f>SUM(OSRRefP22_9x_0)</f>
        <v>2565.12</v>
      </c>
      <c r="Q54" s="1"/>
      <c r="R54" s="5">
        <f t="shared" si="40"/>
        <v>8.2259509459946204E-3</v>
      </c>
      <c r="S54" s="1"/>
      <c r="T54" s="1">
        <f>SUM(OSRRefT22_9x_0)</f>
        <v>2416.64</v>
      </c>
      <c r="U54" s="1"/>
      <c r="V54" s="5">
        <f t="shared" si="41"/>
        <v>7.4511783387477279E-3</v>
      </c>
      <c r="W54" s="1"/>
      <c r="X54" s="1">
        <f t="shared" si="42"/>
        <v>148.48000000000002</v>
      </c>
      <c r="Y54" s="1"/>
      <c r="Z54" s="5">
        <f t="shared" si="43"/>
        <v>6.1440677966101705E-2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641.28</v>
      </c>
      <c r="E55" s="2"/>
      <c r="F55" s="7">
        <f t="shared" si="36"/>
        <v>4.6211167770938803E-3</v>
      </c>
      <c r="G55" s="2"/>
      <c r="H55" s="6">
        <v>604.16</v>
      </c>
      <c r="I55" s="2"/>
      <c r="J55" s="7">
        <f t="shared" si="37"/>
        <v>4.1135916701947484E-3</v>
      </c>
      <c r="K55" s="2"/>
      <c r="L55" s="6">
        <f t="shared" si="38"/>
        <v>37.120000000000005</v>
      </c>
      <c r="M55" s="2"/>
      <c r="N55" s="7">
        <f t="shared" si="39"/>
        <v>6.1440677966101705E-2</v>
      </c>
      <c r="O55" s="11"/>
      <c r="P55" s="6">
        <v>2565.12</v>
      </c>
      <c r="Q55" s="2"/>
      <c r="R55" s="7">
        <f t="shared" si="40"/>
        <v>8.2259509459946204E-3</v>
      </c>
      <c r="S55" s="2"/>
      <c r="T55" s="6">
        <v>2416.64</v>
      </c>
      <c r="U55" s="2"/>
      <c r="V55" s="7">
        <f t="shared" si="41"/>
        <v>7.4511783387477279E-3</v>
      </c>
      <c r="W55" s="2"/>
      <c r="X55" s="6">
        <f t="shared" si="42"/>
        <v>148.48000000000002</v>
      </c>
      <c r="Y55" s="2"/>
      <c r="Z55" s="7">
        <f t="shared" si="43"/>
        <v>6.1440677966101705E-2</v>
      </c>
    </row>
    <row r="56" spans="1:26" s="27" customFormat="1" outlineLevel="1" collapsed="1" x14ac:dyDescent="0.25">
      <c r="A56" s="25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7733.05</v>
      </c>
      <c r="E56" s="1"/>
      <c r="F56" s="5">
        <f t="shared" si="36"/>
        <v>5.5724998585806255E-2</v>
      </c>
      <c r="G56" s="1"/>
      <c r="H56" s="1">
        <f>SUM(OSRRefH22_10x_0)</f>
        <v>7549.1</v>
      </c>
      <c r="I56" s="1"/>
      <c r="J56" s="5">
        <f t="shared" si="37"/>
        <v>5.1400150419536515E-2</v>
      </c>
      <c r="K56" s="1"/>
      <c r="L56" s="1">
        <f t="shared" si="38"/>
        <v>183.94999999999982</v>
      </c>
      <c r="M56" s="1"/>
      <c r="N56" s="5">
        <f t="shared" si="39"/>
        <v>2.4367143103151342E-2</v>
      </c>
      <c r="O56" s="13"/>
      <c r="P56" s="1">
        <f>SUM(OSRRefP22_10x_0)</f>
        <v>30623.05</v>
      </c>
      <c r="Q56" s="1"/>
      <c r="R56" s="5">
        <f t="shared" si="40"/>
        <v>9.820347863520637E-2</v>
      </c>
      <c r="S56" s="1"/>
      <c r="T56" s="1">
        <f>SUM(OSRRefT22_10x_0)</f>
        <v>31396.099999999995</v>
      </c>
      <c r="U56" s="1"/>
      <c r="V56" s="5">
        <f t="shared" si="41"/>
        <v>9.6802974477438727E-2</v>
      </c>
      <c r="W56" s="1"/>
      <c r="X56" s="1">
        <f t="shared" si="42"/>
        <v>-773.04999999999563</v>
      </c>
      <c r="Y56" s="1"/>
      <c r="Z56" s="5">
        <f t="shared" si="43"/>
        <v>-2.4622484958322713E-2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6">
        <v>7733.05</v>
      </c>
      <c r="E57" s="2"/>
      <c r="F57" s="7">
        <f t="shared" si="36"/>
        <v>5.5724998585806255E-2</v>
      </c>
      <c r="G57" s="2"/>
      <c r="H57" s="6">
        <v>7549.1</v>
      </c>
      <c r="I57" s="2"/>
      <c r="J57" s="7">
        <f t="shared" si="37"/>
        <v>5.1400150419536515E-2</v>
      </c>
      <c r="K57" s="2"/>
      <c r="L57" s="6">
        <f t="shared" si="38"/>
        <v>183.94999999999982</v>
      </c>
      <c r="M57" s="2"/>
      <c r="N57" s="7">
        <f t="shared" si="39"/>
        <v>2.4367143103151342E-2</v>
      </c>
      <c r="O57" s="11"/>
      <c r="P57" s="6">
        <v>30623.05</v>
      </c>
      <c r="Q57" s="2"/>
      <c r="R57" s="7">
        <f t="shared" si="40"/>
        <v>9.820347863520637E-2</v>
      </c>
      <c r="S57" s="2"/>
      <c r="T57" s="6">
        <v>31396.099999999995</v>
      </c>
      <c r="U57" s="2"/>
      <c r="V57" s="7">
        <f t="shared" si="41"/>
        <v>9.6802974477438727E-2</v>
      </c>
      <c r="W57" s="2"/>
      <c r="X57" s="6">
        <f t="shared" si="42"/>
        <v>-773.04999999999563</v>
      </c>
      <c r="Y57" s="2"/>
      <c r="Z57" s="7">
        <f t="shared" si="43"/>
        <v>-2.4622484958322713E-2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7331.38</v>
      </c>
      <c r="E58" s="1"/>
      <c r="F58" s="5">
        <f t="shared" si="36"/>
        <v>5.2830531308087784E-2</v>
      </c>
      <c r="G58" s="1"/>
      <c r="H58" s="1">
        <f>SUM(OSRRefH22_11x_0)</f>
        <v>3144.57</v>
      </c>
      <c r="I58" s="1"/>
      <c r="J58" s="5">
        <f t="shared" si="37"/>
        <v>2.1410680876496793E-2</v>
      </c>
      <c r="K58" s="1"/>
      <c r="L58" s="1">
        <f t="shared" si="38"/>
        <v>4186.8099999999995</v>
      </c>
      <c r="M58" s="1"/>
      <c r="N58" s="5">
        <f t="shared" si="39"/>
        <v>1.3314411827372261</v>
      </c>
      <c r="O58" s="13"/>
      <c r="P58" s="1">
        <f>SUM(OSRRefP22_11x_0)</f>
        <v>11785.529999999999</v>
      </c>
      <c r="Q58" s="1"/>
      <c r="R58" s="5">
        <f t="shared" si="40"/>
        <v>3.7794407923429689E-2</v>
      </c>
      <c r="S58" s="1"/>
      <c r="T58" s="1">
        <f>SUM(OSRRefT22_11x_0)</f>
        <v>7611.83</v>
      </c>
      <c r="U58" s="1"/>
      <c r="V58" s="5">
        <f t="shared" si="41"/>
        <v>2.3469404964839662E-2</v>
      </c>
      <c r="W58" s="1"/>
      <c r="X58" s="1">
        <f t="shared" si="42"/>
        <v>4173.6999999999989</v>
      </c>
      <c r="Y58" s="1"/>
      <c r="Z58" s="5">
        <f t="shared" si="43"/>
        <v>0.54831755307199437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2623.84</v>
      </c>
      <c r="Q59" s="2"/>
      <c r="R59" s="7">
        <f t="shared" si="40"/>
        <v>8.4142570835432744E-3</v>
      </c>
      <c r="S59" s="2"/>
      <c r="T59" s="6"/>
      <c r="U59" s="2"/>
      <c r="V59" s="7">
        <f t="shared" si="41"/>
        <v>0</v>
      </c>
      <c r="W59" s="2"/>
      <c r="X59" s="6">
        <f t="shared" si="42"/>
        <v>2623.84</v>
      </c>
      <c r="Y59" s="2"/>
      <c r="Z59" s="7">
        <f t="shared" si="43"/>
        <v>0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>
        <v>102.71</v>
      </c>
      <c r="E60" s="2"/>
      <c r="F60" s="7">
        <f t="shared" si="36"/>
        <v>7.401367642454348E-4</v>
      </c>
      <c r="G60" s="2"/>
      <c r="H60" s="6"/>
      <c r="I60" s="2"/>
      <c r="J60" s="7">
        <f t="shared" si="37"/>
        <v>0</v>
      </c>
      <c r="K60" s="2"/>
      <c r="L60" s="6">
        <f t="shared" si="38"/>
        <v>102.71</v>
      </c>
      <c r="M60" s="2"/>
      <c r="N60" s="7">
        <f t="shared" si="39"/>
        <v>0</v>
      </c>
      <c r="O60" s="11"/>
      <c r="P60" s="6">
        <v>102.71</v>
      </c>
      <c r="Q60" s="2"/>
      <c r="R60" s="7">
        <f t="shared" si="40"/>
        <v>3.293753982905702E-4</v>
      </c>
      <c r="S60" s="2"/>
      <c r="T60" s="6">
        <v>101.2</v>
      </c>
      <c r="U60" s="2"/>
      <c r="V60" s="7">
        <f t="shared" si="41"/>
        <v>3.1202795943180206E-4</v>
      </c>
      <c r="W60" s="2"/>
      <c r="X60" s="6">
        <f t="shared" si="42"/>
        <v>1.5099999999999909</v>
      </c>
      <c r="Y60" s="2"/>
      <c r="Z60" s="7">
        <f t="shared" si="43"/>
        <v>1.4920948616600701E-2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7228.67</v>
      </c>
      <c r="E61" s="2"/>
      <c r="F61" s="7">
        <f t="shared" si="36"/>
        <v>5.2090394543842351E-2</v>
      </c>
      <c r="G61" s="2"/>
      <c r="H61" s="6">
        <v>3144.57</v>
      </c>
      <c r="I61" s="2"/>
      <c r="J61" s="7">
        <f t="shared" si="37"/>
        <v>2.1410680876496793E-2</v>
      </c>
      <c r="K61" s="2"/>
      <c r="L61" s="6">
        <f t="shared" si="38"/>
        <v>4084.1</v>
      </c>
      <c r="M61" s="2"/>
      <c r="N61" s="7">
        <f t="shared" si="39"/>
        <v>1.2987785293378744</v>
      </c>
      <c r="O61" s="11"/>
      <c r="P61" s="6">
        <v>9058.98</v>
      </c>
      <c r="Q61" s="2"/>
      <c r="R61" s="7">
        <f t="shared" si="40"/>
        <v>2.9050775441595848E-2</v>
      </c>
      <c r="S61" s="2"/>
      <c r="T61" s="6">
        <v>7510.63</v>
      </c>
      <c r="U61" s="2"/>
      <c r="V61" s="7">
        <f t="shared" si="41"/>
        <v>2.3157377005407861E-2</v>
      </c>
      <c r="W61" s="2"/>
      <c r="X61" s="6">
        <f t="shared" si="42"/>
        <v>1548.3499999999995</v>
      </c>
      <c r="Y61" s="2"/>
      <c r="Z61" s="7">
        <f t="shared" si="43"/>
        <v>0.20615447705452131</v>
      </c>
    </row>
    <row r="62" spans="1:26" s="27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4538.13</v>
      </c>
      <c r="E62" s="1"/>
      <c r="F62" s="5">
        <f t="shared" ref="F62:F67" si="44">IF(D$12=0,0,D62/D$12)</f>
        <v>3.2702140530864919E-2</v>
      </c>
      <c r="G62" s="1"/>
      <c r="H62" s="1">
        <f>SUM(OSRRefH22_12x_0)</f>
        <v>8414.24</v>
      </c>
      <c r="I62" s="1"/>
      <c r="J62" s="5">
        <f t="shared" ref="J62:J67" si="45">IF(H$12=0,0,H62/H$12)</f>
        <v>5.7290697124966004E-2</v>
      </c>
      <c r="K62" s="1"/>
      <c r="L62" s="1">
        <f t="shared" ref="L62:L67" si="46">+D62-H62</f>
        <v>-3876.1099999999997</v>
      </c>
      <c r="M62" s="1"/>
      <c r="N62" s="5">
        <f t="shared" ref="N62:N67" si="47">IF(H62=0,0,L62/H62)</f>
        <v>-0.46066073703626231</v>
      </c>
      <c r="O62" s="13"/>
      <c r="P62" s="1">
        <f>SUM(OSRRefP22_12x_0)</f>
        <v>16795.47</v>
      </c>
      <c r="Q62" s="1"/>
      <c r="R62" s="5">
        <f t="shared" ref="R62:R67" si="48">IF(P$12=0,0,P62/P$12)</f>
        <v>5.3860525953921955E-2</v>
      </c>
      <c r="S62" s="1"/>
      <c r="T62" s="1">
        <f>SUM(OSRRefT22_12x_0)</f>
        <v>20049.960000000003</v>
      </c>
      <c r="U62" s="1"/>
      <c r="V62" s="5">
        <f t="shared" ref="V62:V67" si="49">IF(T$12=0,0,T62/T$12)</f>
        <v>6.181964531115864E-2</v>
      </c>
      <c r="W62" s="1"/>
      <c r="X62" s="1">
        <f t="shared" ref="X62:X67" si="50">+P62-T62</f>
        <v>-3254.4900000000016</v>
      </c>
      <c r="Y62" s="1"/>
      <c r="Z62" s="5">
        <f t="shared" ref="Z62:Z67" si="51">IF(T62=0,0,X62/T62)</f>
        <v>-0.16231902707037826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328.54</v>
      </c>
      <c r="E63" s="2"/>
      <c r="F63" s="7">
        <f t="shared" si="44"/>
        <v>2.3674864426559751E-3</v>
      </c>
      <c r="G63" s="2"/>
      <c r="H63" s="6">
        <v>328.54</v>
      </c>
      <c r="I63" s="2"/>
      <c r="J63" s="7">
        <f t="shared" si="45"/>
        <v>2.2369561164687878E-3</v>
      </c>
      <c r="K63" s="2"/>
      <c r="L63" s="6">
        <f t="shared" si="46"/>
        <v>0</v>
      </c>
      <c r="M63" s="2"/>
      <c r="N63" s="7">
        <f t="shared" si="47"/>
        <v>0</v>
      </c>
      <c r="O63" s="11"/>
      <c r="P63" s="6">
        <v>1314.16</v>
      </c>
      <c r="Q63" s="2"/>
      <c r="R63" s="7">
        <f t="shared" si="48"/>
        <v>4.2143118821685891E-3</v>
      </c>
      <c r="S63" s="2"/>
      <c r="T63" s="6">
        <v>1314.16</v>
      </c>
      <c r="U63" s="2"/>
      <c r="V63" s="7">
        <f t="shared" si="49"/>
        <v>4.0519235490800096E-3</v>
      </c>
      <c r="W63" s="2"/>
      <c r="X63" s="6">
        <f t="shared" si="50"/>
        <v>0</v>
      </c>
      <c r="Y63" s="2"/>
      <c r="Z63" s="7">
        <f t="shared" si="51"/>
        <v>0</v>
      </c>
    </row>
    <row r="64" spans="1:26" s="24" customFormat="1" hidden="1" outlineLevel="2" x14ac:dyDescent="0.25">
      <c r="A64" s="26"/>
      <c r="B64" s="11" t="str">
        <f>CONCATENATE("          ", "6283", " - ", "PLANT SERVICE")</f>
        <v xml:space="preserve">          6283 - PLANT SERVICE</v>
      </c>
      <c r="C64" s="11"/>
      <c r="D64" s="6"/>
      <c r="E64" s="2"/>
      <c r="F64" s="7">
        <f t="shared" si="44"/>
        <v>0</v>
      </c>
      <c r="G64" s="2"/>
      <c r="H64" s="6">
        <v>56</v>
      </c>
      <c r="I64" s="2"/>
      <c r="J64" s="7">
        <f t="shared" si="45"/>
        <v>3.8129160078605986E-4</v>
      </c>
      <c r="K64" s="2"/>
      <c r="L64" s="6">
        <f t="shared" si="46"/>
        <v>-56</v>
      </c>
      <c r="M64" s="2"/>
      <c r="N64" s="7">
        <f t="shared" si="47"/>
        <v>-1</v>
      </c>
      <c r="O64" s="11"/>
      <c r="P64" s="6">
        <v>184.65</v>
      </c>
      <c r="Q64" s="2"/>
      <c r="R64" s="7">
        <f t="shared" si="48"/>
        <v>5.9214455548976526E-4</v>
      </c>
      <c r="S64" s="2"/>
      <c r="T64" s="6">
        <v>224</v>
      </c>
      <c r="U64" s="2"/>
      <c r="V64" s="7">
        <f t="shared" si="49"/>
        <v>6.9065477186485823E-4</v>
      </c>
      <c r="W64" s="2"/>
      <c r="X64" s="6">
        <f t="shared" si="50"/>
        <v>-39.349999999999994</v>
      </c>
      <c r="Y64" s="2"/>
      <c r="Z64" s="7">
        <f t="shared" si="51"/>
        <v>-0.17566964285714284</v>
      </c>
    </row>
    <row r="65" spans="1:26" s="24" customFormat="1" hidden="1" outlineLevel="2" x14ac:dyDescent="0.25">
      <c r="A65" s="26"/>
      <c r="B65" s="11" t="str">
        <f>CONCATENATE("          ", "6284", " - ", "TRASH REMOVAL EXPENSE")</f>
        <v xml:space="preserve">          6284 - TRASH REMOVAL EXPENSE</v>
      </c>
      <c r="C65" s="11"/>
      <c r="D65" s="6">
        <v>623</v>
      </c>
      <c r="E65" s="2"/>
      <c r="F65" s="7">
        <f t="shared" si="44"/>
        <v>4.4893895835352539E-3</v>
      </c>
      <c r="G65" s="2"/>
      <c r="H65" s="6">
        <v>2125.8200000000002</v>
      </c>
      <c r="I65" s="2"/>
      <c r="J65" s="7">
        <f t="shared" si="45"/>
        <v>1.4474237692553961E-2</v>
      </c>
      <c r="K65" s="2"/>
      <c r="L65" s="6">
        <f t="shared" si="46"/>
        <v>-1502.8200000000002</v>
      </c>
      <c r="M65" s="2"/>
      <c r="N65" s="7">
        <f t="shared" si="47"/>
        <v>-0.7069366173994035</v>
      </c>
      <c r="O65" s="11"/>
      <c r="P65" s="6">
        <v>1869</v>
      </c>
      <c r="Q65" s="2"/>
      <c r="R65" s="7">
        <f t="shared" si="48"/>
        <v>5.9935996437063162E-3</v>
      </c>
      <c r="S65" s="2"/>
      <c r="T65" s="6">
        <v>3371.82</v>
      </c>
      <c r="U65" s="2"/>
      <c r="V65" s="7">
        <f t="shared" si="49"/>
        <v>1.0396265950309671E-2</v>
      </c>
      <c r="W65" s="2"/>
      <c r="X65" s="6">
        <f t="shared" si="50"/>
        <v>-1502.8200000000002</v>
      </c>
      <c r="Y65" s="2"/>
      <c r="Z65" s="7">
        <f t="shared" si="51"/>
        <v>-0.44569994839582189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6">
        <v>3340.95</v>
      </c>
      <c r="E66" s="2"/>
      <c r="F66" s="7">
        <f t="shared" si="44"/>
        <v>2.4075162326022644E-2</v>
      </c>
      <c r="G66" s="2"/>
      <c r="H66" s="6">
        <v>5844.15</v>
      </c>
      <c r="I66" s="2"/>
      <c r="J66" s="7">
        <f t="shared" si="45"/>
        <v>3.9791523370247349E-2</v>
      </c>
      <c r="K66" s="2"/>
      <c r="L66" s="6">
        <f t="shared" si="46"/>
        <v>-2503.1999999999998</v>
      </c>
      <c r="M66" s="2"/>
      <c r="N66" s="7">
        <f t="shared" si="47"/>
        <v>-0.42832576165909497</v>
      </c>
      <c r="O66" s="11"/>
      <c r="P66" s="6">
        <v>12463.8</v>
      </c>
      <c r="Q66" s="2"/>
      <c r="R66" s="7">
        <f t="shared" si="48"/>
        <v>3.9969516981929791E-2</v>
      </c>
      <c r="S66" s="2"/>
      <c r="T66" s="6">
        <v>14487.49</v>
      </c>
      <c r="U66" s="2"/>
      <c r="V66" s="7">
        <f t="shared" si="49"/>
        <v>4.4668991521626858E-2</v>
      </c>
      <c r="W66" s="2"/>
      <c r="X66" s="6">
        <f t="shared" si="50"/>
        <v>-2023.6900000000005</v>
      </c>
      <c r="Y66" s="2"/>
      <c r="Z66" s="7">
        <f t="shared" si="51"/>
        <v>-0.13968534231947705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6">
        <v>245.64</v>
      </c>
      <c r="E67" s="2"/>
      <c r="F67" s="7">
        <f t="shared" si="44"/>
        <v>1.7701021786510429E-3</v>
      </c>
      <c r="G67" s="2"/>
      <c r="H67" s="6">
        <v>59.73</v>
      </c>
      <c r="I67" s="2"/>
      <c r="J67" s="7">
        <f t="shared" si="45"/>
        <v>4.0668834490984563E-4</v>
      </c>
      <c r="K67" s="2"/>
      <c r="L67" s="6">
        <f t="shared" si="46"/>
        <v>185.91</v>
      </c>
      <c r="M67" s="2"/>
      <c r="N67" s="7">
        <f t="shared" si="47"/>
        <v>3.1125062782521349</v>
      </c>
      <c r="O67" s="11"/>
      <c r="P67" s="6">
        <v>963.86</v>
      </c>
      <c r="Q67" s="2"/>
      <c r="R67" s="7">
        <f t="shared" si="48"/>
        <v>3.0909528906274851E-3</v>
      </c>
      <c r="S67" s="2"/>
      <c r="T67" s="6">
        <v>652.49</v>
      </c>
      <c r="U67" s="2"/>
      <c r="V67" s="7">
        <f t="shared" si="49"/>
        <v>2.0118095182772382E-3</v>
      </c>
      <c r="W67" s="2"/>
      <c r="X67" s="6">
        <f t="shared" si="50"/>
        <v>311.37</v>
      </c>
      <c r="Y67" s="2"/>
      <c r="Z67" s="7">
        <f t="shared" si="51"/>
        <v>0.47720271575043294</v>
      </c>
    </row>
    <row r="68" spans="1:26" s="27" customFormat="1" outlineLevel="1" collapsed="1" x14ac:dyDescent="0.25">
      <c r="A68" s="25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SUM(OSRRefD22_13x_0)</f>
        <v>196.71</v>
      </c>
      <c r="E68" s="1"/>
      <c r="F68" s="5">
        <f t="shared" ref="F68:F77" si="52">IF(D$12=0,0,D68/D$12)</f>
        <v>1.4175085473149597E-3</v>
      </c>
      <c r="G68" s="1"/>
      <c r="H68" s="1">
        <f>SUM(OSRRefH22_13x_0)</f>
        <v>193.71</v>
      </c>
      <c r="I68" s="1"/>
      <c r="J68" s="5">
        <f t="shared" ref="J68:J77" si="53">IF(H$12=0,0,H68/H$12)</f>
        <v>1.318928499790494E-3</v>
      </c>
      <c r="K68" s="1"/>
      <c r="L68" s="1">
        <f t="shared" ref="L68:L77" si="54">+D68-H68</f>
        <v>3</v>
      </c>
      <c r="M68" s="1"/>
      <c r="N68" s="5">
        <f t="shared" ref="N68:N77" si="55">IF(H68=0,0,L68/H68)</f>
        <v>1.5487068297971194E-2</v>
      </c>
      <c r="O68" s="13"/>
      <c r="P68" s="1">
        <f>SUM(OSRRefP22_13x_0)</f>
        <v>786.84</v>
      </c>
      <c r="Q68" s="1"/>
      <c r="R68" s="5">
        <f t="shared" ref="R68:R77" si="56">IF(P$12=0,0,P68/P$12)</f>
        <v>2.5232765883648357E-3</v>
      </c>
      <c r="S68" s="1"/>
      <c r="T68" s="1">
        <f>SUM(OSRRefT22_13x_0)</f>
        <v>581.13</v>
      </c>
      <c r="U68" s="1"/>
      <c r="V68" s="5">
        <f t="shared" ref="V68:V77" si="57">IF(T$12=0,0,T68/T$12)</f>
        <v>1.7917866409545764E-3</v>
      </c>
      <c r="W68" s="1"/>
      <c r="X68" s="1">
        <f t="shared" ref="X68:X77" si="58">+P68-T68</f>
        <v>205.71000000000004</v>
      </c>
      <c r="Y68" s="1"/>
      <c r="Z68" s="5">
        <f t="shared" ref="Z68:Z77" si="59">IF(T68=0,0,X68/T68)</f>
        <v>0.35398275773062832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6">
        <v>196.71</v>
      </c>
      <c r="E69" s="2"/>
      <c r="F69" s="7">
        <f t="shared" si="52"/>
        <v>1.4175085473149597E-3</v>
      </c>
      <c r="G69" s="2"/>
      <c r="H69" s="6">
        <v>193.71</v>
      </c>
      <c r="I69" s="2"/>
      <c r="J69" s="7">
        <f t="shared" si="53"/>
        <v>1.318928499790494E-3</v>
      </c>
      <c r="K69" s="2"/>
      <c r="L69" s="6">
        <f t="shared" si="54"/>
        <v>3</v>
      </c>
      <c r="M69" s="2"/>
      <c r="N69" s="7">
        <f t="shared" si="55"/>
        <v>1.5487068297971194E-2</v>
      </c>
      <c r="O69" s="11"/>
      <c r="P69" s="6">
        <v>786.84</v>
      </c>
      <c r="Q69" s="2"/>
      <c r="R69" s="7">
        <f t="shared" si="56"/>
        <v>2.5232765883648357E-3</v>
      </c>
      <c r="S69" s="2"/>
      <c r="T69" s="6">
        <v>581.13</v>
      </c>
      <c r="U69" s="2"/>
      <c r="V69" s="7">
        <f t="shared" si="57"/>
        <v>1.7917866409545764E-3</v>
      </c>
      <c r="W69" s="2"/>
      <c r="X69" s="6">
        <f t="shared" si="58"/>
        <v>205.71000000000004</v>
      </c>
      <c r="Y69" s="2"/>
      <c r="Z69" s="7">
        <f t="shared" si="59"/>
        <v>0.35398275773062832</v>
      </c>
    </row>
    <row r="70" spans="1:26" s="27" customFormat="1" outlineLevel="1" collapsed="1" x14ac:dyDescent="0.25">
      <c r="A70" s="25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2717.5299999999997</v>
      </c>
      <c r="E70" s="1"/>
      <c r="F70" s="5">
        <f t="shared" si="52"/>
        <v>1.9582746187711969E-2</v>
      </c>
      <c r="G70" s="1"/>
      <c r="H70" s="1">
        <f>SUM(OSRRefH22_14x_0)</f>
        <v>2300.9499999999998</v>
      </c>
      <c r="I70" s="1"/>
      <c r="J70" s="5">
        <f t="shared" si="53"/>
        <v>1.5666659086226508E-2</v>
      </c>
      <c r="K70" s="1"/>
      <c r="L70" s="1">
        <f t="shared" si="54"/>
        <v>416.57999999999993</v>
      </c>
      <c r="M70" s="1"/>
      <c r="N70" s="5">
        <f t="shared" si="55"/>
        <v>0.1810469588648167</v>
      </c>
      <c r="O70" s="13"/>
      <c r="P70" s="1">
        <f>SUM(OSRRefP22_14x_0)</f>
        <v>11328.369999999999</v>
      </c>
      <c r="Q70" s="1"/>
      <c r="R70" s="5">
        <f t="shared" si="56"/>
        <v>3.6328365112773306E-2</v>
      </c>
      <c r="S70" s="1"/>
      <c r="T70" s="1">
        <f>SUM(OSRRefT22_14x_0)</f>
        <v>11068.19</v>
      </c>
      <c r="U70" s="1"/>
      <c r="V70" s="5">
        <f t="shared" si="57"/>
        <v>3.4126331425923688E-2</v>
      </c>
      <c r="W70" s="1"/>
      <c r="X70" s="1">
        <f t="shared" si="58"/>
        <v>260.17999999999847</v>
      </c>
      <c r="Y70" s="1"/>
      <c r="Z70" s="5">
        <f t="shared" si="59"/>
        <v>2.3507005210427222E-2</v>
      </c>
    </row>
    <row r="71" spans="1:26" s="24" customFormat="1" hidden="1" outlineLevel="2" x14ac:dyDescent="0.25">
      <c r="A71" s="26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52"/>
        <v>0</v>
      </c>
      <c r="G71" s="2"/>
      <c r="H71" s="6"/>
      <c r="I71" s="2"/>
      <c r="J71" s="7">
        <f t="shared" si="53"/>
        <v>0</v>
      </c>
      <c r="K71" s="2"/>
      <c r="L71" s="6">
        <f t="shared" si="54"/>
        <v>0</v>
      </c>
      <c r="M71" s="2"/>
      <c r="N71" s="7">
        <f t="shared" si="55"/>
        <v>0</v>
      </c>
      <c r="O71" s="11"/>
      <c r="P71" s="6"/>
      <c r="Q71" s="2"/>
      <c r="R71" s="7">
        <f t="shared" si="56"/>
        <v>0</v>
      </c>
      <c r="S71" s="2"/>
      <c r="T71" s="6">
        <v>1042.92</v>
      </c>
      <c r="U71" s="2"/>
      <c r="V71" s="7">
        <f t="shared" si="57"/>
        <v>3.2156146190772234E-3</v>
      </c>
      <c r="W71" s="2"/>
      <c r="X71" s="6">
        <f t="shared" si="58"/>
        <v>-1042.92</v>
      </c>
      <c r="Y71" s="2"/>
      <c r="Z71" s="7">
        <f t="shared" si="59"/>
        <v>-1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6">
        <v>1304.79</v>
      </c>
      <c r="E72" s="2"/>
      <c r="F72" s="7">
        <f t="shared" si="52"/>
        <v>9.4024247748009052E-3</v>
      </c>
      <c r="G72" s="2"/>
      <c r="H72" s="6">
        <v>730.57</v>
      </c>
      <c r="I72" s="2"/>
      <c r="J72" s="7">
        <f t="shared" si="53"/>
        <v>4.9742893711834249E-3</v>
      </c>
      <c r="K72" s="2"/>
      <c r="L72" s="6">
        <f t="shared" si="54"/>
        <v>574.21999999999991</v>
      </c>
      <c r="M72" s="2"/>
      <c r="N72" s="7">
        <f t="shared" si="55"/>
        <v>0.78598902227028189</v>
      </c>
      <c r="O72" s="11"/>
      <c r="P72" s="6">
        <v>2807.74</v>
      </c>
      <c r="Q72" s="2"/>
      <c r="R72" s="7">
        <f t="shared" si="56"/>
        <v>9.0039965027394163E-3</v>
      </c>
      <c r="S72" s="2"/>
      <c r="T72" s="6">
        <v>3350.23</v>
      </c>
      <c r="U72" s="2"/>
      <c r="V72" s="7">
        <f t="shared" si="57"/>
        <v>1.0329697930110732E-2</v>
      </c>
      <c r="W72" s="2"/>
      <c r="X72" s="6">
        <f t="shared" si="58"/>
        <v>-542.49000000000024</v>
      </c>
      <c r="Y72" s="2"/>
      <c r="Z72" s="7">
        <f t="shared" si="59"/>
        <v>-0.16192619611190881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6">
        <v>43.14</v>
      </c>
      <c r="E73" s="2"/>
      <c r="F73" s="7">
        <f t="shared" si="52"/>
        <v>3.1087041193212018E-4</v>
      </c>
      <c r="G73" s="2"/>
      <c r="H73" s="6">
        <v>379.32</v>
      </c>
      <c r="I73" s="2"/>
      <c r="J73" s="7">
        <f t="shared" si="53"/>
        <v>2.5827058930387183E-3</v>
      </c>
      <c r="K73" s="2"/>
      <c r="L73" s="6">
        <f t="shared" si="54"/>
        <v>-336.18</v>
      </c>
      <c r="M73" s="2"/>
      <c r="N73" s="7">
        <f t="shared" si="55"/>
        <v>-0.88627016766845934</v>
      </c>
      <c r="O73" s="11"/>
      <c r="P73" s="6">
        <v>191.59</v>
      </c>
      <c r="Q73" s="2"/>
      <c r="R73" s="7">
        <f t="shared" si="56"/>
        <v>6.1440008332674858E-4</v>
      </c>
      <c r="S73" s="2"/>
      <c r="T73" s="6">
        <v>1232.3599999999999</v>
      </c>
      <c r="U73" s="2"/>
      <c r="V73" s="7">
        <f t="shared" si="57"/>
        <v>3.7997112261400744E-3</v>
      </c>
      <c r="W73" s="2"/>
      <c r="X73" s="6">
        <f t="shared" si="58"/>
        <v>-1040.77</v>
      </c>
      <c r="Y73" s="2"/>
      <c r="Z73" s="7">
        <f t="shared" si="59"/>
        <v>-0.84453406472134773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6">
        <v>194.81</v>
      </c>
      <c r="E74" s="2"/>
      <c r="F74" s="7">
        <f t="shared" si="52"/>
        <v>1.4038169899975969E-3</v>
      </c>
      <c r="G74" s="2"/>
      <c r="H74" s="6">
        <v>121.21</v>
      </c>
      <c r="I74" s="2"/>
      <c r="J74" s="7">
        <f t="shared" si="53"/>
        <v>8.252920523442556E-4</v>
      </c>
      <c r="K74" s="2"/>
      <c r="L74" s="6">
        <f t="shared" si="54"/>
        <v>73.600000000000009</v>
      </c>
      <c r="M74" s="2"/>
      <c r="N74" s="7">
        <f t="shared" si="55"/>
        <v>0.60721062618595834</v>
      </c>
      <c r="O74" s="11"/>
      <c r="P74" s="6">
        <v>5261.76</v>
      </c>
      <c r="Q74" s="2"/>
      <c r="R74" s="7">
        <f t="shared" si="56"/>
        <v>1.6873666592438816E-2</v>
      </c>
      <c r="S74" s="2"/>
      <c r="T74" s="6">
        <v>319.75</v>
      </c>
      <c r="U74" s="2"/>
      <c r="V74" s="7">
        <f t="shared" si="57"/>
        <v>9.858788540347697E-4</v>
      </c>
      <c r="W74" s="2"/>
      <c r="X74" s="6">
        <f t="shared" si="58"/>
        <v>4942.01</v>
      </c>
      <c r="Y74" s="2"/>
      <c r="Z74" s="7">
        <f t="shared" si="59"/>
        <v>15.455856137607507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6">
        <v>1174.79</v>
      </c>
      <c r="E75" s="2"/>
      <c r="F75" s="7">
        <f t="shared" si="52"/>
        <v>8.4656340109813492E-3</v>
      </c>
      <c r="G75" s="2"/>
      <c r="H75" s="6">
        <v>1069.8499999999999</v>
      </c>
      <c r="I75" s="2"/>
      <c r="J75" s="7">
        <f t="shared" si="53"/>
        <v>7.2843717696601095E-3</v>
      </c>
      <c r="K75" s="2"/>
      <c r="L75" s="6">
        <f t="shared" si="54"/>
        <v>104.94000000000005</v>
      </c>
      <c r="M75" s="2"/>
      <c r="N75" s="7">
        <f t="shared" si="55"/>
        <v>9.8088517081833956E-2</v>
      </c>
      <c r="O75" s="11"/>
      <c r="P75" s="6">
        <v>2656.72</v>
      </c>
      <c r="Q75" s="2"/>
      <c r="R75" s="7">
        <f t="shared" si="56"/>
        <v>8.5196982586556672E-3</v>
      </c>
      <c r="S75" s="2"/>
      <c r="T75" s="6">
        <v>2816.32</v>
      </c>
      <c r="U75" s="2"/>
      <c r="V75" s="7">
        <f t="shared" si="57"/>
        <v>8.6835037816894549E-3</v>
      </c>
      <c r="W75" s="2"/>
      <c r="X75" s="6">
        <f t="shared" si="58"/>
        <v>-159.60000000000036</v>
      </c>
      <c r="Y75" s="2"/>
      <c r="Z75" s="7">
        <f t="shared" si="59"/>
        <v>-5.6669696625383605E-2</v>
      </c>
    </row>
    <row r="76" spans="1:26" s="24" customFormat="1" hidden="1" outlineLevel="2" x14ac:dyDescent="0.25">
      <c r="A76" s="26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>
        <v>410.56</v>
      </c>
      <c r="Q76" s="2"/>
      <c r="R76" s="7">
        <f t="shared" si="56"/>
        <v>1.3166036756126619E-3</v>
      </c>
      <c r="S76" s="2"/>
      <c r="T76" s="6">
        <v>848.66</v>
      </c>
      <c r="U76" s="2"/>
      <c r="V76" s="7">
        <f t="shared" si="57"/>
        <v>2.6166566012983507E-3</v>
      </c>
      <c r="W76" s="2"/>
      <c r="X76" s="6">
        <f t="shared" si="58"/>
        <v>-438.09999999999997</v>
      </c>
      <c r="Y76" s="2"/>
      <c r="Z76" s="7">
        <f t="shared" si="59"/>
        <v>-0.51622557914830436</v>
      </c>
    </row>
    <row r="77" spans="1:26" s="24" customFormat="1" hidden="1" outlineLevel="2" x14ac:dyDescent="0.25">
      <c r="A77" s="26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52"/>
        <v>0</v>
      </c>
      <c r="G77" s="2"/>
      <c r="H77" s="6"/>
      <c r="I77" s="2"/>
      <c r="J77" s="7">
        <f t="shared" si="53"/>
        <v>0</v>
      </c>
      <c r="K77" s="2"/>
      <c r="L77" s="6">
        <f t="shared" si="54"/>
        <v>0</v>
      </c>
      <c r="M77" s="2"/>
      <c r="N77" s="7">
        <f t="shared" si="55"/>
        <v>0</v>
      </c>
      <c r="O77" s="11"/>
      <c r="P77" s="6"/>
      <c r="Q77" s="2"/>
      <c r="R77" s="7">
        <f t="shared" si="56"/>
        <v>0</v>
      </c>
      <c r="S77" s="2"/>
      <c r="T77" s="6">
        <v>1457.95</v>
      </c>
      <c r="U77" s="2"/>
      <c r="V77" s="7">
        <f t="shared" si="57"/>
        <v>4.4952684135730813E-3</v>
      </c>
      <c r="W77" s="2"/>
      <c r="X77" s="6">
        <f t="shared" si="58"/>
        <v>-1457.95</v>
      </c>
      <c r="Y77" s="2"/>
      <c r="Z77" s="7">
        <f t="shared" si="59"/>
        <v>-1</v>
      </c>
    </row>
    <row r="78" spans="1:26" s="27" customFormat="1" outlineLevel="1" collapsed="1" x14ac:dyDescent="0.25">
      <c r="A78" s="25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138.1</v>
      </c>
      <c r="E78" s="1"/>
      <c r="F78" s="5">
        <f t="shared" ref="F78:F83" si="60">IF(D$12=0,0,D78/D$12)</f>
        <v>9.951600344883123E-4</v>
      </c>
      <c r="G78" s="1"/>
      <c r="H78" s="1">
        <f>SUM(OSRRefH22_15x_0)</f>
        <v>149.44999999999999</v>
      </c>
      <c r="I78" s="1"/>
      <c r="J78" s="5">
        <f t="shared" ref="J78:J83" si="61">IF(H$12=0,0,H78/H$12)</f>
        <v>1.0175719595977972E-3</v>
      </c>
      <c r="K78" s="1"/>
      <c r="L78" s="1">
        <f t="shared" ref="L78:L83" si="62">+D78-H78</f>
        <v>-11.349999999999994</v>
      </c>
      <c r="M78" s="1"/>
      <c r="N78" s="5">
        <f t="shared" ref="N78:N83" si="63">IF(H78=0,0,L78/H78)</f>
        <v>-7.5945132151221117E-2</v>
      </c>
      <c r="O78" s="13"/>
      <c r="P78" s="1">
        <f>SUM(OSRRefP22_15x_0)</f>
        <v>580.6</v>
      </c>
      <c r="Q78" s="1"/>
      <c r="R78" s="5">
        <f t="shared" ref="R78:R83" si="64">IF(P$12=0,0,P78/P$12)</f>
        <v>1.8618961761026683E-3</v>
      </c>
      <c r="S78" s="1"/>
      <c r="T78" s="1">
        <f>SUM(OSRRefT22_15x_0)</f>
        <v>660.75</v>
      </c>
      <c r="U78" s="1"/>
      <c r="V78" s="5">
        <f t="shared" ref="V78:V83" si="65">IF(T$12=0,0,T78/T$12)</f>
        <v>2.0372774129897549E-3</v>
      </c>
      <c r="W78" s="1"/>
      <c r="X78" s="1">
        <f t="shared" ref="X78:X83" si="66">+P78-T78</f>
        <v>-80.149999999999977</v>
      </c>
      <c r="Y78" s="1"/>
      <c r="Z78" s="5">
        <f t="shared" ref="Z78:Z83" si="67">IF(T78=0,0,X78/T78)</f>
        <v>-0.12130155126749902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6">
        <v>138.1</v>
      </c>
      <c r="E79" s="2"/>
      <c r="F79" s="7">
        <f t="shared" si="60"/>
        <v>9.951600344883123E-4</v>
      </c>
      <c r="G79" s="2"/>
      <c r="H79" s="6">
        <v>149.44999999999999</v>
      </c>
      <c r="I79" s="2"/>
      <c r="J79" s="7">
        <f t="shared" si="61"/>
        <v>1.0175719595977972E-3</v>
      </c>
      <c r="K79" s="2"/>
      <c r="L79" s="6">
        <f t="shared" si="62"/>
        <v>-11.349999999999994</v>
      </c>
      <c r="M79" s="2"/>
      <c r="N79" s="7">
        <f t="shared" si="63"/>
        <v>-7.5945132151221117E-2</v>
      </c>
      <c r="O79" s="11"/>
      <c r="P79" s="6">
        <v>580.6</v>
      </c>
      <c r="Q79" s="2"/>
      <c r="R79" s="7">
        <f t="shared" si="64"/>
        <v>1.8618961761026683E-3</v>
      </c>
      <c r="S79" s="2"/>
      <c r="T79" s="6">
        <v>660.75</v>
      </c>
      <c r="U79" s="2"/>
      <c r="V79" s="7">
        <f t="shared" si="65"/>
        <v>2.0372774129897549E-3</v>
      </c>
      <c r="W79" s="2"/>
      <c r="X79" s="6">
        <f t="shared" si="66"/>
        <v>-80.149999999999977</v>
      </c>
      <c r="Y79" s="2"/>
      <c r="Z79" s="7">
        <f t="shared" si="67"/>
        <v>-0.12130155126749902</v>
      </c>
    </row>
    <row r="80" spans="1:26" s="27" customFormat="1" outlineLevel="1" collapsed="1" x14ac:dyDescent="0.25">
      <c r="A80" s="25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SUM(OSRRefD22_16x_0)</f>
        <v>48</v>
      </c>
      <c r="E80" s="1"/>
      <c r="F80" s="5">
        <f t="shared" si="60"/>
        <v>3.4589197433337432E-4</v>
      </c>
      <c r="G80" s="1"/>
      <c r="H80" s="1">
        <f>SUM(OSRRefH22_16x_0)</f>
        <v>0</v>
      </c>
      <c r="I80" s="1"/>
      <c r="J80" s="5">
        <f t="shared" si="61"/>
        <v>0</v>
      </c>
      <c r="K80" s="1"/>
      <c r="L80" s="1">
        <f t="shared" si="62"/>
        <v>48</v>
      </c>
      <c r="M80" s="1"/>
      <c r="N80" s="5">
        <f t="shared" si="63"/>
        <v>0</v>
      </c>
      <c r="O80" s="13"/>
      <c r="P80" s="1">
        <f>SUM(OSRRefP22_16x_0)</f>
        <v>144</v>
      </c>
      <c r="Q80" s="1"/>
      <c r="R80" s="5">
        <f t="shared" si="64"/>
        <v>4.6178616837544651E-4</v>
      </c>
      <c r="S80" s="1"/>
      <c r="T80" s="1">
        <f>SUM(OSRRefT22_16x_0)</f>
        <v>98.83</v>
      </c>
      <c r="U80" s="1"/>
      <c r="V80" s="5">
        <f t="shared" si="65"/>
        <v>3.0472058528305333E-4</v>
      </c>
      <c r="W80" s="1"/>
      <c r="X80" s="1">
        <f t="shared" si="66"/>
        <v>45.17</v>
      </c>
      <c r="Y80" s="1"/>
      <c r="Z80" s="5">
        <f t="shared" si="67"/>
        <v>0.45704745522614593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6">
        <v>48</v>
      </c>
      <c r="E81" s="2"/>
      <c r="F81" s="7">
        <f t="shared" si="60"/>
        <v>3.4589197433337432E-4</v>
      </c>
      <c r="G81" s="2"/>
      <c r="H81" s="6"/>
      <c r="I81" s="2"/>
      <c r="J81" s="7">
        <f t="shared" si="61"/>
        <v>0</v>
      </c>
      <c r="K81" s="2"/>
      <c r="L81" s="6">
        <f t="shared" si="62"/>
        <v>48</v>
      </c>
      <c r="M81" s="2"/>
      <c r="N81" s="7">
        <f t="shared" si="63"/>
        <v>0</v>
      </c>
      <c r="O81" s="11"/>
      <c r="P81" s="6">
        <v>144</v>
      </c>
      <c r="Q81" s="2"/>
      <c r="R81" s="7">
        <f t="shared" si="64"/>
        <v>4.6178616837544651E-4</v>
      </c>
      <c r="S81" s="2"/>
      <c r="T81" s="6">
        <v>98.83</v>
      </c>
      <c r="U81" s="2"/>
      <c r="V81" s="7">
        <f t="shared" si="65"/>
        <v>3.0472058528305333E-4</v>
      </c>
      <c r="W81" s="2"/>
      <c r="X81" s="6">
        <f t="shared" si="66"/>
        <v>45.17</v>
      </c>
      <c r="Y81" s="2"/>
      <c r="Z81" s="7">
        <f t="shared" si="67"/>
        <v>0.45704745522614593</v>
      </c>
    </row>
    <row r="82" spans="1:26" s="27" customFormat="1" outlineLevel="1" collapsed="1" x14ac:dyDescent="0.25">
      <c r="A82" s="25"/>
      <c r="B82" s="13" t="str">
        <f>CONCATENATE("     ","Utilities                                         ")</f>
        <v xml:space="preserve">     Utilities                                         </v>
      </c>
      <c r="C82" s="13"/>
      <c r="D82" s="1">
        <f>SUM(OSRRefD22_17x_0)</f>
        <v>2031</v>
      </c>
      <c r="E82" s="1"/>
      <c r="F82" s="5">
        <f t="shared" si="60"/>
        <v>1.46355541639809E-2</v>
      </c>
      <c r="G82" s="1"/>
      <c r="H82" s="1">
        <f>SUM(OSRRefH22_17x_0)</f>
        <v>-1593</v>
      </c>
      <c r="I82" s="1"/>
      <c r="J82" s="5">
        <f t="shared" si="61"/>
        <v>-1.084638428664631E-2</v>
      </c>
      <c r="K82" s="1"/>
      <c r="L82" s="1">
        <f t="shared" si="62"/>
        <v>3624</v>
      </c>
      <c r="M82" s="1"/>
      <c r="N82" s="5">
        <f t="shared" si="63"/>
        <v>-2.2749529190207158</v>
      </c>
      <c r="O82" s="13"/>
      <c r="P82" s="1">
        <f>SUM(OSRRefP22_17x_0)</f>
        <v>6093</v>
      </c>
      <c r="Q82" s="1"/>
      <c r="R82" s="5">
        <f t="shared" si="64"/>
        <v>1.953932724938608E-2</v>
      </c>
      <c r="S82" s="1"/>
      <c r="T82" s="1">
        <f>SUM(OSRRefT22_17x_0)</f>
        <v>5123</v>
      </c>
      <c r="U82" s="1"/>
      <c r="V82" s="5">
        <f t="shared" si="65"/>
        <v>1.5795644626177094E-2</v>
      </c>
      <c r="W82" s="1"/>
      <c r="X82" s="1">
        <f t="shared" si="66"/>
        <v>970</v>
      </c>
      <c r="Y82" s="1"/>
      <c r="Z82" s="5">
        <f t="shared" si="67"/>
        <v>0.18934218231504976</v>
      </c>
    </row>
    <row r="83" spans="1:26" s="24" customFormat="1" hidden="1" outlineLevel="2" x14ac:dyDescent="0.25">
      <c r="A83" s="26"/>
      <c r="B83" s="11" t="str">
        <f>CONCATENATE("          ", "6274", " - ", "UTILITIES")</f>
        <v xml:space="preserve">          6274 - UTILITIES</v>
      </c>
      <c r="C83" s="11"/>
      <c r="D83" s="6">
        <v>2031</v>
      </c>
      <c r="E83" s="2"/>
      <c r="F83" s="7">
        <f t="shared" si="60"/>
        <v>1.46355541639809E-2</v>
      </c>
      <c r="G83" s="2"/>
      <c r="H83" s="6">
        <v>-1593</v>
      </c>
      <c r="I83" s="2"/>
      <c r="J83" s="7">
        <f t="shared" si="61"/>
        <v>-1.084638428664631E-2</v>
      </c>
      <c r="K83" s="2"/>
      <c r="L83" s="6">
        <f t="shared" si="62"/>
        <v>3624</v>
      </c>
      <c r="M83" s="2"/>
      <c r="N83" s="7">
        <f t="shared" si="63"/>
        <v>-2.2749529190207158</v>
      </c>
      <c r="O83" s="11"/>
      <c r="P83" s="6">
        <v>6093</v>
      </c>
      <c r="Q83" s="2"/>
      <c r="R83" s="7">
        <f t="shared" si="64"/>
        <v>1.953932724938608E-2</v>
      </c>
      <c r="S83" s="2"/>
      <c r="T83" s="6">
        <v>5123</v>
      </c>
      <c r="U83" s="2"/>
      <c r="V83" s="7">
        <f t="shared" si="65"/>
        <v>1.5795644626177094E-2</v>
      </c>
      <c r="W83" s="2"/>
      <c r="X83" s="6">
        <f t="shared" si="66"/>
        <v>970</v>
      </c>
      <c r="Y83" s="2"/>
      <c r="Z83" s="7">
        <f t="shared" si="67"/>
        <v>0.18934218231504976</v>
      </c>
    </row>
    <row r="84" spans="1:26" s="55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9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8" t="s">
        <v>3</v>
      </c>
      <c r="C87" s="28"/>
      <c r="D87" s="21">
        <f>+D20-D22+D85</f>
        <v>11822.290000000008</v>
      </c>
      <c r="E87" s="14"/>
      <c r="F87" s="22">
        <f>IF(D$12=0,0,D87/D$12)</f>
        <v>8.5192400609202301E-2</v>
      </c>
      <c r="G87" s="14"/>
      <c r="H87" s="21">
        <f>+H20-H22+H85</f>
        <v>13662.669999999984</v>
      </c>
      <c r="I87" s="14"/>
      <c r="J87" s="22">
        <f>IF(H$12=0,0,H87/H$12)</f>
        <v>9.3026094916279833E-2</v>
      </c>
      <c r="K87" s="16"/>
      <c r="L87" s="21">
        <f>+D87-H87</f>
        <v>-1840.3799999999756</v>
      </c>
      <c r="M87" s="16"/>
      <c r="N87" s="22">
        <f>IF(H87=0,0,L87/H87)</f>
        <v>-0.13470134314888507</v>
      </c>
      <c r="O87" s="29"/>
      <c r="P87" s="21">
        <f>+P20-P22+P85</f>
        <v>-73519.379999999946</v>
      </c>
      <c r="Q87" s="14"/>
      <c r="R87" s="22">
        <f>IF(P$12=0,0,P87/P$12)</f>
        <v>-0.23576550549679451</v>
      </c>
      <c r="S87" s="14"/>
      <c r="T87" s="21">
        <f>+T20-T22+T85</f>
        <v>-53560.690000000119</v>
      </c>
      <c r="U87" s="14"/>
      <c r="V87" s="22">
        <f>IF(T$12=0,0,T87/T$12)</f>
        <v>-0.16514261666461821</v>
      </c>
      <c r="W87" s="16"/>
      <c r="X87" s="21">
        <f>+P87-T87</f>
        <v>-19958.689999999828</v>
      </c>
      <c r="Y87" s="16"/>
      <c r="Z87" s="22">
        <f>IF(T87=0,0,X87/T87)</f>
        <v>0.37263690964399049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>
        <v>12800.83</v>
      </c>
      <c r="E89" s="4"/>
      <c r="F89" s="12">
        <f>IF(D$12=0,0,D89/D$12)</f>
        <v>9.2243840870955995E-2</v>
      </c>
      <c r="G89" s="4"/>
      <c r="H89" s="4">
        <v>14019.52</v>
      </c>
      <c r="I89" s="4"/>
      <c r="J89" s="12">
        <f>IF(H$12=0,0,H89/H$12)</f>
        <v>9.5455807554503252E-2</v>
      </c>
      <c r="K89" s="4"/>
      <c r="L89" s="4">
        <f>+D89-H89</f>
        <v>-1218.6900000000005</v>
      </c>
      <c r="M89" s="4"/>
      <c r="N89" s="12">
        <f>IF(H89=0,0,L89/H89)</f>
        <v>-8.6928083129807612E-2</v>
      </c>
      <c r="O89" s="10"/>
      <c r="P89" s="4">
        <v>31389.870000000003</v>
      </c>
      <c r="Q89" s="4"/>
      <c r="R89" s="12">
        <f>IF(P$12=0,0,P89/P$12)</f>
        <v>0.10066255411877346</v>
      </c>
      <c r="S89" s="4"/>
      <c r="T89" s="4">
        <v>29786.390000000003</v>
      </c>
      <c r="U89" s="4"/>
      <c r="V89" s="12">
        <f>IF(T$12=0,0,T89/T$12)</f>
        <v>9.1839787455927219E-2</v>
      </c>
      <c r="W89" s="4"/>
      <c r="X89" s="4">
        <f>+P89-T89</f>
        <v>1603.4799999999996</v>
      </c>
      <c r="Y89" s="4"/>
      <c r="Z89" s="12">
        <f>IF(T89=0,0,X89/T89)</f>
        <v>5.3832639672011261E-2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4</v>
      </c>
      <c r="C91" s="28"/>
      <c r="D91" s="31">
        <f>+D87-D89</f>
        <v>-978.53999999999178</v>
      </c>
      <c r="E91" s="14"/>
      <c r="F91" s="34">
        <f>IF(D$12=0,0,D91/D$12)</f>
        <v>-7.0514402617536925E-3</v>
      </c>
      <c r="G91" s="14"/>
      <c r="H91" s="31">
        <f>+H87-H89</f>
        <v>-356.85000000001673</v>
      </c>
      <c r="I91" s="14"/>
      <c r="J91" s="34">
        <f>IF(H$12=0,0,H91/H$12)</f>
        <v>-2.4297126382234256E-3</v>
      </c>
      <c r="K91" s="16"/>
      <c r="L91" s="31">
        <f>D91-H91</f>
        <v>-621.68999999997504</v>
      </c>
      <c r="M91" s="16"/>
      <c r="N91" s="34">
        <f>IF(H91=0,0,L91/H91)</f>
        <v>1.7421605716686168</v>
      </c>
      <c r="O91" s="29"/>
      <c r="P91" s="31">
        <f>+P87-P89</f>
        <v>-104909.24999999994</v>
      </c>
      <c r="Q91" s="14"/>
      <c r="R91" s="34">
        <f>IF(P$12=0,0,P91/P$12)</f>
        <v>-0.33642805961556793</v>
      </c>
      <c r="S91" s="14"/>
      <c r="T91" s="31">
        <f>+T87-T89</f>
        <v>-83347.080000000118</v>
      </c>
      <c r="U91" s="14"/>
      <c r="V91" s="34">
        <f>IF(T$12=0,0,T91/T$12)</f>
        <v>-0.2569824041205454</v>
      </c>
      <c r="W91" s="16"/>
      <c r="X91" s="31">
        <f>P91-T91</f>
        <v>-21562.169999999824</v>
      </c>
      <c r="Y91" s="16"/>
      <c r="Z91" s="34">
        <f>IF(T91=0,0,X91/T91)</f>
        <v>0.25870336429302376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5</v>
      </c>
      <c r="C94" s="28"/>
      <c r="D94" s="36">
        <f>SUM(D91:D93)</f>
        <v>-978.53999999999178</v>
      </c>
      <c r="E94" s="14"/>
      <c r="F94" s="33">
        <f>IF(D$12=0,0,D94/D$12)</f>
        <v>-7.0514402617536925E-3</v>
      </c>
      <c r="G94" s="14"/>
      <c r="H94" s="36">
        <f>SUM(H91:H93)</f>
        <v>-356.85000000001673</v>
      </c>
      <c r="I94" s="14"/>
      <c r="J94" s="33">
        <f>IF(H$12=0,0,H94/H$12)</f>
        <v>-2.4297126382234256E-3</v>
      </c>
      <c r="K94" s="16"/>
      <c r="L94" s="36">
        <f>+D94-H94</f>
        <v>-621.68999999997504</v>
      </c>
      <c r="M94" s="16"/>
      <c r="N94" s="33">
        <f>IF(H94=0,0,L94/H94)</f>
        <v>1.7421605716686168</v>
      </c>
      <c r="O94" s="29"/>
      <c r="P94" s="36">
        <f>SUM(P91:P93)</f>
        <v>-104909.24999999994</v>
      </c>
      <c r="Q94" s="14"/>
      <c r="R94" s="33">
        <f>IF(P$12=0,0,P94/P$12)</f>
        <v>-0.33642805961556793</v>
      </c>
      <c r="S94" s="14"/>
      <c r="T94" s="36">
        <f>SUM(T91:T93)</f>
        <v>-83347.080000000118</v>
      </c>
      <c r="U94" s="14"/>
      <c r="V94" s="33">
        <f>IF(T$12=0,0,T94/T$12)</f>
        <v>-0.2569824041205454</v>
      </c>
      <c r="W94" s="16"/>
      <c r="X94" s="36">
        <f>+P94-T94</f>
        <v>-21562.169999999824</v>
      </c>
      <c r="Y94" s="16"/>
      <c r="Z94" s="33">
        <f>IF(T94=0,0,X94/T94)</f>
        <v>0.25870336429302376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61">
        <v>43791.35565096065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6" t="s">
        <v>313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7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","418", " - ", "Nugget")</f>
        <v>Department 418 - Nugget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224348.40999999997</v>
      </c>
      <c r="E12" s="4"/>
      <c r="F12" s="12"/>
      <c r="G12" s="4"/>
      <c r="H12" s="4">
        <f>SUM(OSRRefH13x_0)</f>
        <v>224681.33000000002</v>
      </c>
      <c r="I12" s="4"/>
      <c r="J12" s="12"/>
      <c r="K12" s="4"/>
      <c r="L12" s="4">
        <f t="shared" ref="L12:L14" si="0">+D12-H12</f>
        <v>-332.92000000004191</v>
      </c>
      <c r="M12" s="4"/>
      <c r="N12" s="12">
        <f t="shared" ref="N12:N14" si="1">IF(H12=0,0,L12/H12)</f>
        <v>-1.4817430535952493E-3</v>
      </c>
      <c r="O12" s="10"/>
      <c r="P12" s="4">
        <f>SUM(OSRRefP13x_0)</f>
        <v>518238.63</v>
      </c>
      <c r="Q12" s="4"/>
      <c r="R12" s="12"/>
      <c r="S12" s="4"/>
      <c r="T12" s="4">
        <f>SUM(OSRRefT13x_0)</f>
        <v>523836.75</v>
      </c>
      <c r="U12" s="4"/>
      <c r="V12" s="12"/>
      <c r="W12" s="4"/>
      <c r="X12" s="4">
        <f t="shared" ref="X12:X14" si="2">+P12-T12</f>
        <v>-5598.1199999999953</v>
      </c>
      <c r="Y12" s="4"/>
      <c r="Z12" s="12">
        <f t="shared" ref="Z12:Z14" si="3">IF(T12=0,0,X12/T12)</f>
        <v>-1.0686764531125385E-2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--75155.92</f>
        <v>75155.92</v>
      </c>
      <c r="E13" s="2"/>
      <c r="F13" s="19"/>
      <c r="G13" s="2"/>
      <c r="H13" s="2">
        <f>--91365.46</f>
        <v>91365.46</v>
      </c>
      <c r="I13" s="2"/>
      <c r="J13" s="19"/>
      <c r="K13" s="2"/>
      <c r="L13" s="2">
        <f t="shared" si="0"/>
        <v>-16209.540000000008</v>
      </c>
      <c r="M13" s="2"/>
      <c r="N13" s="19">
        <f t="shared" si="1"/>
        <v>-0.17741430952134435</v>
      </c>
      <c r="O13" s="11"/>
      <c r="P13" s="2">
        <f>--185991.6</f>
        <v>185991.6</v>
      </c>
      <c r="Q13" s="2"/>
      <c r="R13" s="19"/>
      <c r="S13" s="2"/>
      <c r="T13" s="2">
        <f>--217677.18</f>
        <v>217677.18</v>
      </c>
      <c r="U13" s="2"/>
      <c r="V13" s="19"/>
      <c r="W13" s="2"/>
      <c r="X13" s="2">
        <f t="shared" si="2"/>
        <v>-31685.579999999987</v>
      </c>
      <c r="Y13" s="2"/>
      <c r="Z13" s="19">
        <f t="shared" si="3"/>
        <v>-0.14556224956607758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>--149192.49</f>
        <v>149192.49</v>
      </c>
      <c r="E14" s="2"/>
      <c r="F14" s="19"/>
      <c r="G14" s="2"/>
      <c r="H14" s="2">
        <f>--133315.87</f>
        <v>133315.87</v>
      </c>
      <c r="I14" s="2"/>
      <c r="J14" s="19"/>
      <c r="K14" s="2"/>
      <c r="L14" s="2">
        <f t="shared" si="0"/>
        <v>15876.619999999995</v>
      </c>
      <c r="M14" s="2"/>
      <c r="N14" s="19">
        <f t="shared" si="1"/>
        <v>0.11909024784521149</v>
      </c>
      <c r="O14" s="11"/>
      <c r="P14" s="2">
        <f>--332247.03</f>
        <v>332247.03000000003</v>
      </c>
      <c r="Q14" s="2"/>
      <c r="R14" s="19"/>
      <c r="S14" s="2"/>
      <c r="T14" s="2">
        <f>--306159.57</f>
        <v>306159.57</v>
      </c>
      <c r="U14" s="2"/>
      <c r="V14" s="19"/>
      <c r="W14" s="2"/>
      <c r="X14" s="2">
        <f t="shared" si="2"/>
        <v>26087.460000000021</v>
      </c>
      <c r="Y14" s="2"/>
      <c r="Z14" s="19">
        <f t="shared" si="3"/>
        <v>8.5208703422205684E-2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59637.06</v>
      </c>
      <c r="E16" s="4"/>
      <c r="F16" s="12">
        <f t="shared" ref="F16:F18" si="4">IF(D$12=0,0,D16/D$12)</f>
        <v>0.26582341278906324</v>
      </c>
      <c r="G16" s="4"/>
      <c r="H16" s="4">
        <f>SUM(OSRRefH16x_0)</f>
        <v>71898.31</v>
      </c>
      <c r="I16" s="4"/>
      <c r="J16" s="12">
        <f t="shared" ref="J16:J18" si="5">IF(H$12=0,0,H16/H$12)</f>
        <v>0.32000126579275628</v>
      </c>
      <c r="K16" s="4"/>
      <c r="L16" s="4">
        <f t="shared" ref="L16:L18" si="6">+D16-H16</f>
        <v>-12261.25</v>
      </c>
      <c r="M16" s="4"/>
      <c r="N16" s="12">
        <f t="shared" ref="N16:N18" si="7">IF(H16=0,0,L16/H16)</f>
        <v>-0.17053599729951929</v>
      </c>
      <c r="O16" s="10"/>
      <c r="P16" s="4">
        <f>SUM(OSRRefP16x_0)</f>
        <v>168122.55</v>
      </c>
      <c r="Q16" s="4"/>
      <c r="R16" s="12">
        <f t="shared" ref="R16:R18" si="8">IF(P$12=0,0,P16/P$12)</f>
        <v>0.32441145886789641</v>
      </c>
      <c r="S16" s="4"/>
      <c r="T16" s="4">
        <f>SUM(OSRRefT16x_0)</f>
        <v>167626.84</v>
      </c>
      <c r="U16" s="4"/>
      <c r="V16" s="12">
        <f t="shared" ref="V16:V18" si="9">IF(T$12=0,0,T16/T$12)</f>
        <v>0.3199982437276499</v>
      </c>
      <c r="W16" s="4"/>
      <c r="X16" s="4">
        <f t="shared" ref="X16:X18" si="10">+P16-T16</f>
        <v>495.70999999999185</v>
      </c>
      <c r="Y16" s="4"/>
      <c r="Z16" s="12">
        <f t="shared" ref="Z16:Z18" si="11">IF(T16=0,0,X16/T16)</f>
        <v>2.9572233181750121E-3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70222.06</v>
      </c>
      <c r="E17" s="2"/>
      <c r="F17" s="19">
        <f t="shared" si="4"/>
        <v>0.31300449154063542</v>
      </c>
      <c r="G17" s="2"/>
      <c r="H17" s="2">
        <v>67921.31</v>
      </c>
      <c r="I17" s="2"/>
      <c r="J17" s="19">
        <f t="shared" si="5"/>
        <v>0.30230064064513057</v>
      </c>
      <c r="K17" s="2"/>
      <c r="L17" s="2">
        <f t="shared" si="6"/>
        <v>2300.75</v>
      </c>
      <c r="M17" s="2"/>
      <c r="N17" s="19">
        <f t="shared" si="7"/>
        <v>3.3873757735238028E-2</v>
      </c>
      <c r="O17" s="11"/>
      <c r="P17" s="2">
        <v>179629.55</v>
      </c>
      <c r="Q17" s="2"/>
      <c r="R17" s="19">
        <f t="shared" si="8"/>
        <v>0.34661551571329213</v>
      </c>
      <c r="S17" s="2"/>
      <c r="T17" s="2">
        <v>166005.84</v>
      </c>
      <c r="U17" s="2"/>
      <c r="V17" s="19">
        <f t="shared" si="9"/>
        <v>0.31690376820641164</v>
      </c>
      <c r="W17" s="2"/>
      <c r="X17" s="2">
        <f t="shared" si="10"/>
        <v>13623.709999999992</v>
      </c>
      <c r="Y17" s="2"/>
      <c r="Z17" s="19">
        <f t="shared" si="11"/>
        <v>8.2067654969246812E-2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-10585</v>
      </c>
      <c r="E18" s="2"/>
      <c r="F18" s="19">
        <f t="shared" si="4"/>
        <v>-4.7181078751572167E-2</v>
      </c>
      <c r="G18" s="2"/>
      <c r="H18" s="2">
        <v>3977</v>
      </c>
      <c r="I18" s="2"/>
      <c r="J18" s="19">
        <f t="shared" si="5"/>
        <v>1.770062514762575E-2</v>
      </c>
      <c r="K18" s="2"/>
      <c r="L18" s="2">
        <f t="shared" si="6"/>
        <v>-14562</v>
      </c>
      <c r="M18" s="2"/>
      <c r="N18" s="19">
        <f t="shared" si="7"/>
        <v>-3.6615539351269804</v>
      </c>
      <c r="O18" s="11"/>
      <c r="P18" s="2">
        <v>-11507</v>
      </c>
      <c r="Q18" s="2"/>
      <c r="R18" s="19">
        <f t="shared" si="8"/>
        <v>-2.2204056845395722E-2</v>
      </c>
      <c r="S18" s="2"/>
      <c r="T18" s="2">
        <v>1621</v>
      </c>
      <c r="U18" s="2"/>
      <c r="V18" s="19">
        <f t="shared" si="9"/>
        <v>3.0944755212382485E-3</v>
      </c>
      <c r="W18" s="2"/>
      <c r="X18" s="2">
        <f t="shared" si="10"/>
        <v>-13128</v>
      </c>
      <c r="Y18" s="2"/>
      <c r="Z18" s="19">
        <f t="shared" si="11"/>
        <v>-8.0987045033929679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164711.34999999998</v>
      </c>
      <c r="E20" s="14"/>
      <c r="F20" s="22">
        <f>IF(D$12=0,0,D20/D$12)</f>
        <v>0.7341765872109367</v>
      </c>
      <c r="G20" s="14"/>
      <c r="H20" s="21">
        <f>H12-H16</f>
        <v>152783.02000000002</v>
      </c>
      <c r="I20" s="14"/>
      <c r="J20" s="22">
        <f>IF(H$12=0,0,H20/H$12)</f>
        <v>0.67999873420724366</v>
      </c>
      <c r="K20" s="16"/>
      <c r="L20" s="21">
        <f>+D20-H20</f>
        <v>11928.329999999958</v>
      </c>
      <c r="M20" s="16"/>
      <c r="N20" s="22">
        <f>IF(H20=0,0,L20/H20)</f>
        <v>7.8073662897879342E-2</v>
      </c>
      <c r="O20" s="29"/>
      <c r="P20" s="21">
        <f>P12-P16</f>
        <v>350116.08</v>
      </c>
      <c r="Q20" s="14"/>
      <c r="R20" s="22">
        <f>IF(P$12=0,0,P20/P$12)</f>
        <v>0.67558854113210354</v>
      </c>
      <c r="S20" s="14"/>
      <c r="T20" s="21">
        <f>T12-T16</f>
        <v>356209.91000000003</v>
      </c>
      <c r="U20" s="14"/>
      <c r="V20" s="22">
        <f>IF(T$12=0,0,T20/T$12)</f>
        <v>0.68000175627235016</v>
      </c>
      <c r="W20" s="16"/>
      <c r="X20" s="21">
        <f>+P20-T20</f>
        <v>-6093.8300000000163</v>
      </c>
      <c r="Y20" s="16"/>
      <c r="Z20" s="22">
        <f>IF(T20=0,0,X20/T20)</f>
        <v>-1.7107412873493655E-2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87364.64999999998</v>
      </c>
      <c r="E22" s="20"/>
      <c r="F22" s="35">
        <f t="shared" ref="F22:F31" si="12">IF(D$12=0,0,D22/D$12)</f>
        <v>0.38941506204568149</v>
      </c>
      <c r="G22" s="20"/>
      <c r="H22" s="20">
        <f>SUM(OSRRefH22x_0)</f>
        <v>80897.89</v>
      </c>
      <c r="I22" s="20"/>
      <c r="J22" s="35">
        <f t="shared" ref="J22:J31" si="13">IF(H$12=0,0,H22/H$12)</f>
        <v>0.36005612927429259</v>
      </c>
      <c r="K22" s="4"/>
      <c r="L22" s="20">
        <f t="shared" ref="L22:L31" si="14">+D22-H22</f>
        <v>6466.7599999999802</v>
      </c>
      <c r="M22" s="4"/>
      <c r="N22" s="35">
        <f t="shared" ref="N22:N31" si="15">IF(H22=0,0,L22/H22)</f>
        <v>7.9937313568993959E-2</v>
      </c>
      <c r="O22" s="10"/>
      <c r="P22" s="20">
        <f>SUM(OSRRefP22x_0)</f>
        <v>241601.36999999997</v>
      </c>
      <c r="Q22" s="20"/>
      <c r="R22" s="35">
        <f t="shared" ref="R22:R31" si="16">IF(P$12=0,0,P22/P$12)</f>
        <v>0.46619714551190439</v>
      </c>
      <c r="S22" s="20"/>
      <c r="T22" s="20">
        <f>SUM(OSRRefT22x_0)</f>
        <v>233039.04000000004</v>
      </c>
      <c r="U22" s="20"/>
      <c r="V22" s="35">
        <f t="shared" ref="V22:V31" si="17">IF(T$12=0,0,T22/T$12)</f>
        <v>0.44486958961928508</v>
      </c>
      <c r="W22" s="4"/>
      <c r="X22" s="20">
        <f t="shared" ref="X22:X31" si="18">+P22-T22</f>
        <v>8562.329999999929</v>
      </c>
      <c r="Y22" s="4"/>
      <c r="Z22" s="35">
        <f t="shared" ref="Z22:Z31" si="19">IF(T22=0,0,X22/T22)</f>
        <v>3.6742041161858231E-2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8742.5600000000013</v>
      </c>
      <c r="E23" s="1"/>
      <c r="F23" s="5">
        <f t="shared" si="12"/>
        <v>3.8968673769517702E-2</v>
      </c>
      <c r="G23" s="1"/>
      <c r="H23" s="1">
        <f>SUM(OSRRefH22_0x_0)</f>
        <v>12019.699999999999</v>
      </c>
      <c r="I23" s="1"/>
      <c r="J23" s="5">
        <f t="shared" si="13"/>
        <v>5.3496656798319636E-2</v>
      </c>
      <c r="K23" s="1"/>
      <c r="L23" s="1">
        <f t="shared" si="14"/>
        <v>-3277.1399999999976</v>
      </c>
      <c r="M23" s="1"/>
      <c r="N23" s="5">
        <f t="shared" si="15"/>
        <v>-0.27264740384535369</v>
      </c>
      <c r="O23" s="13"/>
      <c r="P23" s="1">
        <f>SUM(OSRRefP22_0x_0)</f>
        <v>27562.9</v>
      </c>
      <c r="Q23" s="1"/>
      <c r="R23" s="5">
        <f t="shared" si="16"/>
        <v>5.3185730287994934E-2</v>
      </c>
      <c r="S23" s="1"/>
      <c r="T23" s="1">
        <f>SUM(OSRRefT22_0x_0)</f>
        <v>34021.82</v>
      </c>
      <c r="U23" s="1"/>
      <c r="V23" s="5">
        <f t="shared" si="17"/>
        <v>6.4947371485486655E-2</v>
      </c>
      <c r="W23" s="1"/>
      <c r="X23" s="1">
        <f t="shared" si="18"/>
        <v>-6458.9199999999983</v>
      </c>
      <c r="Y23" s="1"/>
      <c r="Z23" s="5">
        <f t="shared" si="19"/>
        <v>-0.18984639857597266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3265.6</v>
      </c>
      <c r="E24" s="2"/>
      <c r="F24" s="7">
        <f t="shared" si="12"/>
        <v>1.4555931107334347E-2</v>
      </c>
      <c r="G24" s="2"/>
      <c r="H24" s="6">
        <v>2411.85</v>
      </c>
      <c r="I24" s="2"/>
      <c r="J24" s="7">
        <f t="shared" si="13"/>
        <v>1.073453677704329E-2</v>
      </c>
      <c r="K24" s="2"/>
      <c r="L24" s="6">
        <f t="shared" si="14"/>
        <v>853.75</v>
      </c>
      <c r="M24" s="2"/>
      <c r="N24" s="7">
        <f t="shared" si="15"/>
        <v>0.35398138358521469</v>
      </c>
      <c r="O24" s="11"/>
      <c r="P24" s="6">
        <v>7354.44</v>
      </c>
      <c r="Q24" s="2"/>
      <c r="R24" s="7">
        <f t="shared" si="16"/>
        <v>1.4191223066485799E-2</v>
      </c>
      <c r="S24" s="2"/>
      <c r="T24" s="6">
        <v>6431.51</v>
      </c>
      <c r="U24" s="2"/>
      <c r="V24" s="7">
        <f t="shared" si="17"/>
        <v>1.2277699111412096E-2</v>
      </c>
      <c r="W24" s="2"/>
      <c r="X24" s="6">
        <f t="shared" si="18"/>
        <v>922.92999999999938</v>
      </c>
      <c r="Y24" s="2"/>
      <c r="Z24" s="7">
        <f t="shared" si="19"/>
        <v>0.14350129285346666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-306.86</v>
      </c>
      <c r="E25" s="2"/>
      <c r="F25" s="7">
        <f t="shared" si="12"/>
        <v>-1.3677832617579062E-3</v>
      </c>
      <c r="G25" s="2"/>
      <c r="H25" s="6">
        <v>2835.85</v>
      </c>
      <c r="I25" s="2"/>
      <c r="J25" s="7">
        <f t="shared" si="13"/>
        <v>1.2621653966531175E-2</v>
      </c>
      <c r="K25" s="2"/>
      <c r="L25" s="6">
        <f t="shared" si="14"/>
        <v>-3142.71</v>
      </c>
      <c r="M25" s="2"/>
      <c r="N25" s="7">
        <f t="shared" si="15"/>
        <v>-1.1082074157659962</v>
      </c>
      <c r="O25" s="11"/>
      <c r="P25" s="6">
        <v>2360.91</v>
      </c>
      <c r="Q25" s="2"/>
      <c r="R25" s="7">
        <f t="shared" si="16"/>
        <v>4.5556426389904581E-3</v>
      </c>
      <c r="S25" s="2"/>
      <c r="T25" s="6">
        <v>4376.79</v>
      </c>
      <c r="U25" s="2"/>
      <c r="V25" s="7">
        <f t="shared" si="17"/>
        <v>8.3552557165949125E-3</v>
      </c>
      <c r="W25" s="2"/>
      <c r="X25" s="6">
        <f t="shared" si="18"/>
        <v>-2015.88</v>
      </c>
      <c r="Y25" s="2"/>
      <c r="Z25" s="7">
        <f t="shared" si="19"/>
        <v>-0.46058412672300936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2595.54</v>
      </c>
      <c r="E26" s="2"/>
      <c r="F26" s="7">
        <f t="shared" si="12"/>
        <v>1.1569237330454004E-2</v>
      </c>
      <c r="G26" s="2"/>
      <c r="H26" s="6">
        <v>4110.21</v>
      </c>
      <c r="I26" s="2"/>
      <c r="J26" s="7">
        <f t="shared" si="13"/>
        <v>1.8293509300483488E-2</v>
      </c>
      <c r="K26" s="2"/>
      <c r="L26" s="6">
        <f t="shared" si="14"/>
        <v>-1514.67</v>
      </c>
      <c r="M26" s="2"/>
      <c r="N26" s="7">
        <f t="shared" si="15"/>
        <v>-0.36851401753195095</v>
      </c>
      <c r="O26" s="11"/>
      <c r="P26" s="6">
        <v>10235.620000000001</v>
      </c>
      <c r="Q26" s="2"/>
      <c r="R26" s="7">
        <f t="shared" si="16"/>
        <v>1.9750785463445674E-2</v>
      </c>
      <c r="S26" s="2"/>
      <c r="T26" s="6">
        <v>13856.57</v>
      </c>
      <c r="U26" s="2"/>
      <c r="V26" s="7">
        <f t="shared" si="17"/>
        <v>2.6452076911365991E-2</v>
      </c>
      <c r="W26" s="2"/>
      <c r="X26" s="6">
        <f t="shared" si="18"/>
        <v>-3620.9499999999989</v>
      </c>
      <c r="Y26" s="2"/>
      <c r="Z26" s="7">
        <f t="shared" si="19"/>
        <v>-0.26131647297996541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116.71</v>
      </c>
      <c r="E27" s="2"/>
      <c r="F27" s="7">
        <f t="shared" si="12"/>
        <v>5.2021763827075939E-4</v>
      </c>
      <c r="G27" s="2"/>
      <c r="H27" s="6">
        <v>110.63</v>
      </c>
      <c r="I27" s="2"/>
      <c r="J27" s="7">
        <f t="shared" si="13"/>
        <v>4.9238626102133176E-4</v>
      </c>
      <c r="K27" s="2"/>
      <c r="L27" s="6">
        <f t="shared" si="14"/>
        <v>6.0799999999999983</v>
      </c>
      <c r="M27" s="2"/>
      <c r="N27" s="7">
        <f t="shared" si="15"/>
        <v>5.4957968001446249E-2</v>
      </c>
      <c r="O27" s="11"/>
      <c r="P27" s="6">
        <v>295.47000000000003</v>
      </c>
      <c r="Q27" s="2"/>
      <c r="R27" s="7">
        <f t="shared" si="16"/>
        <v>5.7014275450674142E-4</v>
      </c>
      <c r="S27" s="2"/>
      <c r="T27" s="6">
        <v>325.13</v>
      </c>
      <c r="U27" s="2"/>
      <c r="V27" s="7">
        <f t="shared" si="17"/>
        <v>6.2067046651461549E-4</v>
      </c>
      <c r="W27" s="2"/>
      <c r="X27" s="6">
        <f t="shared" si="18"/>
        <v>-29.659999999999968</v>
      </c>
      <c r="Y27" s="2"/>
      <c r="Z27" s="7">
        <f t="shared" si="19"/>
        <v>-9.1225048442161505E-2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617.47</v>
      </c>
      <c r="E28" s="2"/>
      <c r="F28" s="7">
        <f t="shared" si="12"/>
        <v>2.7522815962903418E-3</v>
      </c>
      <c r="G28" s="2"/>
      <c r="H28" s="6">
        <v>579.83000000000004</v>
      </c>
      <c r="I28" s="2"/>
      <c r="J28" s="7">
        <f t="shared" si="13"/>
        <v>2.5806772641055668E-3</v>
      </c>
      <c r="K28" s="2"/>
      <c r="L28" s="6">
        <f t="shared" si="14"/>
        <v>37.639999999999986</v>
      </c>
      <c r="M28" s="2"/>
      <c r="N28" s="7">
        <f t="shared" si="15"/>
        <v>6.4915578704102903E-2</v>
      </c>
      <c r="O28" s="11"/>
      <c r="P28" s="6">
        <v>1666.61</v>
      </c>
      <c r="Q28" s="2"/>
      <c r="R28" s="7">
        <f t="shared" si="16"/>
        <v>3.2159123298083738E-3</v>
      </c>
      <c r="S28" s="2"/>
      <c r="T28" s="6">
        <v>2600.79</v>
      </c>
      <c r="U28" s="2"/>
      <c r="V28" s="7">
        <f t="shared" si="17"/>
        <v>4.9648864841956965E-3</v>
      </c>
      <c r="W28" s="2"/>
      <c r="X28" s="6">
        <f t="shared" si="18"/>
        <v>-934.18000000000006</v>
      </c>
      <c r="Y28" s="2"/>
      <c r="Z28" s="7">
        <f t="shared" si="19"/>
        <v>-0.35919086123831606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943.98</v>
      </c>
      <c r="E29" s="2"/>
      <c r="F29" s="7">
        <f t="shared" si="12"/>
        <v>4.2076518393867829E-3</v>
      </c>
      <c r="G29" s="2"/>
      <c r="H29" s="6">
        <v>750.48</v>
      </c>
      <c r="I29" s="2"/>
      <c r="J29" s="7">
        <f t="shared" si="13"/>
        <v>3.3401974253935559E-3</v>
      </c>
      <c r="K29" s="2"/>
      <c r="L29" s="6">
        <f t="shared" si="14"/>
        <v>193.5</v>
      </c>
      <c r="M29" s="2"/>
      <c r="N29" s="7">
        <f t="shared" si="15"/>
        <v>0.25783498560921009</v>
      </c>
      <c r="O29" s="11"/>
      <c r="P29" s="6">
        <v>2162.27</v>
      </c>
      <c r="Q29" s="2"/>
      <c r="R29" s="7">
        <f t="shared" si="16"/>
        <v>4.1723443117314511E-3</v>
      </c>
      <c r="S29" s="2"/>
      <c r="T29" s="6">
        <v>2263.7600000000002</v>
      </c>
      <c r="U29" s="2"/>
      <c r="V29" s="7">
        <f t="shared" si="17"/>
        <v>4.321499016630659E-3</v>
      </c>
      <c r="W29" s="2"/>
      <c r="X29" s="6">
        <f t="shared" si="18"/>
        <v>-101.49000000000024</v>
      </c>
      <c r="Y29" s="2"/>
      <c r="Z29" s="7">
        <f t="shared" si="19"/>
        <v>-4.4832491076792692E-2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998.94</v>
      </c>
      <c r="E30" s="2"/>
      <c r="F30" s="7">
        <f t="shared" si="12"/>
        <v>4.4526279459702889E-3</v>
      </c>
      <c r="G30" s="2"/>
      <c r="H30" s="6">
        <v>774.54</v>
      </c>
      <c r="I30" s="2"/>
      <c r="J30" s="7">
        <f t="shared" si="13"/>
        <v>3.4472824244008164E-3</v>
      </c>
      <c r="K30" s="2"/>
      <c r="L30" s="6">
        <f t="shared" si="14"/>
        <v>224.40000000000009</v>
      </c>
      <c r="M30" s="2"/>
      <c r="N30" s="7">
        <f t="shared" si="15"/>
        <v>0.28972035014331099</v>
      </c>
      <c r="O30" s="11"/>
      <c r="P30" s="6">
        <v>2167.98</v>
      </c>
      <c r="Q30" s="2"/>
      <c r="R30" s="7">
        <f t="shared" si="16"/>
        <v>4.1833624019884429E-3</v>
      </c>
      <c r="S30" s="2"/>
      <c r="T30" s="6">
        <v>2583.2800000000002</v>
      </c>
      <c r="U30" s="2"/>
      <c r="V30" s="7">
        <f t="shared" si="17"/>
        <v>4.9314600397929323E-3</v>
      </c>
      <c r="W30" s="2"/>
      <c r="X30" s="6">
        <f t="shared" si="18"/>
        <v>-415.30000000000018</v>
      </c>
      <c r="Y30" s="2"/>
      <c r="Z30" s="7">
        <f t="shared" si="19"/>
        <v>-0.16076460933387018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511.18</v>
      </c>
      <c r="E31" s="2"/>
      <c r="F31" s="7">
        <f t="shared" si="12"/>
        <v>2.2785095735690752E-3</v>
      </c>
      <c r="G31" s="2"/>
      <c r="H31" s="6">
        <v>446.31</v>
      </c>
      <c r="I31" s="2"/>
      <c r="J31" s="7">
        <f t="shared" si="13"/>
        <v>1.9864133793404196E-3</v>
      </c>
      <c r="K31" s="2"/>
      <c r="L31" s="6">
        <f t="shared" si="14"/>
        <v>64.87</v>
      </c>
      <c r="M31" s="2"/>
      <c r="N31" s="7">
        <f t="shared" si="15"/>
        <v>0.14534740427057427</v>
      </c>
      <c r="O31" s="11"/>
      <c r="P31" s="6">
        <v>1319.6</v>
      </c>
      <c r="Q31" s="2"/>
      <c r="R31" s="7">
        <f t="shared" si="16"/>
        <v>2.5463173210379933E-3</v>
      </c>
      <c r="S31" s="2"/>
      <c r="T31" s="6">
        <v>1583.99</v>
      </c>
      <c r="U31" s="2"/>
      <c r="V31" s="7">
        <f t="shared" si="17"/>
        <v>3.0238237389797491E-3</v>
      </c>
      <c r="W31" s="2"/>
      <c r="X31" s="6">
        <f t="shared" si="18"/>
        <v>-264.3900000000001</v>
      </c>
      <c r="Y31" s="2"/>
      <c r="Z31" s="7">
        <f t="shared" si="19"/>
        <v>-0.16691393253745296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52716.800000000003</v>
      </c>
      <c r="E32" s="1"/>
      <c r="F32" s="5">
        <f t="shared" ref="F32:F38" si="20">IF(D$12=0,0,D32/D$12)</f>
        <v>0.23497737291741896</v>
      </c>
      <c r="G32" s="1"/>
      <c r="H32" s="1">
        <f>SUM(OSRRefH22_1x_0)</f>
        <v>47537.749999999993</v>
      </c>
      <c r="I32" s="1"/>
      <c r="J32" s="5">
        <f t="shared" ref="J32:J38" si="21">IF(H$12=0,0,H32/H$12)</f>
        <v>0.21157854994004169</v>
      </c>
      <c r="K32" s="1"/>
      <c r="L32" s="1">
        <f t="shared" ref="L32:L38" si="22">+D32-H32</f>
        <v>5179.0500000000102</v>
      </c>
      <c r="M32" s="1"/>
      <c r="N32" s="5">
        <f t="shared" ref="N32:N38" si="23">IF(H32=0,0,L32/H32)</f>
        <v>0.10894604814068842</v>
      </c>
      <c r="O32" s="13"/>
      <c r="P32" s="1">
        <f>SUM(OSRRefP22_1x_0)</f>
        <v>131281.18</v>
      </c>
      <c r="Q32" s="1"/>
      <c r="R32" s="5">
        <f t="shared" ref="R32:R38" si="24">IF(P$12=0,0,P32/P$12)</f>
        <v>0.25332187220393043</v>
      </c>
      <c r="S32" s="1"/>
      <c r="T32" s="1">
        <f>SUM(OSRRefT22_1x_0)</f>
        <v>124398.23000000003</v>
      </c>
      <c r="U32" s="1"/>
      <c r="V32" s="5">
        <f t="shared" ref="V32:V38" si="25">IF(T$12=0,0,T32/T$12)</f>
        <v>0.23747518668745562</v>
      </c>
      <c r="W32" s="1"/>
      <c r="X32" s="1">
        <f t="shared" ref="X32:X38" si="26">+P32-T32</f>
        <v>6882.949999999968</v>
      </c>
      <c r="Y32" s="1"/>
      <c r="Z32" s="5">
        <f t="shared" ref="Z32:Z38" si="27">IF(T32=0,0,X32/T32)</f>
        <v>5.5329967315451083E-2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11050</v>
      </c>
      <c r="E33" s="2"/>
      <c r="F33" s="7">
        <f t="shared" si="20"/>
        <v>4.9253747775613838E-2</v>
      </c>
      <c r="G33" s="2"/>
      <c r="H33" s="6">
        <v>10350.36</v>
      </c>
      <c r="I33" s="2"/>
      <c r="J33" s="7">
        <f t="shared" si="21"/>
        <v>4.6066844984405247E-2</v>
      </c>
      <c r="K33" s="2"/>
      <c r="L33" s="6">
        <f t="shared" si="22"/>
        <v>699.63999999999942</v>
      </c>
      <c r="M33" s="2"/>
      <c r="N33" s="7">
        <f t="shared" si="23"/>
        <v>6.7595716477494447E-2</v>
      </c>
      <c r="O33" s="11"/>
      <c r="P33" s="6">
        <v>27128</v>
      </c>
      <c r="Q33" s="2"/>
      <c r="R33" s="7">
        <f t="shared" si="24"/>
        <v>5.2346541592239081E-2</v>
      </c>
      <c r="S33" s="2"/>
      <c r="T33" s="6">
        <v>36136.910000000003</v>
      </c>
      <c r="U33" s="2"/>
      <c r="V33" s="7">
        <f t="shared" si="25"/>
        <v>6.8985060708321833E-2</v>
      </c>
      <c r="W33" s="2"/>
      <c r="X33" s="6">
        <f t="shared" si="26"/>
        <v>-9008.9100000000035</v>
      </c>
      <c r="Y33" s="2"/>
      <c r="Z33" s="7">
        <f t="shared" si="27"/>
        <v>-0.24929940052981847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6967.79</v>
      </c>
      <c r="E34" s="2"/>
      <c r="F34" s="7">
        <f t="shared" si="20"/>
        <v>3.1057897847370529E-2</v>
      </c>
      <c r="G34" s="2"/>
      <c r="H34" s="6">
        <v>3965.25</v>
      </c>
      <c r="I34" s="2"/>
      <c r="J34" s="7">
        <f t="shared" si="21"/>
        <v>1.7648328857586874E-2</v>
      </c>
      <c r="K34" s="2"/>
      <c r="L34" s="6">
        <f t="shared" si="22"/>
        <v>3002.54</v>
      </c>
      <c r="M34" s="2"/>
      <c r="N34" s="7">
        <f t="shared" si="23"/>
        <v>0.75721329046087893</v>
      </c>
      <c r="O34" s="11"/>
      <c r="P34" s="6">
        <v>11621.08</v>
      </c>
      <c r="Q34" s="2"/>
      <c r="R34" s="7">
        <f t="shared" si="24"/>
        <v>2.2424187096974999E-2</v>
      </c>
      <c r="S34" s="2"/>
      <c r="T34" s="6">
        <v>8631.75</v>
      </c>
      <c r="U34" s="2"/>
      <c r="V34" s="7">
        <f t="shared" si="25"/>
        <v>1.6477938976217306E-2</v>
      </c>
      <c r="W34" s="2"/>
      <c r="X34" s="6">
        <f t="shared" si="26"/>
        <v>2989.33</v>
      </c>
      <c r="Y34" s="2"/>
      <c r="Z34" s="7">
        <f t="shared" si="27"/>
        <v>0.34631795406493471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16601.060000000001</v>
      </c>
      <c r="E35" s="2"/>
      <c r="F35" s="7">
        <f t="shared" si="20"/>
        <v>7.3996780275821891E-2</v>
      </c>
      <c r="G35" s="2"/>
      <c r="H35" s="6">
        <v>10443.56</v>
      </c>
      <c r="I35" s="2"/>
      <c r="J35" s="7">
        <f t="shared" si="21"/>
        <v>4.6481654706245504E-2</v>
      </c>
      <c r="K35" s="2"/>
      <c r="L35" s="6">
        <f t="shared" si="22"/>
        <v>6157.5000000000018</v>
      </c>
      <c r="M35" s="2"/>
      <c r="N35" s="7">
        <f t="shared" si="23"/>
        <v>0.58959779998391371</v>
      </c>
      <c r="O35" s="11"/>
      <c r="P35" s="6">
        <v>39664.85</v>
      </c>
      <c r="Q35" s="2"/>
      <c r="R35" s="7">
        <f t="shared" si="24"/>
        <v>7.6537810390553088E-2</v>
      </c>
      <c r="S35" s="2"/>
      <c r="T35" s="6">
        <v>24377.79</v>
      </c>
      <c r="U35" s="2"/>
      <c r="V35" s="7">
        <f t="shared" si="25"/>
        <v>4.6536998406469195E-2</v>
      </c>
      <c r="W35" s="2"/>
      <c r="X35" s="6">
        <f t="shared" si="26"/>
        <v>15287.059999999998</v>
      </c>
      <c r="Y35" s="2"/>
      <c r="Z35" s="7">
        <f t="shared" si="27"/>
        <v>0.62708965825039908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>
        <v>2572.38</v>
      </c>
      <c r="E36" s="2"/>
      <c r="F36" s="7">
        <f t="shared" si="20"/>
        <v>1.146600504099851E-2</v>
      </c>
      <c r="G36" s="2"/>
      <c r="H36" s="6"/>
      <c r="I36" s="2"/>
      <c r="J36" s="7">
        <f t="shared" si="21"/>
        <v>0</v>
      </c>
      <c r="K36" s="2"/>
      <c r="L36" s="6">
        <f t="shared" si="22"/>
        <v>2572.38</v>
      </c>
      <c r="M36" s="2"/>
      <c r="N36" s="7">
        <f t="shared" si="23"/>
        <v>0</v>
      </c>
      <c r="O36" s="11"/>
      <c r="P36" s="6">
        <v>6035.26</v>
      </c>
      <c r="Q36" s="2"/>
      <c r="R36" s="7">
        <f t="shared" si="24"/>
        <v>1.1645716182909792E-2</v>
      </c>
      <c r="S36" s="2"/>
      <c r="T36" s="6"/>
      <c r="U36" s="2"/>
      <c r="V36" s="7">
        <f t="shared" si="25"/>
        <v>0</v>
      </c>
      <c r="W36" s="2"/>
      <c r="X36" s="6">
        <f t="shared" si="26"/>
        <v>6035.26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14475.57</v>
      </c>
      <c r="E37" s="2"/>
      <c r="F37" s="7">
        <f t="shared" si="20"/>
        <v>6.4522721600745916E-2</v>
      </c>
      <c r="G37" s="2"/>
      <c r="H37" s="6">
        <v>21054.62</v>
      </c>
      <c r="I37" s="2"/>
      <c r="J37" s="7">
        <f t="shared" si="21"/>
        <v>9.3708809717300487E-2</v>
      </c>
      <c r="K37" s="2"/>
      <c r="L37" s="6">
        <f t="shared" si="22"/>
        <v>-6579.0499999999993</v>
      </c>
      <c r="M37" s="2"/>
      <c r="N37" s="7">
        <f t="shared" si="23"/>
        <v>-0.31247536170208723</v>
      </c>
      <c r="O37" s="11"/>
      <c r="P37" s="6">
        <v>45001.990000000005</v>
      </c>
      <c r="Q37" s="2"/>
      <c r="R37" s="7">
        <f t="shared" si="24"/>
        <v>8.6836425142602758E-2</v>
      </c>
      <c r="S37" s="2"/>
      <c r="T37" s="6">
        <v>50932.57</v>
      </c>
      <c r="U37" s="2"/>
      <c r="V37" s="7">
        <f t="shared" si="25"/>
        <v>9.7229852621069451E-2</v>
      </c>
      <c r="W37" s="2"/>
      <c r="X37" s="6">
        <f t="shared" si="26"/>
        <v>-5930.5799999999945</v>
      </c>
      <c r="Y37" s="2"/>
      <c r="Z37" s="7">
        <f t="shared" si="27"/>
        <v>-0.11643983407866508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1050</v>
      </c>
      <c r="E38" s="2"/>
      <c r="F38" s="7">
        <f t="shared" si="20"/>
        <v>4.6802203768682828E-3</v>
      </c>
      <c r="G38" s="2"/>
      <c r="H38" s="6">
        <v>1723.96</v>
      </c>
      <c r="I38" s="2"/>
      <c r="J38" s="7">
        <f t="shared" si="21"/>
        <v>7.672911674503618E-3</v>
      </c>
      <c r="K38" s="2"/>
      <c r="L38" s="6">
        <f t="shared" si="22"/>
        <v>-673.96</v>
      </c>
      <c r="M38" s="2"/>
      <c r="N38" s="7">
        <f t="shared" si="23"/>
        <v>-0.39093714471333441</v>
      </c>
      <c r="O38" s="11"/>
      <c r="P38" s="6">
        <v>1830</v>
      </c>
      <c r="Q38" s="2"/>
      <c r="R38" s="7">
        <f t="shared" si="24"/>
        <v>3.5311917986507488E-3</v>
      </c>
      <c r="S38" s="2"/>
      <c r="T38" s="6">
        <v>4319.21</v>
      </c>
      <c r="U38" s="2"/>
      <c r="V38" s="7">
        <f t="shared" si="25"/>
        <v>8.2453359753778249E-3</v>
      </c>
      <c r="W38" s="2"/>
      <c r="X38" s="6">
        <f t="shared" si="26"/>
        <v>-2489.21</v>
      </c>
      <c r="Y38" s="2"/>
      <c r="Z38" s="7">
        <f t="shared" si="27"/>
        <v>-0.57631140879929432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937</v>
      </c>
      <c r="E39" s="1"/>
      <c r="F39" s="5">
        <f t="shared" ref="F39:F47" si="28">IF(D$12=0,0,D39/D$12)</f>
        <v>4.1765395172624585E-3</v>
      </c>
      <c r="G39" s="1"/>
      <c r="H39" s="1">
        <f>SUM(OSRRefH22_2x_0)</f>
        <v>1013.79</v>
      </c>
      <c r="I39" s="1"/>
      <c r="J39" s="5">
        <f t="shared" ref="J39:J47" si="29">IF(H$12=0,0,H39/H$12)</f>
        <v>4.5121239045540626E-3</v>
      </c>
      <c r="K39" s="1"/>
      <c r="L39" s="1">
        <f t="shared" ref="L39:L47" si="30">+D39-H39</f>
        <v>-76.789999999999964</v>
      </c>
      <c r="M39" s="1"/>
      <c r="N39" s="5">
        <f t="shared" ref="N39:N47" si="31">IF(H39=0,0,L39/H39)</f>
        <v>-7.574546996912572E-2</v>
      </c>
      <c r="O39" s="13"/>
      <c r="P39" s="1">
        <f>SUM(OSRRefP22_2x_0)</f>
        <v>2440.9299999999998</v>
      </c>
      <c r="Q39" s="1"/>
      <c r="R39" s="5">
        <f t="shared" ref="R39:R47" si="32">IF(P$12=0,0,P39/P$12)</f>
        <v>4.7100502716287277E-3</v>
      </c>
      <c r="S39" s="1"/>
      <c r="T39" s="1">
        <f>SUM(OSRRefT22_2x_0)</f>
        <v>2885.36</v>
      </c>
      <c r="U39" s="1"/>
      <c r="V39" s="5">
        <f t="shared" ref="V39:V47" si="33">IF(T$12=0,0,T39/T$12)</f>
        <v>5.508128247970384E-3</v>
      </c>
      <c r="W39" s="1"/>
      <c r="X39" s="1">
        <f t="shared" ref="X39:X47" si="34">+P39-T39</f>
        <v>-444.43000000000029</v>
      </c>
      <c r="Y39" s="1"/>
      <c r="Z39" s="5">
        <f t="shared" ref="Z39:Z47" si="35">IF(T39=0,0,X39/T39)</f>
        <v>-0.15402930656833125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937</v>
      </c>
      <c r="E40" s="2"/>
      <c r="F40" s="7">
        <f t="shared" si="28"/>
        <v>4.1765395172624585E-3</v>
      </c>
      <c r="G40" s="2"/>
      <c r="H40" s="6">
        <v>1013.79</v>
      </c>
      <c r="I40" s="2"/>
      <c r="J40" s="7">
        <f t="shared" si="29"/>
        <v>4.5121239045540626E-3</v>
      </c>
      <c r="K40" s="2"/>
      <c r="L40" s="6">
        <f t="shared" si="30"/>
        <v>-76.789999999999964</v>
      </c>
      <c r="M40" s="2"/>
      <c r="N40" s="7">
        <f t="shared" si="31"/>
        <v>-7.574546996912572E-2</v>
      </c>
      <c r="O40" s="11"/>
      <c r="P40" s="6">
        <v>2440.9299999999998</v>
      </c>
      <c r="Q40" s="2"/>
      <c r="R40" s="7">
        <f t="shared" si="32"/>
        <v>4.7100502716287277E-3</v>
      </c>
      <c r="S40" s="2"/>
      <c r="T40" s="6">
        <v>2885.36</v>
      </c>
      <c r="U40" s="2"/>
      <c r="V40" s="7">
        <f t="shared" si="33"/>
        <v>5.508128247970384E-3</v>
      </c>
      <c r="W40" s="2"/>
      <c r="X40" s="6">
        <f t="shared" si="34"/>
        <v>-444.43000000000029</v>
      </c>
      <c r="Y40" s="2"/>
      <c r="Z40" s="7">
        <f t="shared" si="35"/>
        <v>-0.15402930656833125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-15.29</v>
      </c>
      <c r="E41" s="1"/>
      <c r="F41" s="5">
        <f t="shared" si="28"/>
        <v>-6.8152923392681946E-5</v>
      </c>
      <c r="G41" s="1"/>
      <c r="H41" s="1">
        <f>SUM(OSRRefH22_3x_0)</f>
        <v>11.4</v>
      </c>
      <c r="I41" s="1"/>
      <c r="J41" s="5">
        <f t="shared" si="29"/>
        <v>5.0738528207928976E-5</v>
      </c>
      <c r="K41" s="1"/>
      <c r="L41" s="1">
        <f t="shared" si="30"/>
        <v>-26.689999999999998</v>
      </c>
      <c r="M41" s="1"/>
      <c r="N41" s="5">
        <f t="shared" si="31"/>
        <v>-2.3412280701754384</v>
      </c>
      <c r="O41" s="13"/>
      <c r="P41" s="1">
        <f>SUM(OSRRefP22_3x_0)</f>
        <v>4.16</v>
      </c>
      <c r="Q41" s="1"/>
      <c r="R41" s="5">
        <f t="shared" si="32"/>
        <v>8.0271900996650909E-6</v>
      </c>
      <c r="S41" s="1"/>
      <c r="T41" s="1">
        <f>SUM(OSRRefT22_3x_0)</f>
        <v>9.7200000000000006</v>
      </c>
      <c r="U41" s="1"/>
      <c r="V41" s="5">
        <f t="shared" si="33"/>
        <v>1.8555399177320035E-5</v>
      </c>
      <c r="W41" s="1"/>
      <c r="X41" s="1">
        <f t="shared" si="34"/>
        <v>-5.5600000000000005</v>
      </c>
      <c r="Y41" s="1"/>
      <c r="Z41" s="5">
        <f t="shared" si="35"/>
        <v>-0.57201646090534986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-15.29</v>
      </c>
      <c r="E42" s="2"/>
      <c r="F42" s="7">
        <f t="shared" si="28"/>
        <v>-6.8152923392681946E-5</v>
      </c>
      <c r="G42" s="2"/>
      <c r="H42" s="6">
        <v>11.4</v>
      </c>
      <c r="I42" s="2"/>
      <c r="J42" s="7">
        <f t="shared" si="29"/>
        <v>5.0738528207928976E-5</v>
      </c>
      <c r="K42" s="2"/>
      <c r="L42" s="6">
        <f t="shared" si="30"/>
        <v>-26.689999999999998</v>
      </c>
      <c r="M42" s="2"/>
      <c r="N42" s="7">
        <f t="shared" si="31"/>
        <v>-2.3412280701754384</v>
      </c>
      <c r="O42" s="11"/>
      <c r="P42" s="6">
        <v>4.16</v>
      </c>
      <c r="Q42" s="2"/>
      <c r="R42" s="7">
        <f t="shared" si="32"/>
        <v>8.0271900996650909E-6</v>
      </c>
      <c r="S42" s="2"/>
      <c r="T42" s="6">
        <v>9.7200000000000006</v>
      </c>
      <c r="U42" s="2"/>
      <c r="V42" s="7">
        <f t="shared" si="33"/>
        <v>1.8555399177320035E-5</v>
      </c>
      <c r="W42" s="2"/>
      <c r="X42" s="6">
        <f t="shared" si="34"/>
        <v>-5.5600000000000005</v>
      </c>
      <c r="Y42" s="2"/>
      <c r="Z42" s="7">
        <f t="shared" si="35"/>
        <v>-0.57201646090534986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8778.2199999999993</v>
      </c>
      <c r="E43" s="1"/>
      <c r="F43" s="5">
        <f t="shared" si="28"/>
        <v>3.9127622968221615E-2</v>
      </c>
      <c r="G43" s="1"/>
      <c r="H43" s="1">
        <f>SUM(OSRRefH22_4x_0)</f>
        <v>8187.15</v>
      </c>
      <c r="I43" s="1"/>
      <c r="J43" s="5">
        <f t="shared" si="29"/>
        <v>3.6438942212065416E-2</v>
      </c>
      <c r="K43" s="1"/>
      <c r="L43" s="1">
        <f t="shared" si="30"/>
        <v>591.06999999999971</v>
      </c>
      <c r="M43" s="1"/>
      <c r="N43" s="5">
        <f t="shared" si="31"/>
        <v>7.2194841916906338E-2</v>
      </c>
      <c r="O43" s="13"/>
      <c r="P43" s="1">
        <f>SUM(OSRRefP22_4x_0)</f>
        <v>18883.59</v>
      </c>
      <c r="Q43" s="1"/>
      <c r="R43" s="5">
        <f t="shared" si="32"/>
        <v>3.6438020839936226E-2</v>
      </c>
      <c r="S43" s="1"/>
      <c r="T43" s="1">
        <f>SUM(OSRRefT22_4x_0)</f>
        <v>17976.689999999999</v>
      </c>
      <c r="U43" s="1"/>
      <c r="V43" s="5">
        <f t="shared" si="33"/>
        <v>3.4317351732195189E-2</v>
      </c>
      <c r="W43" s="1"/>
      <c r="X43" s="1">
        <f t="shared" si="34"/>
        <v>906.90000000000146</v>
      </c>
      <c r="Y43" s="1"/>
      <c r="Z43" s="5">
        <f t="shared" si="35"/>
        <v>5.0448664353671423E-2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8778.2199999999993</v>
      </c>
      <c r="E44" s="2"/>
      <c r="F44" s="7">
        <f t="shared" si="28"/>
        <v>3.9127622968221615E-2</v>
      </c>
      <c r="G44" s="2"/>
      <c r="H44" s="6">
        <v>8187.15</v>
      </c>
      <c r="I44" s="2"/>
      <c r="J44" s="7">
        <f t="shared" si="29"/>
        <v>3.6438942212065416E-2</v>
      </c>
      <c r="K44" s="2"/>
      <c r="L44" s="6">
        <f t="shared" si="30"/>
        <v>591.06999999999971</v>
      </c>
      <c r="M44" s="2"/>
      <c r="N44" s="7">
        <f t="shared" si="31"/>
        <v>7.2194841916906338E-2</v>
      </c>
      <c r="O44" s="11"/>
      <c r="P44" s="6">
        <v>18883.59</v>
      </c>
      <c r="Q44" s="2"/>
      <c r="R44" s="7">
        <f t="shared" si="32"/>
        <v>3.6438020839936226E-2</v>
      </c>
      <c r="S44" s="2"/>
      <c r="T44" s="6">
        <v>17976.689999999999</v>
      </c>
      <c r="U44" s="2"/>
      <c r="V44" s="7">
        <f t="shared" si="33"/>
        <v>3.4317351732195189E-2</v>
      </c>
      <c r="W44" s="2"/>
      <c r="X44" s="6">
        <f t="shared" si="34"/>
        <v>906.90000000000146</v>
      </c>
      <c r="Y44" s="2"/>
      <c r="Z44" s="7">
        <f t="shared" si="35"/>
        <v>5.0448664353671423E-2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8263.4700000000012</v>
      </c>
      <c r="E45" s="1"/>
      <c r="F45" s="5">
        <f t="shared" si="28"/>
        <v>3.6833200645371197E-2</v>
      </c>
      <c r="G45" s="1"/>
      <c r="H45" s="1">
        <f>SUM(OSRRefH22_5x_0)</f>
        <v>8410.08</v>
      </c>
      <c r="I45" s="1"/>
      <c r="J45" s="5">
        <f t="shared" si="29"/>
        <v>3.7431147483415729E-2</v>
      </c>
      <c r="K45" s="1"/>
      <c r="L45" s="1">
        <f t="shared" si="30"/>
        <v>-146.60999999999876</v>
      </c>
      <c r="M45" s="1"/>
      <c r="N45" s="5">
        <f t="shared" si="31"/>
        <v>-1.7432652245876229E-2</v>
      </c>
      <c r="O45" s="13"/>
      <c r="P45" s="1">
        <f>SUM(OSRRefP22_5x_0)</f>
        <v>33053.880000000005</v>
      </c>
      <c r="Q45" s="1"/>
      <c r="R45" s="5">
        <f t="shared" si="32"/>
        <v>6.3781196704691817E-2</v>
      </c>
      <c r="S45" s="1"/>
      <c r="T45" s="1">
        <f>SUM(OSRRefT22_5x_0)</f>
        <v>33640.32</v>
      </c>
      <c r="U45" s="1"/>
      <c r="V45" s="5">
        <f t="shared" si="33"/>
        <v>6.4219091157693683E-2</v>
      </c>
      <c r="W45" s="1"/>
      <c r="X45" s="1">
        <f t="shared" si="34"/>
        <v>-586.43999999999505</v>
      </c>
      <c r="Y45" s="1"/>
      <c r="Z45" s="5">
        <f t="shared" si="35"/>
        <v>-1.7432652245876229E-2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6537.05</v>
      </c>
      <c r="E46" s="2"/>
      <c r="F46" s="7">
        <f t="shared" si="28"/>
        <v>2.9137937728196964E-2</v>
      </c>
      <c r="G46" s="2"/>
      <c r="H46" s="6">
        <v>6537.05</v>
      </c>
      <c r="I46" s="2"/>
      <c r="J46" s="7">
        <f t="shared" si="29"/>
        <v>2.9094762791372117E-2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26148.2</v>
      </c>
      <c r="Q46" s="2"/>
      <c r="R46" s="7">
        <f t="shared" si="32"/>
        <v>5.0455906770207386E-2</v>
      </c>
      <c r="S46" s="2"/>
      <c r="T46" s="6">
        <v>26148.2</v>
      </c>
      <c r="U46" s="2"/>
      <c r="V46" s="7">
        <f t="shared" si="33"/>
        <v>4.9916696375349762E-2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1726.42</v>
      </c>
      <c r="E47" s="2"/>
      <c r="F47" s="7">
        <f t="shared" si="28"/>
        <v>7.6952629171742302E-3</v>
      </c>
      <c r="G47" s="2"/>
      <c r="H47" s="6">
        <v>1873.03</v>
      </c>
      <c r="I47" s="2"/>
      <c r="J47" s="7">
        <f t="shared" si="29"/>
        <v>8.3363846920436156E-3</v>
      </c>
      <c r="K47" s="2"/>
      <c r="L47" s="6">
        <f t="shared" si="30"/>
        <v>-146.6099999999999</v>
      </c>
      <c r="M47" s="2"/>
      <c r="N47" s="7">
        <f t="shared" si="31"/>
        <v>-7.827424013496842E-2</v>
      </c>
      <c r="O47" s="11"/>
      <c r="P47" s="6">
        <v>6905.68</v>
      </c>
      <c r="Q47" s="2"/>
      <c r="R47" s="7">
        <f t="shared" si="32"/>
        <v>1.332528993448443E-2</v>
      </c>
      <c r="S47" s="2"/>
      <c r="T47" s="6">
        <v>7492.12</v>
      </c>
      <c r="U47" s="2"/>
      <c r="V47" s="7">
        <f t="shared" si="33"/>
        <v>1.4302394782343927E-2</v>
      </c>
      <c r="W47" s="2"/>
      <c r="X47" s="6">
        <f t="shared" si="34"/>
        <v>-586.4399999999996</v>
      </c>
      <c r="Y47" s="2"/>
      <c r="Z47" s="7">
        <f t="shared" si="35"/>
        <v>-7.827424013496842E-2</v>
      </c>
    </row>
    <row r="48" spans="1:26" s="27" customFormat="1" outlineLevel="1" collapsed="1" x14ac:dyDescent="0.25">
      <c r="A48" s="25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ref="F48:F54" si="36">IF(D$12=0,0,D48/D$12)</f>
        <v>0</v>
      </c>
      <c r="G48" s="1"/>
      <c r="H48" s="1">
        <f>SUM(OSRRefH22_6x_0)</f>
        <v>0</v>
      </c>
      <c r="I48" s="1"/>
      <c r="J48" s="5">
        <f t="shared" ref="J48:J54" si="37">IF(H$12=0,0,H48/H$12)</f>
        <v>0</v>
      </c>
      <c r="K48" s="1"/>
      <c r="L48" s="1">
        <f t="shared" ref="L48:L54" si="38">+D48-H48</f>
        <v>0</v>
      </c>
      <c r="M48" s="1"/>
      <c r="N48" s="5">
        <f t="shared" ref="N48:N54" si="39">IF(H48=0,0,L48/H48)</f>
        <v>0</v>
      </c>
      <c r="O48" s="13"/>
      <c r="P48" s="1">
        <f>SUM(OSRRefP22_6x_0)</f>
        <v>8.25</v>
      </c>
      <c r="Q48" s="1"/>
      <c r="R48" s="5">
        <f t="shared" ref="R48:R54" si="40">IF(P$12=0,0,P48/P$12)</f>
        <v>1.5919307288999277E-5</v>
      </c>
      <c r="S48" s="1"/>
      <c r="T48" s="1">
        <f>SUM(OSRRefT22_6x_0)</f>
        <v>0</v>
      </c>
      <c r="U48" s="1"/>
      <c r="V48" s="5">
        <f t="shared" ref="V48:V54" si="41">IF(T$12=0,0,T48/T$12)</f>
        <v>0</v>
      </c>
      <c r="W48" s="1"/>
      <c r="X48" s="1">
        <f t="shared" ref="X48:X54" si="42">+P48-T48</f>
        <v>8.25</v>
      </c>
      <c r="Y48" s="1"/>
      <c r="Z48" s="5">
        <f t="shared" ref="Z48:Z54" si="43">IF(T48=0,0,X48/T48)</f>
        <v>0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6"/>
        <v>0</v>
      </c>
      <c r="G49" s="2"/>
      <c r="H49" s="6"/>
      <c r="I49" s="2"/>
      <c r="J49" s="7">
        <f t="shared" si="37"/>
        <v>0</v>
      </c>
      <c r="K49" s="2"/>
      <c r="L49" s="6">
        <f t="shared" si="38"/>
        <v>0</v>
      </c>
      <c r="M49" s="2"/>
      <c r="N49" s="7">
        <f t="shared" si="39"/>
        <v>0</v>
      </c>
      <c r="O49" s="11"/>
      <c r="P49" s="6">
        <v>8.25</v>
      </c>
      <c r="Q49" s="2"/>
      <c r="R49" s="7">
        <f t="shared" si="40"/>
        <v>1.5919307288999277E-5</v>
      </c>
      <c r="S49" s="2"/>
      <c r="T49" s="6"/>
      <c r="U49" s="2"/>
      <c r="V49" s="7">
        <f t="shared" si="41"/>
        <v>0</v>
      </c>
      <c r="W49" s="2"/>
      <c r="X49" s="6">
        <f t="shared" si="42"/>
        <v>8.25</v>
      </c>
      <c r="Y49" s="2"/>
      <c r="Z49" s="7">
        <f t="shared" si="43"/>
        <v>0</v>
      </c>
    </row>
    <row r="50" spans="1:26" s="27" customFormat="1" outlineLevel="1" collapsed="1" x14ac:dyDescent="0.25">
      <c r="A50" s="25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1042.31</v>
      </c>
      <c r="E50" s="1"/>
      <c r="F50" s="5">
        <f t="shared" si="36"/>
        <v>4.6459433342986474E-3</v>
      </c>
      <c r="G50" s="1"/>
      <c r="H50" s="1">
        <f>SUM(OSRRefH22_7x_0)</f>
        <v>0</v>
      </c>
      <c r="I50" s="1"/>
      <c r="J50" s="5">
        <f t="shared" si="37"/>
        <v>0</v>
      </c>
      <c r="K50" s="1"/>
      <c r="L50" s="1">
        <f t="shared" si="38"/>
        <v>1042.31</v>
      </c>
      <c r="M50" s="1"/>
      <c r="N50" s="5">
        <f t="shared" si="39"/>
        <v>0</v>
      </c>
      <c r="O50" s="13"/>
      <c r="P50" s="1">
        <f>SUM(OSRRefP22_7x_0)</f>
        <v>1961.24</v>
      </c>
      <c r="Q50" s="1"/>
      <c r="R50" s="5">
        <f t="shared" si="40"/>
        <v>3.7844342093911448E-3</v>
      </c>
      <c r="S50" s="1"/>
      <c r="T50" s="1">
        <f>SUM(OSRRefT22_7x_0)</f>
        <v>0</v>
      </c>
      <c r="U50" s="1"/>
      <c r="V50" s="5">
        <f t="shared" si="41"/>
        <v>0</v>
      </c>
      <c r="W50" s="1"/>
      <c r="X50" s="1">
        <f t="shared" si="42"/>
        <v>1961.24</v>
      </c>
      <c r="Y50" s="1"/>
      <c r="Z50" s="5">
        <f t="shared" si="43"/>
        <v>0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1042.31</v>
      </c>
      <c r="E51" s="2"/>
      <c r="F51" s="7">
        <f t="shared" si="36"/>
        <v>4.6459433342986474E-3</v>
      </c>
      <c r="G51" s="2"/>
      <c r="H51" s="6"/>
      <c r="I51" s="2"/>
      <c r="J51" s="7">
        <f t="shared" si="37"/>
        <v>0</v>
      </c>
      <c r="K51" s="2"/>
      <c r="L51" s="6">
        <f t="shared" si="38"/>
        <v>1042.31</v>
      </c>
      <c r="M51" s="2"/>
      <c r="N51" s="7">
        <f t="shared" si="39"/>
        <v>0</v>
      </c>
      <c r="O51" s="11"/>
      <c r="P51" s="6">
        <v>1961.24</v>
      </c>
      <c r="Q51" s="2"/>
      <c r="R51" s="7">
        <f t="shared" si="40"/>
        <v>3.7844342093911448E-3</v>
      </c>
      <c r="S51" s="2"/>
      <c r="T51" s="6"/>
      <c r="U51" s="2"/>
      <c r="V51" s="7">
        <f t="shared" si="41"/>
        <v>0</v>
      </c>
      <c r="W51" s="2"/>
      <c r="X51" s="6">
        <f t="shared" si="42"/>
        <v>1961.24</v>
      </c>
      <c r="Y51" s="2"/>
      <c r="Z51" s="7">
        <f t="shared" si="43"/>
        <v>0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1870.5</v>
      </c>
      <c r="E52" s="1"/>
      <c r="F52" s="5">
        <f t="shared" si="36"/>
        <v>8.3374782999353567E-3</v>
      </c>
      <c r="G52" s="1"/>
      <c r="H52" s="1">
        <f>SUM(OSRRefH22_8x_0)</f>
        <v>1048.6400000000001</v>
      </c>
      <c r="I52" s="1"/>
      <c r="J52" s="5">
        <f t="shared" si="37"/>
        <v>4.6672324754353199E-3</v>
      </c>
      <c r="K52" s="1"/>
      <c r="L52" s="1">
        <f t="shared" si="38"/>
        <v>821.8599999999999</v>
      </c>
      <c r="M52" s="1"/>
      <c r="N52" s="5">
        <f t="shared" si="39"/>
        <v>0.78373893805309713</v>
      </c>
      <c r="O52" s="13"/>
      <c r="P52" s="1">
        <f>SUM(OSRRefP22_8x_0)</f>
        <v>6760.05</v>
      </c>
      <c r="Q52" s="1"/>
      <c r="R52" s="5">
        <f t="shared" si="40"/>
        <v>1.3044280392606009E-2</v>
      </c>
      <c r="S52" s="1"/>
      <c r="T52" s="1">
        <f>SUM(OSRRefT22_8x_0)</f>
        <v>5443.57</v>
      </c>
      <c r="U52" s="1"/>
      <c r="V52" s="5">
        <f t="shared" si="41"/>
        <v>1.0391729866222634E-2</v>
      </c>
      <c r="W52" s="1"/>
      <c r="X52" s="1">
        <f t="shared" si="42"/>
        <v>1316.4800000000005</v>
      </c>
      <c r="Y52" s="1"/>
      <c r="Z52" s="5">
        <f t="shared" si="43"/>
        <v>0.24184129165235324</v>
      </c>
    </row>
    <row r="53" spans="1:26" s="24" customFormat="1" hidden="1" outlineLevel="2" x14ac:dyDescent="0.25">
      <c r="A53" s="26"/>
      <c r="B53" s="11" t="str">
        <f>CONCATENATE("          ", "6269", " - ", "ENTERTAINMENT")</f>
        <v xml:space="preserve">          6269 - ENTERTAINMENT</v>
      </c>
      <c r="C53" s="11"/>
      <c r="D53" s="6">
        <v>1850</v>
      </c>
      <c r="E53" s="2"/>
      <c r="F53" s="7">
        <f t="shared" si="36"/>
        <v>8.2461025687679268E-3</v>
      </c>
      <c r="G53" s="2"/>
      <c r="H53" s="6">
        <v>960</v>
      </c>
      <c r="I53" s="2"/>
      <c r="J53" s="7">
        <f t="shared" si="37"/>
        <v>4.27271816487823E-3</v>
      </c>
      <c r="K53" s="2"/>
      <c r="L53" s="6">
        <f t="shared" si="38"/>
        <v>890</v>
      </c>
      <c r="M53" s="2"/>
      <c r="N53" s="7">
        <f t="shared" si="39"/>
        <v>0.92708333333333337</v>
      </c>
      <c r="O53" s="11"/>
      <c r="P53" s="6">
        <v>5500</v>
      </c>
      <c r="Q53" s="2"/>
      <c r="R53" s="7">
        <f t="shared" si="40"/>
        <v>1.0612871525999519E-2</v>
      </c>
      <c r="S53" s="2"/>
      <c r="T53" s="6">
        <v>4060</v>
      </c>
      <c r="U53" s="2"/>
      <c r="V53" s="7">
        <f t="shared" si="41"/>
        <v>7.7505062407324417E-3</v>
      </c>
      <c r="W53" s="2"/>
      <c r="X53" s="6">
        <f t="shared" si="42"/>
        <v>1440</v>
      </c>
      <c r="Y53" s="2"/>
      <c r="Z53" s="7">
        <f t="shared" si="43"/>
        <v>0.35467980295566504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>
        <v>20.5</v>
      </c>
      <c r="E54" s="2"/>
      <c r="F54" s="7">
        <f t="shared" si="36"/>
        <v>9.1375731167428386E-5</v>
      </c>
      <c r="G54" s="2"/>
      <c r="H54" s="6">
        <v>88.64</v>
      </c>
      <c r="I54" s="2"/>
      <c r="J54" s="7">
        <f t="shared" si="37"/>
        <v>3.9451431055708986E-4</v>
      </c>
      <c r="K54" s="2"/>
      <c r="L54" s="6">
        <f t="shared" si="38"/>
        <v>-68.14</v>
      </c>
      <c r="M54" s="2"/>
      <c r="N54" s="7">
        <f t="shared" si="39"/>
        <v>-0.76872743682310474</v>
      </c>
      <c r="O54" s="11"/>
      <c r="P54" s="6">
        <v>1260.05</v>
      </c>
      <c r="Q54" s="2"/>
      <c r="R54" s="7">
        <f t="shared" si="40"/>
        <v>2.4314088666064896E-3</v>
      </c>
      <c r="S54" s="2"/>
      <c r="T54" s="6">
        <v>1383.57</v>
      </c>
      <c r="U54" s="2"/>
      <c r="V54" s="7">
        <f t="shared" si="41"/>
        <v>2.6412236254901933E-3</v>
      </c>
      <c r="W54" s="2"/>
      <c r="X54" s="6">
        <f t="shared" si="42"/>
        <v>-123.51999999999998</v>
      </c>
      <c r="Y54" s="2"/>
      <c r="Z54" s="7">
        <f t="shared" si="43"/>
        <v>-8.927629248971862E-2</v>
      </c>
    </row>
    <row r="55" spans="1:26" s="27" customFormat="1" outlineLevel="1" collapsed="1" x14ac:dyDescent="0.25">
      <c r="A55" s="25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SUM(OSRRefD22_9x_0)</f>
        <v>3825.22</v>
      </c>
      <c r="E55" s="1"/>
      <c r="F55" s="5">
        <f t="shared" ref="F55:F58" si="44">IF(D$12=0,0,D55/D$12)</f>
        <v>1.7050354847622948E-2</v>
      </c>
      <c r="G55" s="1"/>
      <c r="H55" s="1">
        <f>SUM(OSRRefH22_9x_0)</f>
        <v>733.11</v>
      </c>
      <c r="I55" s="1"/>
      <c r="J55" s="5">
        <f t="shared" ref="J55:J58" si="45">IF(H$12=0,0,H55/H$12)</f>
        <v>3.2628879310977908E-3</v>
      </c>
      <c r="K55" s="1"/>
      <c r="L55" s="1">
        <f t="shared" ref="L55:L58" si="46">+D55-H55</f>
        <v>3092.1099999999997</v>
      </c>
      <c r="M55" s="1"/>
      <c r="N55" s="5">
        <f t="shared" ref="N55:N58" si="47">IF(H55=0,0,L55/H55)</f>
        <v>4.2177981476176827</v>
      </c>
      <c r="O55" s="13"/>
      <c r="P55" s="1">
        <f>SUM(OSRRefP22_9x_0)</f>
        <v>11849.689999999999</v>
      </c>
      <c r="Q55" s="1"/>
      <c r="R55" s="5">
        <f t="shared" ref="R55:R58" si="48">IF(P$12=0,0,P55/P$12)</f>
        <v>2.2865315925985678E-2</v>
      </c>
      <c r="S55" s="1"/>
      <c r="T55" s="1">
        <f>SUM(OSRRefT22_9x_0)</f>
        <v>4006.1899999999996</v>
      </c>
      <c r="U55" s="1"/>
      <c r="V55" s="5">
        <f t="shared" ref="V55:V58" si="49">IF(T$12=0,0,T55/T$12)</f>
        <v>7.6477833981674626E-3</v>
      </c>
      <c r="W55" s="1"/>
      <c r="X55" s="1">
        <f t="shared" ref="X55:X58" si="50">+P55-T55</f>
        <v>7843.4999999999991</v>
      </c>
      <c r="Y55" s="1"/>
      <c r="Z55" s="5">
        <f t="shared" ref="Z55:Z58" si="51">IF(T55=0,0,X55/T55)</f>
        <v>1.9578452344996118</v>
      </c>
    </row>
    <row r="56" spans="1:26" s="24" customFormat="1" hidden="1" outlineLevel="2" x14ac:dyDescent="0.25">
      <c r="A56" s="26"/>
      <c r="B56" s="11" t="str">
        <f>CONCATENATE("          ", "6371", " - ", "COMPUTER SOFTWARE MAINTENANCE")</f>
        <v xml:space="preserve">          6371 - COMPUTER SOFTWARE MAINTENANCE</v>
      </c>
      <c r="C56" s="11"/>
      <c r="D56" s="6"/>
      <c r="E56" s="2"/>
      <c r="F56" s="7">
        <f t="shared" si="44"/>
        <v>0</v>
      </c>
      <c r="G56" s="2"/>
      <c r="H56" s="6"/>
      <c r="I56" s="2"/>
      <c r="J56" s="7">
        <f t="shared" si="45"/>
        <v>0</v>
      </c>
      <c r="K56" s="2"/>
      <c r="L56" s="6">
        <f t="shared" si="46"/>
        <v>0</v>
      </c>
      <c r="M56" s="2"/>
      <c r="N56" s="7">
        <f t="shared" si="47"/>
        <v>0</v>
      </c>
      <c r="O56" s="11"/>
      <c r="P56" s="6">
        <v>2623.85</v>
      </c>
      <c r="Q56" s="2"/>
      <c r="R56" s="7">
        <f t="shared" si="48"/>
        <v>5.0630150824534249E-3</v>
      </c>
      <c r="S56" s="2"/>
      <c r="T56" s="6"/>
      <c r="U56" s="2"/>
      <c r="V56" s="7">
        <f t="shared" si="49"/>
        <v>0</v>
      </c>
      <c r="W56" s="2"/>
      <c r="X56" s="6">
        <f t="shared" si="50"/>
        <v>2623.85</v>
      </c>
      <c r="Y56" s="2"/>
      <c r="Z56" s="7">
        <f t="shared" si="51"/>
        <v>0</v>
      </c>
    </row>
    <row r="57" spans="1:26" s="24" customFormat="1" hidden="1" outlineLevel="2" x14ac:dyDescent="0.25">
      <c r="A57" s="26"/>
      <c r="B57" s="11" t="str">
        <f>CONCATENATE("          ", "6373", " - ", "MAINTENANCE CONTRACTS")</f>
        <v xml:space="preserve">          6373 - MAINTENANCE CONTRACTS</v>
      </c>
      <c r="C57" s="11"/>
      <c r="D57" s="6">
        <v>189.04</v>
      </c>
      <c r="E57" s="2"/>
      <c r="F57" s="7">
        <f t="shared" si="44"/>
        <v>8.4261796194588594E-4</v>
      </c>
      <c r="G57" s="2"/>
      <c r="H57" s="6"/>
      <c r="I57" s="2"/>
      <c r="J57" s="7">
        <f t="shared" si="45"/>
        <v>0</v>
      </c>
      <c r="K57" s="2"/>
      <c r="L57" s="6">
        <f t="shared" si="46"/>
        <v>189.04</v>
      </c>
      <c r="M57" s="2"/>
      <c r="N57" s="7">
        <f t="shared" si="47"/>
        <v>0</v>
      </c>
      <c r="O57" s="11"/>
      <c r="P57" s="6">
        <v>189.04</v>
      </c>
      <c r="Q57" s="2"/>
      <c r="R57" s="7">
        <f t="shared" si="48"/>
        <v>3.6477404241362708E-4</v>
      </c>
      <c r="S57" s="2"/>
      <c r="T57" s="6">
        <v>188.2</v>
      </c>
      <c r="U57" s="2"/>
      <c r="V57" s="7">
        <f t="shared" si="49"/>
        <v>3.5927223509996196E-4</v>
      </c>
      <c r="W57" s="2"/>
      <c r="X57" s="6">
        <f t="shared" si="50"/>
        <v>0.84000000000000341</v>
      </c>
      <c r="Y57" s="2"/>
      <c r="Z57" s="7">
        <f t="shared" si="51"/>
        <v>4.4633368756642052E-3</v>
      </c>
    </row>
    <row r="58" spans="1:26" s="24" customFormat="1" hidden="1" outlineLevel="2" x14ac:dyDescent="0.25">
      <c r="A58" s="26"/>
      <c r="B58" s="11" t="str">
        <f>CONCATENATE("          ", "6375", " - ", "OUTSIDE REPAIRS &amp; MAINTENANCE")</f>
        <v xml:space="preserve">          6375 - OUTSIDE REPAIRS &amp; MAINTENANCE</v>
      </c>
      <c r="C58" s="11"/>
      <c r="D58" s="6">
        <v>3636.18</v>
      </c>
      <c r="E58" s="2"/>
      <c r="F58" s="7">
        <f t="shared" si="44"/>
        <v>1.620773688567706E-2</v>
      </c>
      <c r="G58" s="2"/>
      <c r="H58" s="6">
        <v>733.11</v>
      </c>
      <c r="I58" s="2"/>
      <c r="J58" s="7">
        <f t="shared" si="45"/>
        <v>3.2628879310977908E-3</v>
      </c>
      <c r="K58" s="2"/>
      <c r="L58" s="6">
        <f t="shared" si="46"/>
        <v>2903.0699999999997</v>
      </c>
      <c r="M58" s="2"/>
      <c r="N58" s="7">
        <f t="shared" si="47"/>
        <v>3.9599377992388587</v>
      </c>
      <c r="O58" s="11"/>
      <c r="P58" s="6">
        <v>9036.7999999999993</v>
      </c>
      <c r="Q58" s="2"/>
      <c r="R58" s="7">
        <f t="shared" si="48"/>
        <v>1.7437526801118625E-2</v>
      </c>
      <c r="S58" s="2"/>
      <c r="T58" s="6">
        <v>3817.99</v>
      </c>
      <c r="U58" s="2"/>
      <c r="V58" s="7">
        <f t="shared" si="49"/>
        <v>7.2885111630675015E-3</v>
      </c>
      <c r="W58" s="2"/>
      <c r="X58" s="6">
        <f t="shared" si="50"/>
        <v>5218.8099999999995</v>
      </c>
      <c r="Y58" s="2"/>
      <c r="Z58" s="7">
        <f t="shared" si="51"/>
        <v>1.3668998609215843</v>
      </c>
    </row>
    <row r="59" spans="1:26" s="27" customFormat="1" outlineLevel="1" collapsed="1" x14ac:dyDescent="0.25">
      <c r="A59" s="25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SUM(OSRRefD22_10x_0)</f>
        <v>443.25</v>
      </c>
      <c r="E59" s="1"/>
      <c r="F59" s="5">
        <f t="shared" ref="F59:F62" si="52">IF(D$12=0,0,D59/D$12)</f>
        <v>1.9757216019493967E-3</v>
      </c>
      <c r="G59" s="1"/>
      <c r="H59" s="1">
        <f>SUM(OSRRefH22_10x_0)</f>
        <v>305.14999999999998</v>
      </c>
      <c r="I59" s="1"/>
      <c r="J59" s="5">
        <f t="shared" ref="J59:J62" si="53">IF(H$12=0,0,H59/H$12)</f>
        <v>1.358145779179783E-3</v>
      </c>
      <c r="K59" s="1"/>
      <c r="L59" s="1">
        <f t="shared" ref="L59:L62" si="54">+D59-H59</f>
        <v>138.10000000000002</v>
      </c>
      <c r="M59" s="1"/>
      <c r="N59" s="5">
        <f t="shared" ref="N59:N62" si="55">IF(H59=0,0,L59/H59)</f>
        <v>0.45256431263313135</v>
      </c>
      <c r="O59" s="13"/>
      <c r="P59" s="1">
        <f>SUM(OSRRefP22_10x_0)</f>
        <v>1306</v>
      </c>
      <c r="Q59" s="1"/>
      <c r="R59" s="5">
        <f t="shared" ref="R59:R62" si="56">IF(P$12=0,0,P59/P$12)</f>
        <v>2.520074584173704E-3</v>
      </c>
      <c r="S59" s="1"/>
      <c r="T59" s="1">
        <f>SUM(OSRRefT22_10x_0)</f>
        <v>1063.42</v>
      </c>
      <c r="U59" s="1"/>
      <c r="V59" s="5">
        <f t="shared" ref="V59:V62" si="57">IF(T$12=0,0,T59/T$12)</f>
        <v>2.0300599375664271E-3</v>
      </c>
      <c r="W59" s="1"/>
      <c r="X59" s="1">
        <f t="shared" ref="X59:X62" si="58">+P59-T59</f>
        <v>242.57999999999993</v>
      </c>
      <c r="Y59" s="1"/>
      <c r="Z59" s="5">
        <f t="shared" ref="Z59:Z62" si="59">IF(T59=0,0,X59/T59)</f>
        <v>0.22811306915423812</v>
      </c>
    </row>
    <row r="60" spans="1:26" s="24" customFormat="1" hidden="1" outlineLevel="2" x14ac:dyDescent="0.25">
      <c r="A60" s="26"/>
      <c r="B60" s="11" t="str">
        <f>CONCATENATE("          ", "6283", " - ", "PLANT SERVICE")</f>
        <v xml:space="preserve">          6283 - PLANT SERVICE</v>
      </c>
      <c r="C60" s="11"/>
      <c r="D60" s="6"/>
      <c r="E60" s="2"/>
      <c r="F60" s="7">
        <f t="shared" si="52"/>
        <v>0</v>
      </c>
      <c r="G60" s="2"/>
      <c r="H60" s="6">
        <v>30</v>
      </c>
      <c r="I60" s="2"/>
      <c r="J60" s="7">
        <f t="shared" si="53"/>
        <v>1.3352244265244469E-4</v>
      </c>
      <c r="K60" s="2"/>
      <c r="L60" s="6">
        <f t="shared" si="54"/>
        <v>-30</v>
      </c>
      <c r="M60" s="2"/>
      <c r="N60" s="7">
        <f t="shared" si="55"/>
        <v>-1</v>
      </c>
      <c r="O60" s="11"/>
      <c r="P60" s="6">
        <v>119.25</v>
      </c>
      <c r="Q60" s="2"/>
      <c r="R60" s="7">
        <f t="shared" si="56"/>
        <v>2.3010635081371683E-4</v>
      </c>
      <c r="S60" s="2"/>
      <c r="T60" s="6">
        <v>120</v>
      </c>
      <c r="U60" s="2"/>
      <c r="V60" s="7">
        <f t="shared" si="57"/>
        <v>2.2907900218913622E-4</v>
      </c>
      <c r="W60" s="2"/>
      <c r="X60" s="6">
        <f t="shared" si="58"/>
        <v>-0.75</v>
      </c>
      <c r="Y60" s="2"/>
      <c r="Z60" s="7">
        <f t="shared" si="59"/>
        <v>-6.2500000000000003E-3</v>
      </c>
    </row>
    <row r="61" spans="1:26" s="24" customFormat="1" hidden="1" outlineLevel="2" x14ac:dyDescent="0.25">
      <c r="A61" s="26"/>
      <c r="B61" s="11" t="str">
        <f>CONCATENATE("          ", "6285", " - ", "JANITORIAL SERVICES")</f>
        <v xml:space="preserve">          6285 - JANITORIAL SERVICES</v>
      </c>
      <c r="C61" s="11"/>
      <c r="D61" s="6"/>
      <c r="E61" s="2"/>
      <c r="F61" s="7">
        <f t="shared" si="52"/>
        <v>0</v>
      </c>
      <c r="G61" s="2"/>
      <c r="H61" s="6"/>
      <c r="I61" s="2"/>
      <c r="J61" s="7">
        <f t="shared" si="53"/>
        <v>0</v>
      </c>
      <c r="K61" s="2"/>
      <c r="L61" s="6">
        <f t="shared" si="54"/>
        <v>0</v>
      </c>
      <c r="M61" s="2"/>
      <c r="N61" s="7">
        <f t="shared" si="55"/>
        <v>0</v>
      </c>
      <c r="O61" s="11"/>
      <c r="P61" s="6">
        <v>350</v>
      </c>
      <c r="Q61" s="2"/>
      <c r="R61" s="7">
        <f t="shared" si="56"/>
        <v>6.7536455165451484E-4</v>
      </c>
      <c r="S61" s="2"/>
      <c r="T61" s="6"/>
      <c r="U61" s="2"/>
      <c r="V61" s="7">
        <f t="shared" si="57"/>
        <v>0</v>
      </c>
      <c r="W61" s="2"/>
      <c r="X61" s="6">
        <f t="shared" si="58"/>
        <v>350</v>
      </c>
      <c r="Y61" s="2"/>
      <c r="Z61" s="7">
        <f t="shared" si="59"/>
        <v>0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>
        <v>443.25</v>
      </c>
      <c r="E62" s="2"/>
      <c r="F62" s="7">
        <f t="shared" si="52"/>
        <v>1.9757216019493967E-3</v>
      </c>
      <c r="G62" s="2"/>
      <c r="H62" s="6">
        <v>275.14999999999998</v>
      </c>
      <c r="I62" s="2"/>
      <c r="J62" s="7">
        <f t="shared" si="53"/>
        <v>1.2246233365273383E-3</v>
      </c>
      <c r="K62" s="2"/>
      <c r="L62" s="6">
        <f t="shared" si="54"/>
        <v>168.10000000000002</v>
      </c>
      <c r="M62" s="2"/>
      <c r="N62" s="7">
        <f t="shared" si="55"/>
        <v>0.61093948755224436</v>
      </c>
      <c r="O62" s="11"/>
      <c r="P62" s="6">
        <v>836.75</v>
      </c>
      <c r="Q62" s="2"/>
      <c r="R62" s="7">
        <f t="shared" si="56"/>
        <v>1.6146036817054723E-3</v>
      </c>
      <c r="S62" s="2"/>
      <c r="T62" s="6">
        <v>943.42</v>
      </c>
      <c r="U62" s="2"/>
      <c r="V62" s="7">
        <f t="shared" si="57"/>
        <v>1.8009809353772906E-3</v>
      </c>
      <c r="W62" s="2"/>
      <c r="X62" s="6">
        <f t="shared" si="58"/>
        <v>-106.66999999999996</v>
      </c>
      <c r="Y62" s="2"/>
      <c r="Z62" s="7">
        <f t="shared" si="59"/>
        <v>-0.11306735070276225</v>
      </c>
    </row>
    <row r="63" spans="1:26" s="27" customFormat="1" outlineLevel="1" collapsed="1" x14ac:dyDescent="0.25">
      <c r="A63" s="25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SUM(OSRRefD22_11x_0)</f>
        <v>196.71</v>
      </c>
      <c r="E63" s="1"/>
      <c r="F63" s="5">
        <f t="shared" ref="F63:F72" si="60">IF(D$12=0,0,D63/D$12)</f>
        <v>8.7680585746072388E-4</v>
      </c>
      <c r="G63" s="1"/>
      <c r="H63" s="1">
        <f>SUM(OSRRefH22_11x_0)</f>
        <v>193.71</v>
      </c>
      <c r="I63" s="1"/>
      <c r="J63" s="5">
        <f t="shared" ref="J63:J72" si="61">IF(H$12=0,0,H63/H$12)</f>
        <v>8.6215441220683536E-4</v>
      </c>
      <c r="K63" s="1"/>
      <c r="L63" s="1">
        <f t="shared" ref="L63:L72" si="62">+D63-H63</f>
        <v>3</v>
      </c>
      <c r="M63" s="1"/>
      <c r="N63" s="5">
        <f t="shared" ref="N63:N72" si="63">IF(H63=0,0,L63/H63)</f>
        <v>1.5487068297971194E-2</v>
      </c>
      <c r="O63" s="13"/>
      <c r="P63" s="1">
        <f>SUM(OSRRefP22_11x_0)</f>
        <v>786.84</v>
      </c>
      <c r="Q63" s="1"/>
      <c r="R63" s="5">
        <f t="shared" ref="R63:R72" si="64">IF(P$12=0,0,P63/P$12)</f>
        <v>1.5182966966395385E-3</v>
      </c>
      <c r="S63" s="1"/>
      <c r="T63" s="1">
        <f>SUM(OSRRefT22_11x_0)</f>
        <v>355.38</v>
      </c>
      <c r="U63" s="1"/>
      <c r="V63" s="5">
        <f t="shared" ref="V63:V72" si="65">IF(T$12=0,0,T63/T$12)</f>
        <v>6.7841746498312693E-4</v>
      </c>
      <c r="W63" s="1"/>
      <c r="X63" s="1">
        <f t="shared" ref="X63:X72" si="66">+P63-T63</f>
        <v>431.46000000000004</v>
      </c>
      <c r="Y63" s="1"/>
      <c r="Z63" s="5">
        <f t="shared" ref="Z63:Z72" si="67">IF(T63=0,0,X63/T63)</f>
        <v>1.2140807023467839</v>
      </c>
    </row>
    <row r="64" spans="1:26" s="24" customFormat="1" hidden="1" outlineLevel="2" x14ac:dyDescent="0.25">
      <c r="A64" s="26"/>
      <c r="B64" s="11" t="str">
        <f>CONCATENATE("          ", "6275", " - ", "SUBSCRIPTIONS")</f>
        <v xml:space="preserve">          6275 - SUBSCRIPTIONS</v>
      </c>
      <c r="C64" s="11"/>
      <c r="D64" s="6">
        <v>196.71</v>
      </c>
      <c r="E64" s="2"/>
      <c r="F64" s="7">
        <f t="shared" si="60"/>
        <v>8.7680585746072388E-4</v>
      </c>
      <c r="G64" s="2"/>
      <c r="H64" s="6">
        <v>193.71</v>
      </c>
      <c r="I64" s="2"/>
      <c r="J64" s="7">
        <f t="shared" si="61"/>
        <v>8.6215441220683536E-4</v>
      </c>
      <c r="K64" s="2"/>
      <c r="L64" s="6">
        <f t="shared" si="62"/>
        <v>3</v>
      </c>
      <c r="M64" s="2"/>
      <c r="N64" s="7">
        <f t="shared" si="63"/>
        <v>1.5487068297971194E-2</v>
      </c>
      <c r="O64" s="11"/>
      <c r="P64" s="6">
        <v>786.84</v>
      </c>
      <c r="Q64" s="2"/>
      <c r="R64" s="7">
        <f t="shared" si="64"/>
        <v>1.5182966966395385E-3</v>
      </c>
      <c r="S64" s="2"/>
      <c r="T64" s="6">
        <v>355.38</v>
      </c>
      <c r="U64" s="2"/>
      <c r="V64" s="7">
        <f t="shared" si="65"/>
        <v>6.7841746498312693E-4</v>
      </c>
      <c r="W64" s="2"/>
      <c r="X64" s="6">
        <f t="shared" si="66"/>
        <v>431.46000000000004</v>
      </c>
      <c r="Y64" s="2"/>
      <c r="Z64" s="7">
        <f t="shared" si="67"/>
        <v>1.2140807023467839</v>
      </c>
    </row>
    <row r="65" spans="1:26" s="27" customFormat="1" outlineLevel="1" collapsed="1" x14ac:dyDescent="0.25">
      <c r="A65" s="25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SUM(OSRRefD22_12x_0)</f>
        <v>350.4</v>
      </c>
      <c r="E65" s="1"/>
      <c r="F65" s="5">
        <f t="shared" si="60"/>
        <v>1.5618564000520441E-3</v>
      </c>
      <c r="G65" s="1"/>
      <c r="H65" s="1">
        <f>SUM(OSRRefH22_12x_0)</f>
        <v>1278.8600000000001</v>
      </c>
      <c r="I65" s="1"/>
      <c r="J65" s="5">
        <f t="shared" si="61"/>
        <v>5.6918837003501806E-3</v>
      </c>
      <c r="K65" s="1"/>
      <c r="L65" s="1">
        <f t="shared" si="62"/>
        <v>-928.46000000000015</v>
      </c>
      <c r="M65" s="1"/>
      <c r="N65" s="5">
        <f t="shared" si="63"/>
        <v>-0.7260059740706567</v>
      </c>
      <c r="O65" s="13"/>
      <c r="P65" s="1">
        <f>SUM(OSRRefP22_12x_0)</f>
        <v>5022.26</v>
      </c>
      <c r="Q65" s="1"/>
      <c r="R65" s="5">
        <f t="shared" si="64"/>
        <v>9.6910182091211536E-3</v>
      </c>
      <c r="S65" s="1"/>
      <c r="T65" s="1">
        <f>SUM(OSRRefT22_12x_0)</f>
        <v>8521.34</v>
      </c>
      <c r="U65" s="1"/>
      <c r="V65" s="5">
        <f t="shared" si="65"/>
        <v>1.6267167204286451E-2</v>
      </c>
      <c r="W65" s="1"/>
      <c r="X65" s="1">
        <f t="shared" si="66"/>
        <v>-3499.08</v>
      </c>
      <c r="Y65" s="1"/>
      <c r="Z65" s="5">
        <f t="shared" si="67"/>
        <v>-0.41062555889097252</v>
      </c>
    </row>
    <row r="66" spans="1:26" s="24" customFormat="1" hidden="1" outlineLevel="2" x14ac:dyDescent="0.25">
      <c r="A66" s="26"/>
      <c r="B66" s="11" t="str">
        <f>CONCATENATE("          ", "6237", " - ", "JANITORIAL SUPPLIES")</f>
        <v xml:space="preserve">          6237 - JANITORIAL SUPPLIES</v>
      </c>
      <c r="C66" s="11"/>
      <c r="D66" s="6"/>
      <c r="E66" s="2"/>
      <c r="F66" s="7">
        <f t="shared" si="60"/>
        <v>0</v>
      </c>
      <c r="G66" s="2"/>
      <c r="H66" s="6"/>
      <c r="I66" s="2"/>
      <c r="J66" s="7">
        <f t="shared" si="61"/>
        <v>0</v>
      </c>
      <c r="K66" s="2"/>
      <c r="L66" s="6">
        <f t="shared" si="62"/>
        <v>0</v>
      </c>
      <c r="M66" s="2"/>
      <c r="N66" s="7">
        <f t="shared" si="63"/>
        <v>0</v>
      </c>
      <c r="O66" s="11"/>
      <c r="P66" s="6"/>
      <c r="Q66" s="2"/>
      <c r="R66" s="7">
        <f t="shared" si="64"/>
        <v>0</v>
      </c>
      <c r="S66" s="2"/>
      <c r="T66" s="6">
        <v>2546.81</v>
      </c>
      <c r="U66" s="2"/>
      <c r="V66" s="7">
        <f t="shared" si="65"/>
        <v>4.8618391130442829E-3</v>
      </c>
      <c r="W66" s="2"/>
      <c r="X66" s="6">
        <f t="shared" si="66"/>
        <v>-2546.81</v>
      </c>
      <c r="Y66" s="2"/>
      <c r="Z66" s="7">
        <f t="shared" si="67"/>
        <v>-1</v>
      </c>
    </row>
    <row r="67" spans="1:26" s="24" customFormat="1" hidden="1" outlineLevel="2" x14ac:dyDescent="0.25">
      <c r="A67" s="26"/>
      <c r="B67" s="11" t="str">
        <f>CONCATENATE("          ", "6239", " - ", "KITCHEN SUPPLIES")</f>
        <v xml:space="preserve">          6239 - KITCHEN SUPPLIES</v>
      </c>
      <c r="C67" s="11"/>
      <c r="D67" s="6"/>
      <c r="E67" s="2"/>
      <c r="F67" s="7">
        <f t="shared" si="60"/>
        <v>0</v>
      </c>
      <c r="G67" s="2"/>
      <c r="H67" s="6">
        <v>114.56</v>
      </c>
      <c r="I67" s="2"/>
      <c r="J67" s="7">
        <f t="shared" si="61"/>
        <v>5.0987770100880206E-4</v>
      </c>
      <c r="K67" s="2"/>
      <c r="L67" s="6">
        <f t="shared" si="62"/>
        <v>-114.56</v>
      </c>
      <c r="M67" s="2"/>
      <c r="N67" s="7">
        <f t="shared" si="63"/>
        <v>-1</v>
      </c>
      <c r="O67" s="11"/>
      <c r="P67" s="6">
        <v>363.54</v>
      </c>
      <c r="Q67" s="2"/>
      <c r="R67" s="7">
        <f t="shared" si="64"/>
        <v>7.0149151173852097E-4</v>
      </c>
      <c r="S67" s="2"/>
      <c r="T67" s="6">
        <v>205.46</v>
      </c>
      <c r="U67" s="2"/>
      <c r="V67" s="7">
        <f t="shared" si="65"/>
        <v>3.9222143158149938E-4</v>
      </c>
      <c r="W67" s="2"/>
      <c r="X67" s="6">
        <f t="shared" si="66"/>
        <v>158.08000000000001</v>
      </c>
      <c r="Y67" s="2"/>
      <c r="Z67" s="7">
        <f t="shared" si="67"/>
        <v>0.76939550277426261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/>
      <c r="E68" s="2"/>
      <c r="F68" s="7">
        <f t="shared" si="60"/>
        <v>0</v>
      </c>
      <c r="G68" s="2"/>
      <c r="H68" s="6">
        <v>46.82</v>
      </c>
      <c r="I68" s="2"/>
      <c r="J68" s="7">
        <f t="shared" si="61"/>
        <v>2.0838402549958198E-4</v>
      </c>
      <c r="K68" s="2"/>
      <c r="L68" s="6">
        <f t="shared" si="62"/>
        <v>-46.82</v>
      </c>
      <c r="M68" s="2"/>
      <c r="N68" s="7">
        <f t="shared" si="63"/>
        <v>-1</v>
      </c>
      <c r="O68" s="11"/>
      <c r="P68" s="6">
        <v>1468.9</v>
      </c>
      <c r="Q68" s="2"/>
      <c r="R68" s="7">
        <f t="shared" si="64"/>
        <v>2.8344085426437625E-3</v>
      </c>
      <c r="S68" s="2"/>
      <c r="T68" s="6">
        <v>743.39</v>
      </c>
      <c r="U68" s="2"/>
      <c r="V68" s="7">
        <f t="shared" si="65"/>
        <v>1.4191253286448496E-3</v>
      </c>
      <c r="W68" s="2"/>
      <c r="X68" s="6">
        <f t="shared" si="66"/>
        <v>725.5100000000001</v>
      </c>
      <c r="Y68" s="2"/>
      <c r="Z68" s="7">
        <f t="shared" si="67"/>
        <v>0.975948021899676</v>
      </c>
    </row>
    <row r="69" spans="1:26" s="24" customFormat="1" hidden="1" outlineLevel="2" x14ac:dyDescent="0.25">
      <c r="A69" s="26"/>
      <c r="B69" s="11" t="str">
        <f>CONCATENATE("          ", "6243", " - ", "PAPER SUPPLIES")</f>
        <v xml:space="preserve">          6243 - PAPER SUPPLIES</v>
      </c>
      <c r="C69" s="11"/>
      <c r="D69" s="6">
        <v>350.4</v>
      </c>
      <c r="E69" s="2"/>
      <c r="F69" s="7">
        <f t="shared" si="60"/>
        <v>1.5618564000520441E-3</v>
      </c>
      <c r="G69" s="2"/>
      <c r="H69" s="6">
        <v>1117.48</v>
      </c>
      <c r="I69" s="2"/>
      <c r="J69" s="7">
        <f t="shared" si="61"/>
        <v>4.9736219738417964E-3</v>
      </c>
      <c r="K69" s="2"/>
      <c r="L69" s="6">
        <f t="shared" si="62"/>
        <v>-767.08</v>
      </c>
      <c r="M69" s="2"/>
      <c r="N69" s="7">
        <f t="shared" si="63"/>
        <v>-0.68643734116046817</v>
      </c>
      <c r="O69" s="11"/>
      <c r="P69" s="6">
        <v>1874.33</v>
      </c>
      <c r="Q69" s="2"/>
      <c r="R69" s="7">
        <f t="shared" si="64"/>
        <v>3.6167315431503049E-3</v>
      </c>
      <c r="S69" s="2"/>
      <c r="T69" s="6">
        <v>3322.75</v>
      </c>
      <c r="U69" s="2"/>
      <c r="V69" s="7">
        <f t="shared" si="65"/>
        <v>6.343102121032936E-3</v>
      </c>
      <c r="W69" s="2"/>
      <c r="X69" s="6">
        <f t="shared" si="66"/>
        <v>-1448.42</v>
      </c>
      <c r="Y69" s="2"/>
      <c r="Z69" s="7">
        <f t="shared" si="67"/>
        <v>-0.43591001429538789</v>
      </c>
    </row>
    <row r="70" spans="1:26" s="24" customFormat="1" hidden="1" outlineLevel="2" x14ac:dyDescent="0.25">
      <c r="A70" s="26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60"/>
        <v>0</v>
      </c>
      <c r="G70" s="2"/>
      <c r="H70" s="6"/>
      <c r="I70" s="2"/>
      <c r="J70" s="7">
        <f t="shared" si="61"/>
        <v>0</v>
      </c>
      <c r="K70" s="2"/>
      <c r="L70" s="6">
        <f t="shared" si="62"/>
        <v>0</v>
      </c>
      <c r="M70" s="2"/>
      <c r="N70" s="7">
        <f t="shared" si="63"/>
        <v>0</v>
      </c>
      <c r="O70" s="11"/>
      <c r="P70" s="6">
        <v>22.05</v>
      </c>
      <c r="Q70" s="2"/>
      <c r="R70" s="7">
        <f t="shared" si="64"/>
        <v>4.2547966754234437E-5</v>
      </c>
      <c r="S70" s="2"/>
      <c r="T70" s="6"/>
      <c r="U70" s="2"/>
      <c r="V70" s="7">
        <f t="shared" si="65"/>
        <v>0</v>
      </c>
      <c r="W70" s="2"/>
      <c r="X70" s="6">
        <f t="shared" si="66"/>
        <v>22.05</v>
      </c>
      <c r="Y70" s="2"/>
      <c r="Z70" s="7">
        <f t="shared" si="67"/>
        <v>0</v>
      </c>
    </row>
    <row r="71" spans="1:26" s="24" customFormat="1" hidden="1" outlineLevel="2" x14ac:dyDescent="0.25">
      <c r="A71" s="26"/>
      <c r="B71" s="11" t="str">
        <f>CONCATENATE("          ", "6247", " - ", "STORE SUPPLIES")</f>
        <v xml:space="preserve">          6247 - STORE SUPPLIES</v>
      </c>
      <c r="C71" s="11"/>
      <c r="D71" s="6"/>
      <c r="E71" s="2"/>
      <c r="F71" s="7">
        <f t="shared" si="60"/>
        <v>0</v>
      </c>
      <c r="G71" s="2"/>
      <c r="H71" s="6"/>
      <c r="I71" s="2"/>
      <c r="J71" s="7">
        <f t="shared" si="61"/>
        <v>0</v>
      </c>
      <c r="K71" s="2"/>
      <c r="L71" s="6">
        <f t="shared" si="62"/>
        <v>0</v>
      </c>
      <c r="M71" s="2"/>
      <c r="N71" s="7">
        <f t="shared" si="63"/>
        <v>0</v>
      </c>
      <c r="O71" s="11"/>
      <c r="P71" s="6">
        <v>513.20000000000005</v>
      </c>
      <c r="Q71" s="2"/>
      <c r="R71" s="7">
        <f t="shared" si="64"/>
        <v>9.9027739402599165E-4</v>
      </c>
      <c r="S71" s="2"/>
      <c r="T71" s="6">
        <v>957.6</v>
      </c>
      <c r="U71" s="2"/>
      <c r="V71" s="7">
        <f t="shared" si="65"/>
        <v>1.828050437469307E-3</v>
      </c>
      <c r="W71" s="2"/>
      <c r="X71" s="6">
        <f t="shared" si="66"/>
        <v>-444.4</v>
      </c>
      <c r="Y71" s="2"/>
      <c r="Z71" s="7">
        <f t="shared" si="67"/>
        <v>-0.46407685881370087</v>
      </c>
    </row>
    <row r="72" spans="1:26" s="24" customFormat="1" hidden="1" outlineLevel="2" x14ac:dyDescent="0.25">
      <c r="A72" s="26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60"/>
        <v>0</v>
      </c>
      <c r="G72" s="2"/>
      <c r="H72" s="6"/>
      <c r="I72" s="2"/>
      <c r="J72" s="7">
        <f t="shared" si="61"/>
        <v>0</v>
      </c>
      <c r="K72" s="2"/>
      <c r="L72" s="6">
        <f t="shared" si="62"/>
        <v>0</v>
      </c>
      <c r="M72" s="2"/>
      <c r="N72" s="7">
        <f t="shared" si="63"/>
        <v>0</v>
      </c>
      <c r="O72" s="11"/>
      <c r="P72" s="6">
        <v>780.24</v>
      </c>
      <c r="Q72" s="2"/>
      <c r="R72" s="7">
        <f t="shared" si="64"/>
        <v>1.505561250808339E-3</v>
      </c>
      <c r="S72" s="2"/>
      <c r="T72" s="6">
        <v>745.33</v>
      </c>
      <c r="U72" s="2"/>
      <c r="V72" s="7">
        <f t="shared" si="65"/>
        <v>1.4228287725135743E-3</v>
      </c>
      <c r="W72" s="2"/>
      <c r="X72" s="6">
        <f t="shared" si="66"/>
        <v>34.909999999999968</v>
      </c>
      <c r="Y72" s="2"/>
      <c r="Z72" s="7">
        <f t="shared" si="67"/>
        <v>4.683831323038113E-2</v>
      </c>
    </row>
    <row r="73" spans="1:26" s="27" customFormat="1" outlineLevel="1" collapsed="1" x14ac:dyDescent="0.25">
      <c r="A73" s="25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SUM(OSRRefD22_13x_0)</f>
        <v>157.55000000000001</v>
      </c>
      <c r="E73" s="1"/>
      <c r="F73" s="5">
        <f t="shared" ref="F73:F76" si="68">IF(D$12=0,0,D73/D$12)</f>
        <v>7.0225592416723627E-4</v>
      </c>
      <c r="G73" s="1"/>
      <c r="H73" s="1">
        <f>SUM(OSRRefH22_13x_0)</f>
        <v>158.55000000000001</v>
      </c>
      <c r="I73" s="1"/>
      <c r="J73" s="5">
        <f t="shared" ref="J73:J76" si="69">IF(H$12=0,0,H73/H$12)</f>
        <v>7.0566610941817014E-4</v>
      </c>
      <c r="K73" s="1"/>
      <c r="L73" s="1">
        <f t="shared" ref="L73:L76" si="70">+D73-H73</f>
        <v>-1</v>
      </c>
      <c r="M73" s="1"/>
      <c r="N73" s="5">
        <f t="shared" ref="N73:N76" si="71">IF(H73=0,0,L73/H73)</f>
        <v>-6.3071586250394189E-3</v>
      </c>
      <c r="O73" s="13"/>
      <c r="P73" s="1">
        <f>SUM(OSRRefP22_13x_0)</f>
        <v>539.45000000000005</v>
      </c>
      <c r="Q73" s="1"/>
      <c r="R73" s="5">
        <f t="shared" ref="R73:R76" si="72">IF(P$12=0,0,P73/P$12)</f>
        <v>1.0409297354000801E-3</v>
      </c>
      <c r="S73" s="1"/>
      <c r="T73" s="1">
        <f>SUM(OSRRefT22_13x_0)</f>
        <v>637</v>
      </c>
      <c r="U73" s="1"/>
      <c r="V73" s="5">
        <f t="shared" ref="V73:V76" si="73">IF(T$12=0,0,T73/T$12)</f>
        <v>1.2160277032873313E-3</v>
      </c>
      <c r="W73" s="1"/>
      <c r="X73" s="1">
        <f t="shared" ref="X73:X76" si="74">+P73-T73</f>
        <v>-97.549999999999955</v>
      </c>
      <c r="Y73" s="1"/>
      <c r="Z73" s="5">
        <f t="shared" ref="Z73:Z76" si="75">IF(T73=0,0,X73/T73)</f>
        <v>-0.15313971742543164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6">
        <v>157.55000000000001</v>
      </c>
      <c r="E74" s="2"/>
      <c r="F74" s="7">
        <f t="shared" si="68"/>
        <v>7.0225592416723627E-4</v>
      </c>
      <c r="G74" s="2"/>
      <c r="H74" s="6">
        <v>158.55000000000001</v>
      </c>
      <c r="I74" s="2"/>
      <c r="J74" s="7">
        <f t="shared" si="69"/>
        <v>7.0566610941817014E-4</v>
      </c>
      <c r="K74" s="2"/>
      <c r="L74" s="6">
        <f t="shared" si="70"/>
        <v>-1</v>
      </c>
      <c r="M74" s="2"/>
      <c r="N74" s="7">
        <f t="shared" si="71"/>
        <v>-6.3071586250394189E-3</v>
      </c>
      <c r="O74" s="11"/>
      <c r="P74" s="6">
        <v>539.45000000000005</v>
      </c>
      <c r="Q74" s="2"/>
      <c r="R74" s="7">
        <f t="shared" si="72"/>
        <v>1.0409297354000801E-3</v>
      </c>
      <c r="S74" s="2"/>
      <c r="T74" s="6">
        <v>637</v>
      </c>
      <c r="U74" s="2"/>
      <c r="V74" s="7">
        <f t="shared" si="73"/>
        <v>1.2160277032873313E-3</v>
      </c>
      <c r="W74" s="2"/>
      <c r="X74" s="6">
        <f t="shared" si="74"/>
        <v>-97.549999999999955</v>
      </c>
      <c r="Y74" s="2"/>
      <c r="Z74" s="7">
        <f t="shared" si="75"/>
        <v>-0.15313971742543164</v>
      </c>
    </row>
    <row r="75" spans="1:26" s="27" customFormat="1" outlineLevel="1" collapsed="1" x14ac:dyDescent="0.25">
      <c r="A75" s="25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SUM(OSRRefD22_14x_0)</f>
        <v>55.95</v>
      </c>
      <c r="E75" s="1"/>
      <c r="F75" s="5">
        <f t="shared" si="68"/>
        <v>2.493888857959814E-4</v>
      </c>
      <c r="G75" s="1"/>
      <c r="H75" s="1">
        <f>SUM(OSRRefH22_14x_0)</f>
        <v>0</v>
      </c>
      <c r="I75" s="1"/>
      <c r="J75" s="5">
        <f t="shared" si="69"/>
        <v>0</v>
      </c>
      <c r="K75" s="1"/>
      <c r="L75" s="1">
        <f t="shared" si="70"/>
        <v>55.95</v>
      </c>
      <c r="M75" s="1"/>
      <c r="N75" s="5">
        <f t="shared" si="71"/>
        <v>0</v>
      </c>
      <c r="O75" s="13"/>
      <c r="P75" s="1">
        <f>SUM(OSRRefP22_14x_0)</f>
        <v>140.94999999999999</v>
      </c>
      <c r="Q75" s="1"/>
      <c r="R75" s="5">
        <f t="shared" si="72"/>
        <v>2.7197895301629671E-4</v>
      </c>
      <c r="S75" s="1"/>
      <c r="T75" s="1">
        <f>SUM(OSRRefT22_14x_0)</f>
        <v>80</v>
      </c>
      <c r="U75" s="1"/>
      <c r="V75" s="5">
        <f t="shared" si="73"/>
        <v>1.5271933479275748E-4</v>
      </c>
      <c r="W75" s="1"/>
      <c r="X75" s="1">
        <f t="shared" si="74"/>
        <v>60.949999999999989</v>
      </c>
      <c r="Y75" s="1"/>
      <c r="Z75" s="5">
        <f t="shared" si="75"/>
        <v>0.76187499999999986</v>
      </c>
    </row>
    <row r="76" spans="1:26" s="24" customFormat="1" hidden="1" outlineLevel="2" x14ac:dyDescent="0.25">
      <c r="A76" s="26"/>
      <c r="B76" s="11" t="str">
        <f>CONCATENATE("          ", "6376", " - ", "TRAINING")</f>
        <v xml:space="preserve">          6376 - TRAINING</v>
      </c>
      <c r="C76" s="11"/>
      <c r="D76" s="6">
        <v>55.95</v>
      </c>
      <c r="E76" s="2"/>
      <c r="F76" s="7">
        <f t="shared" si="68"/>
        <v>2.493888857959814E-4</v>
      </c>
      <c r="G76" s="2"/>
      <c r="H76" s="6"/>
      <c r="I76" s="2"/>
      <c r="J76" s="7">
        <f t="shared" si="69"/>
        <v>0</v>
      </c>
      <c r="K76" s="2"/>
      <c r="L76" s="6">
        <f t="shared" si="70"/>
        <v>55.95</v>
      </c>
      <c r="M76" s="2"/>
      <c r="N76" s="7">
        <f t="shared" si="71"/>
        <v>0</v>
      </c>
      <c r="O76" s="11"/>
      <c r="P76" s="6">
        <v>140.94999999999999</v>
      </c>
      <c r="Q76" s="2"/>
      <c r="R76" s="7">
        <f t="shared" si="72"/>
        <v>2.7197895301629671E-4</v>
      </c>
      <c r="S76" s="2"/>
      <c r="T76" s="6">
        <v>80</v>
      </c>
      <c r="U76" s="2"/>
      <c r="V76" s="7">
        <f t="shared" si="73"/>
        <v>1.5271933479275748E-4</v>
      </c>
      <c r="W76" s="2"/>
      <c r="X76" s="6">
        <f t="shared" si="74"/>
        <v>60.949999999999989</v>
      </c>
      <c r="Y76" s="2"/>
      <c r="Z76" s="7">
        <f t="shared" si="75"/>
        <v>0.76187499999999986</v>
      </c>
    </row>
    <row r="77" spans="1:26" s="55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25">
      <c r="A78" s="10"/>
      <c r="B78" s="29" t="s">
        <v>0</v>
      </c>
      <c r="C78" s="10"/>
      <c r="D78" s="4">
        <f>SUM(OSRRefD25x_0)</f>
        <v>0</v>
      </c>
      <c r="E78" s="4"/>
      <c r="F78" s="12">
        <f t="shared" ref="F78:F79" si="76">IF(D$12=0,0,D78/D$12)</f>
        <v>0</v>
      </c>
      <c r="G78" s="4"/>
      <c r="H78" s="4">
        <f>SUM(OSRRefH25x_0)</f>
        <v>0</v>
      </c>
      <c r="I78" s="4"/>
      <c r="J78" s="12">
        <f t="shared" ref="J78:J79" si="77">IF(H$12=0,0,H78/H$12)</f>
        <v>0</v>
      </c>
      <c r="K78" s="4"/>
      <c r="L78" s="4">
        <f t="shared" ref="L78:L79" si="78">+D78-H78</f>
        <v>0</v>
      </c>
      <c r="M78" s="4"/>
      <c r="N78" s="12">
        <f t="shared" ref="N78:N79" si="79">IF(H78=0,0,L78/H78)</f>
        <v>0</v>
      </c>
      <c r="O78" s="10"/>
      <c r="P78" s="4">
        <f>SUM(OSRRefP25x_0)</f>
        <v>0</v>
      </c>
      <c r="Q78" s="4"/>
      <c r="R78" s="12">
        <f t="shared" ref="R78:R79" si="80">IF(P$12=0,0,P78/P$12)</f>
        <v>0</v>
      </c>
      <c r="S78" s="4"/>
      <c r="T78" s="4">
        <f>SUM(OSRRefT25x_0)</f>
        <v>258</v>
      </c>
      <c r="U78" s="4"/>
      <c r="V78" s="12">
        <f t="shared" ref="V78:V79" si="81">IF(T$12=0,0,T78/T$12)</f>
        <v>4.9251985470664288E-4</v>
      </c>
      <c r="W78" s="4"/>
      <c r="X78" s="4">
        <f t="shared" ref="X78:X79" si="82">+P78-T78</f>
        <v>-258</v>
      </c>
      <c r="Y78" s="4"/>
      <c r="Z78" s="12">
        <f t="shared" ref="Z78:Z79" si="83">IF(T78=0,0,X78/T78)</f>
        <v>-1</v>
      </c>
    </row>
    <row r="79" spans="1:26" s="24" customFormat="1" hidden="1" outlineLevel="1" x14ac:dyDescent="0.25">
      <c r="A79" s="44"/>
      <c r="B79" s="11" t="str">
        <f>CONCATENATE("          ", "9150", " - ", "MISC. INCOME")</f>
        <v xml:space="preserve">          9150 - MISC. INCOME</v>
      </c>
      <c r="C79" s="11"/>
      <c r="D79" s="2">
        <f>0</f>
        <v>0</v>
      </c>
      <c r="E79" s="2"/>
      <c r="F79" s="19">
        <f t="shared" si="76"/>
        <v>0</v>
      </c>
      <c r="G79" s="2"/>
      <c r="H79" s="2">
        <f>0</f>
        <v>0</v>
      </c>
      <c r="I79" s="2"/>
      <c r="J79" s="19">
        <f t="shared" si="77"/>
        <v>0</v>
      </c>
      <c r="K79" s="2"/>
      <c r="L79" s="2">
        <f t="shared" si="78"/>
        <v>0</v>
      </c>
      <c r="M79" s="2"/>
      <c r="N79" s="19">
        <f t="shared" si="79"/>
        <v>0</v>
      </c>
      <c r="O79" s="11"/>
      <c r="P79" s="2">
        <f>0</f>
        <v>0</v>
      </c>
      <c r="Q79" s="2"/>
      <c r="R79" s="19">
        <f t="shared" si="80"/>
        <v>0</v>
      </c>
      <c r="S79" s="2"/>
      <c r="T79" s="2">
        <f>--258</f>
        <v>258</v>
      </c>
      <c r="U79" s="2"/>
      <c r="V79" s="19">
        <f t="shared" si="81"/>
        <v>4.9251985470664288E-4</v>
      </c>
      <c r="W79" s="2"/>
      <c r="X79" s="2">
        <f t="shared" si="82"/>
        <v>-258</v>
      </c>
      <c r="Y79" s="2"/>
      <c r="Z79" s="19">
        <f t="shared" si="83"/>
        <v>-1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8" t="s">
        <v>3</v>
      </c>
      <c r="C81" s="28"/>
      <c r="D81" s="21">
        <f>+D20-D22+D78</f>
        <v>77346.7</v>
      </c>
      <c r="E81" s="14"/>
      <c r="F81" s="22">
        <f>IF(D$12=0,0,D81/D$12)</f>
        <v>0.34476152516525527</v>
      </c>
      <c r="G81" s="14"/>
      <c r="H81" s="21">
        <f>+H20-H22+H78</f>
        <v>71885.130000000019</v>
      </c>
      <c r="I81" s="14"/>
      <c r="J81" s="22">
        <f>IF(H$12=0,0,H81/H$12)</f>
        <v>0.31994260493295112</v>
      </c>
      <c r="K81" s="16"/>
      <c r="L81" s="21">
        <f>+D81-H81</f>
        <v>5461.5699999999779</v>
      </c>
      <c r="M81" s="16"/>
      <c r="N81" s="22">
        <f>IF(H81=0,0,L81/H81)</f>
        <v>7.5976352828463642E-2</v>
      </c>
      <c r="O81" s="29"/>
      <c r="P81" s="21">
        <f>+P20-P22+P78</f>
        <v>108514.71000000005</v>
      </c>
      <c r="Q81" s="14"/>
      <c r="R81" s="22">
        <f>IF(P$12=0,0,P81/P$12)</f>
        <v>0.20939139562019923</v>
      </c>
      <c r="S81" s="14"/>
      <c r="T81" s="21">
        <f>+T20-T22+T78</f>
        <v>123428.87</v>
      </c>
      <c r="U81" s="14"/>
      <c r="V81" s="22">
        <f>IF(T$12=0,0,T81/T$12)</f>
        <v>0.23562468650777174</v>
      </c>
      <c r="W81" s="16"/>
      <c r="X81" s="21">
        <f>+P81-T81</f>
        <v>-14914.159999999945</v>
      </c>
      <c r="Y81" s="16"/>
      <c r="Z81" s="22">
        <f>IF(T81=0,0,X81/T81)</f>
        <v>-0.12083202252438952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1"/>
      <c r="B83" s="10" t="s">
        <v>13</v>
      </c>
      <c r="C83" s="10"/>
      <c r="D83" s="4">
        <v>20599.52</v>
      </c>
      <c r="E83" s="4"/>
      <c r="F83" s="12">
        <f>IF(D$12=0,0,D83/D$12)</f>
        <v>9.1819326912100707E-2</v>
      </c>
      <c r="G83" s="4"/>
      <c r="H83" s="4">
        <v>21529.96</v>
      </c>
      <c r="I83" s="4"/>
      <c r="J83" s="12">
        <f>IF(H$12=0,0,H83/H$12)</f>
        <v>9.5824428313647583E-2</v>
      </c>
      <c r="K83" s="4"/>
      <c r="L83" s="4">
        <f>+D83-H83</f>
        <v>-930.43999999999869</v>
      </c>
      <c r="M83" s="4"/>
      <c r="N83" s="12">
        <f>IF(H83=0,0,L83/H83)</f>
        <v>-4.3216057995463006E-2</v>
      </c>
      <c r="O83" s="10"/>
      <c r="P83" s="4">
        <v>52167.219999999994</v>
      </c>
      <c r="Q83" s="4"/>
      <c r="R83" s="12">
        <f>IF(P$12=0,0,P83/P$12)</f>
        <v>0.1006625461324641</v>
      </c>
      <c r="S83" s="4"/>
      <c r="T83" s="4">
        <v>48109.049999999996</v>
      </c>
      <c r="U83" s="4"/>
      <c r="V83" s="12">
        <f>IF(T$12=0,0,T83/T$12)</f>
        <v>9.1839776418893848E-2</v>
      </c>
      <c r="W83" s="4"/>
      <c r="X83" s="4">
        <f>+P83-T83</f>
        <v>4058.1699999999983</v>
      </c>
      <c r="Y83" s="4"/>
      <c r="Z83" s="12">
        <f>IF(T83=0,0,X83/T83)</f>
        <v>8.4353567572005655E-2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4</v>
      </c>
      <c r="C85" s="28"/>
      <c r="D85" s="31">
        <f>+D81-D83</f>
        <v>56747.179999999993</v>
      </c>
      <c r="E85" s="14"/>
      <c r="F85" s="34">
        <f>IF(D$12=0,0,D85/D$12)</f>
        <v>0.25294219825315456</v>
      </c>
      <c r="G85" s="14"/>
      <c r="H85" s="31">
        <f>+H81-H83</f>
        <v>50355.17000000002</v>
      </c>
      <c r="I85" s="14"/>
      <c r="J85" s="34">
        <f>IF(H$12=0,0,H85/H$12)</f>
        <v>0.2241181766193035</v>
      </c>
      <c r="K85" s="16"/>
      <c r="L85" s="31">
        <f>D85-H85</f>
        <v>6392.0099999999729</v>
      </c>
      <c r="M85" s="16"/>
      <c r="N85" s="34">
        <f>IF(H85=0,0,L85/H85)</f>
        <v>0.12693850502341608</v>
      </c>
      <c r="O85" s="29"/>
      <c r="P85" s="31">
        <f>+P81-P83</f>
        <v>56347.490000000056</v>
      </c>
      <c r="Q85" s="14"/>
      <c r="R85" s="34">
        <f>IF(P$12=0,0,P85/P$12)</f>
        <v>0.10872884948773513</v>
      </c>
      <c r="S85" s="14"/>
      <c r="T85" s="31">
        <f>+T81-T83</f>
        <v>75319.820000000007</v>
      </c>
      <c r="U85" s="14"/>
      <c r="V85" s="34">
        <f>IF(T$12=0,0,T85/T$12)</f>
        <v>0.14378491008887789</v>
      </c>
      <c r="W85" s="16"/>
      <c r="X85" s="31">
        <f>P85-T85</f>
        <v>-18972.329999999951</v>
      </c>
      <c r="Y85" s="16"/>
      <c r="Z85" s="34">
        <f>IF(T85=0,0,X85/T85)</f>
        <v>-0.25189027270643966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5</v>
      </c>
      <c r="C88" s="28"/>
      <c r="D88" s="36">
        <f>SUM(D85:D87)</f>
        <v>56747.179999999993</v>
      </c>
      <c r="E88" s="14"/>
      <c r="F88" s="33">
        <f>IF(D$12=0,0,D88/D$12)</f>
        <v>0.25294219825315456</v>
      </c>
      <c r="G88" s="14"/>
      <c r="H88" s="36">
        <f>SUM(H85:H87)</f>
        <v>50355.17000000002</v>
      </c>
      <c r="I88" s="14"/>
      <c r="J88" s="33">
        <f>IF(H$12=0,0,H88/H$12)</f>
        <v>0.2241181766193035</v>
      </c>
      <c r="K88" s="16"/>
      <c r="L88" s="36">
        <f>+D88-H88</f>
        <v>6392.0099999999729</v>
      </c>
      <c r="M88" s="16"/>
      <c r="N88" s="33">
        <f>IF(H88=0,0,L88/H88)</f>
        <v>0.12693850502341608</v>
      </c>
      <c r="O88" s="29"/>
      <c r="P88" s="36">
        <f>SUM(P85:P87)</f>
        <v>56347.490000000056</v>
      </c>
      <c r="Q88" s="14"/>
      <c r="R88" s="33">
        <f>IF(P$12=0,0,P88/P$12)</f>
        <v>0.10872884948773513</v>
      </c>
      <c r="S88" s="14"/>
      <c r="T88" s="36">
        <f>SUM(T85:T87)</f>
        <v>75319.820000000007</v>
      </c>
      <c r="U88" s="14"/>
      <c r="V88" s="33">
        <f>IF(T$12=0,0,T88/T$12)</f>
        <v>0.14378491008887789</v>
      </c>
      <c r="W88" s="16"/>
      <c r="X88" s="36">
        <f>+P88-T88</f>
        <v>-18972.329999999951</v>
      </c>
      <c r="Y88" s="16"/>
      <c r="Z88" s="33">
        <f>IF(T88=0,0,X88/T88)</f>
        <v>-0.25189027270643966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61">
        <v>43791.35568090278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6" t="s">
        <v>313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7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","420", " - ", "Catering")</f>
        <v>Department 420 - Catering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10070.48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10070.48</v>
      </c>
      <c r="M12" s="4"/>
      <c r="N12" s="12">
        <f t="shared" ref="N12:N14" si="1">IF(H12=0,0,L12/H12)</f>
        <v>0</v>
      </c>
      <c r="O12" s="10"/>
      <c r="P12" s="4">
        <f>SUM(OSRRefP13x_0)</f>
        <v>10070.48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10070.48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--10070.73</f>
        <v>10070.73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10070.73</v>
      </c>
      <c r="M13" s="2"/>
      <c r="N13" s="19">
        <f t="shared" si="1"/>
        <v>0</v>
      </c>
      <c r="O13" s="11"/>
      <c r="P13" s="2">
        <f>--10070.73</f>
        <v>10070.73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10070.73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-0.25</f>
        <v>-0.25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-0.25</v>
      </c>
      <c r="M14" s="2"/>
      <c r="N14" s="19">
        <f t="shared" si="1"/>
        <v>0</v>
      </c>
      <c r="O14" s="11"/>
      <c r="P14" s="2">
        <f>-0.25</f>
        <v>-0.25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-0.25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8</v>
      </c>
      <c r="C16" s="10"/>
      <c r="D16" s="4">
        <f>SUM(0)</f>
        <v>0</v>
      </c>
      <c r="E16" s="4"/>
      <c r="F16" s="12">
        <f>IF(D$12=0,0,D16/D$12)</f>
        <v>0</v>
      </c>
      <c r="G16" s="4"/>
      <c r="H16" s="4">
        <f>SUM(0)</f>
        <v>0</v>
      </c>
      <c r="I16" s="4"/>
      <c r="J16" s="12">
        <f>IF(H$12=0,0,H16/H$12)</f>
        <v>0</v>
      </c>
      <c r="K16" s="4"/>
      <c r="L16" s="4">
        <f>+D16-H16</f>
        <v>0</v>
      </c>
      <c r="M16" s="4"/>
      <c r="N16" s="12">
        <f>IF(H16=0,0,L16/H16)</f>
        <v>0</v>
      </c>
      <c r="O16" s="10"/>
      <c r="P16" s="4">
        <f>SUM(0)</f>
        <v>0</v>
      </c>
      <c r="Q16" s="4"/>
      <c r="R16" s="12">
        <f>IF(P$12=0,0,P16/P$12)</f>
        <v>0</v>
      </c>
      <c r="S16" s="4"/>
      <c r="T16" s="4">
        <f>SUM(0)</f>
        <v>0</v>
      </c>
      <c r="U16" s="4"/>
      <c r="V16" s="12">
        <f>IF(T$12=0,0,T16/T$12)</f>
        <v>0</v>
      </c>
      <c r="W16" s="4"/>
      <c r="X16" s="4">
        <f>+P16-T16</f>
        <v>0</v>
      </c>
      <c r="Y16" s="4"/>
      <c r="Z16" s="12">
        <f>IF(T16=0,0,X16/T16)</f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>
        <f>D12-D16</f>
        <v>10070.48</v>
      </c>
      <c r="E18" s="14"/>
      <c r="F18" s="22">
        <f>IF(D$12=0,0,D18/D$12)</f>
        <v>1</v>
      </c>
      <c r="G18" s="14"/>
      <c r="H18" s="21">
        <f>H12-H16</f>
        <v>0</v>
      </c>
      <c r="I18" s="14"/>
      <c r="J18" s="22">
        <f>IF(H$12=0,0,H18/H$12)</f>
        <v>0</v>
      </c>
      <c r="K18" s="16"/>
      <c r="L18" s="21">
        <f>+D18-H18</f>
        <v>10070.48</v>
      </c>
      <c r="M18" s="16"/>
      <c r="N18" s="22">
        <f>IF(H18=0,0,L18/H18)</f>
        <v>0</v>
      </c>
      <c r="O18" s="29"/>
      <c r="P18" s="21">
        <f>P12-P16</f>
        <v>10070.48</v>
      </c>
      <c r="Q18" s="14"/>
      <c r="R18" s="22">
        <f>IF(P$12=0,0,P18/P$12)</f>
        <v>1</v>
      </c>
      <c r="S18" s="14"/>
      <c r="T18" s="21">
        <f>T12-T16</f>
        <v>0</v>
      </c>
      <c r="U18" s="14"/>
      <c r="V18" s="22">
        <f>IF(T$12=0,0,T18/T$12)</f>
        <v>0</v>
      </c>
      <c r="W18" s="16"/>
      <c r="X18" s="21">
        <f>+P18-T18</f>
        <v>10070.48</v>
      </c>
      <c r="Y18" s="16"/>
      <c r="Z18" s="22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>
        <f>SUM(OSRRefD22x_0)</f>
        <v>41555.51</v>
      </c>
      <c r="E20" s="20"/>
      <c r="F20" s="35">
        <f t="shared" ref="F20:F28" si="6">IF(D$12=0,0,D20/D$12)</f>
        <v>4.1264676559607887</v>
      </c>
      <c r="G20" s="20"/>
      <c r="H20" s="20">
        <f>SUM(OSRRefH22x_0)</f>
        <v>0</v>
      </c>
      <c r="I20" s="20"/>
      <c r="J20" s="35">
        <f t="shared" ref="J20:J28" si="7">IF(H$12=0,0,H20/H$12)</f>
        <v>0</v>
      </c>
      <c r="K20" s="4"/>
      <c r="L20" s="20">
        <f t="shared" ref="L20:L28" si="8">+D20-H20</f>
        <v>41555.51</v>
      </c>
      <c r="M20" s="4"/>
      <c r="N20" s="35">
        <f t="shared" ref="N20:N28" si="9">IF(H20=0,0,L20/H20)</f>
        <v>0</v>
      </c>
      <c r="O20" s="10"/>
      <c r="P20" s="20">
        <f>SUM(OSRRefP22x_0)</f>
        <v>49602.720000000001</v>
      </c>
      <c r="Q20" s="20"/>
      <c r="R20" s="35">
        <f t="shared" ref="R20:R28" si="10">IF(P$12=0,0,P20/P$12)</f>
        <v>4.92555667654372</v>
      </c>
      <c r="S20" s="20"/>
      <c r="T20" s="20">
        <f>SUM(OSRRefT22x_0)</f>
        <v>0</v>
      </c>
      <c r="U20" s="20"/>
      <c r="V20" s="35">
        <f t="shared" ref="V20:V28" si="11">IF(T$12=0,0,T20/T$12)</f>
        <v>0</v>
      </c>
      <c r="W20" s="4"/>
      <c r="X20" s="20">
        <f t="shared" ref="X20:X28" si="12">+P20-T20</f>
        <v>49602.720000000001</v>
      </c>
      <c r="Y20" s="4"/>
      <c r="Z20" s="35">
        <f t="shared" ref="Z20:Z28" si="13">IF(T20=0,0,X20/T20)</f>
        <v>0</v>
      </c>
    </row>
    <row r="21" spans="1:26" s="27" customFormat="1" outlineLevel="1" collapsed="1" x14ac:dyDescent="0.25">
      <c r="A21" s="25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8769.9600000000009</v>
      </c>
      <c r="E21" s="1"/>
      <c r="F21" s="5">
        <f t="shared" si="6"/>
        <v>0.87085819146654397</v>
      </c>
      <c r="G21" s="1"/>
      <c r="H21" s="1">
        <f>SUM(OSRRefH22_0x_0)</f>
        <v>0</v>
      </c>
      <c r="I21" s="1"/>
      <c r="J21" s="5">
        <f t="shared" si="7"/>
        <v>0</v>
      </c>
      <c r="K21" s="1"/>
      <c r="L21" s="1">
        <f t="shared" si="8"/>
        <v>8769.9600000000009</v>
      </c>
      <c r="M21" s="1"/>
      <c r="N21" s="5">
        <f t="shared" si="9"/>
        <v>0</v>
      </c>
      <c r="O21" s="13"/>
      <c r="P21" s="1">
        <f>SUM(OSRRefP22_0x_0)</f>
        <v>8769.9600000000009</v>
      </c>
      <c r="Q21" s="1"/>
      <c r="R21" s="5">
        <f t="shared" si="10"/>
        <v>0.87085819146654397</v>
      </c>
      <c r="S21" s="1"/>
      <c r="T21" s="1">
        <f>SUM(OSRRefT22_0x_0)</f>
        <v>0</v>
      </c>
      <c r="U21" s="1"/>
      <c r="V21" s="5">
        <f t="shared" si="11"/>
        <v>0</v>
      </c>
      <c r="W21" s="1"/>
      <c r="X21" s="1">
        <f t="shared" si="12"/>
        <v>8769.9600000000009</v>
      </c>
      <c r="Y21" s="1"/>
      <c r="Z21" s="5">
        <f t="shared" si="13"/>
        <v>0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6">
        <v>3338.85</v>
      </c>
      <c r="E22" s="2"/>
      <c r="F22" s="7">
        <f t="shared" si="6"/>
        <v>0.33154824794845927</v>
      </c>
      <c r="G22" s="2"/>
      <c r="H22" s="6"/>
      <c r="I22" s="2"/>
      <c r="J22" s="7">
        <f t="shared" si="7"/>
        <v>0</v>
      </c>
      <c r="K22" s="2"/>
      <c r="L22" s="6">
        <f t="shared" si="8"/>
        <v>3338.85</v>
      </c>
      <c r="M22" s="2"/>
      <c r="N22" s="7">
        <f t="shared" si="9"/>
        <v>0</v>
      </c>
      <c r="O22" s="11"/>
      <c r="P22" s="6">
        <v>3338.85</v>
      </c>
      <c r="Q22" s="2"/>
      <c r="R22" s="7">
        <f t="shared" si="10"/>
        <v>0.33154824794845927</v>
      </c>
      <c r="S22" s="2"/>
      <c r="T22" s="6"/>
      <c r="U22" s="2"/>
      <c r="V22" s="7">
        <f t="shared" si="11"/>
        <v>0</v>
      </c>
      <c r="W22" s="2"/>
      <c r="X22" s="6">
        <f t="shared" si="12"/>
        <v>3338.85</v>
      </c>
      <c r="Y22" s="2"/>
      <c r="Z22" s="7">
        <f t="shared" si="13"/>
        <v>0</v>
      </c>
    </row>
    <row r="23" spans="1:26" s="24" customFormat="1" hidden="1" outlineLevel="2" x14ac:dyDescent="0.25">
      <c r="A23" s="26"/>
      <c r="B23" s="11" t="str">
        <f>CONCATENATE("          ", "6112", " - ", "COMPENSATION INSURANCE")</f>
        <v xml:space="preserve">          6112 - COMPENSATION INSURANCE</v>
      </c>
      <c r="C23" s="11"/>
      <c r="D23" s="6">
        <v>1542.85</v>
      </c>
      <c r="E23" s="2"/>
      <c r="F23" s="7">
        <f t="shared" si="6"/>
        <v>0.15320520968216014</v>
      </c>
      <c r="G23" s="2"/>
      <c r="H23" s="6"/>
      <c r="I23" s="2"/>
      <c r="J23" s="7">
        <f t="shared" si="7"/>
        <v>0</v>
      </c>
      <c r="K23" s="2"/>
      <c r="L23" s="6">
        <f t="shared" si="8"/>
        <v>1542.85</v>
      </c>
      <c r="M23" s="2"/>
      <c r="N23" s="7">
        <f t="shared" si="9"/>
        <v>0</v>
      </c>
      <c r="O23" s="11"/>
      <c r="P23" s="6">
        <v>1542.85</v>
      </c>
      <c r="Q23" s="2"/>
      <c r="R23" s="7">
        <f t="shared" si="10"/>
        <v>0.15320520968216014</v>
      </c>
      <c r="S23" s="2"/>
      <c r="T23" s="6"/>
      <c r="U23" s="2"/>
      <c r="V23" s="7">
        <f t="shared" si="11"/>
        <v>0</v>
      </c>
      <c r="W23" s="2"/>
      <c r="X23" s="6">
        <f t="shared" si="12"/>
        <v>1542.85</v>
      </c>
      <c r="Y23" s="2"/>
      <c r="Z23" s="7">
        <f t="shared" si="13"/>
        <v>0</v>
      </c>
    </row>
    <row r="24" spans="1:26" s="24" customFormat="1" hidden="1" outlineLevel="2" x14ac:dyDescent="0.25">
      <c r="A24" s="26"/>
      <c r="B24" s="11" t="str">
        <f>CONCATENATE("          ", "6113", " - ", "GROUP INSURANCE")</f>
        <v xml:space="preserve">          6113 - GROUP INSURANCE</v>
      </c>
      <c r="C24" s="11"/>
      <c r="D24" s="6">
        <v>134.30000000000001</v>
      </c>
      <c r="E24" s="2"/>
      <c r="F24" s="7">
        <f t="shared" si="6"/>
        <v>1.3336007816906446E-2</v>
      </c>
      <c r="G24" s="2"/>
      <c r="H24" s="6"/>
      <c r="I24" s="2"/>
      <c r="J24" s="7">
        <f t="shared" si="7"/>
        <v>0</v>
      </c>
      <c r="K24" s="2"/>
      <c r="L24" s="6">
        <f t="shared" si="8"/>
        <v>134.30000000000001</v>
      </c>
      <c r="M24" s="2"/>
      <c r="N24" s="7">
        <f t="shared" si="9"/>
        <v>0</v>
      </c>
      <c r="O24" s="11"/>
      <c r="P24" s="6">
        <v>134.30000000000001</v>
      </c>
      <c r="Q24" s="2"/>
      <c r="R24" s="7">
        <f t="shared" si="10"/>
        <v>1.3336007816906446E-2</v>
      </c>
      <c r="S24" s="2"/>
      <c r="T24" s="6"/>
      <c r="U24" s="2"/>
      <c r="V24" s="7">
        <f t="shared" si="11"/>
        <v>0</v>
      </c>
      <c r="W24" s="2"/>
      <c r="X24" s="6">
        <f t="shared" si="12"/>
        <v>134.30000000000001</v>
      </c>
      <c r="Y24" s="2"/>
      <c r="Z24" s="7">
        <f t="shared" si="13"/>
        <v>0</v>
      </c>
    </row>
    <row r="25" spans="1:26" s="24" customFormat="1" hidden="1" outlineLevel="2" x14ac:dyDescent="0.25">
      <c r="A25" s="26"/>
      <c r="B25" s="11" t="str">
        <f>CONCATENATE("          ", "6114", " - ", "STATE UNEMPLOYMENT INSURANCE")</f>
        <v xml:space="preserve">          6114 - STATE UNEMPLOYMENT INSURANCE</v>
      </c>
      <c r="C25" s="11"/>
      <c r="D25" s="6">
        <v>103.39</v>
      </c>
      <c r="E25" s="2"/>
      <c r="F25" s="7">
        <f t="shared" si="6"/>
        <v>1.0266640716231998E-2</v>
      </c>
      <c r="G25" s="2"/>
      <c r="H25" s="6"/>
      <c r="I25" s="2"/>
      <c r="J25" s="7">
        <f t="shared" si="7"/>
        <v>0</v>
      </c>
      <c r="K25" s="2"/>
      <c r="L25" s="6">
        <f t="shared" si="8"/>
        <v>103.39</v>
      </c>
      <c r="M25" s="2"/>
      <c r="N25" s="7">
        <f t="shared" si="9"/>
        <v>0</v>
      </c>
      <c r="O25" s="11"/>
      <c r="P25" s="6">
        <v>103.39</v>
      </c>
      <c r="Q25" s="2"/>
      <c r="R25" s="7">
        <f t="shared" si="10"/>
        <v>1.0266640716231998E-2</v>
      </c>
      <c r="S25" s="2"/>
      <c r="T25" s="6"/>
      <c r="U25" s="2"/>
      <c r="V25" s="7">
        <f t="shared" si="11"/>
        <v>0</v>
      </c>
      <c r="W25" s="2"/>
      <c r="X25" s="6">
        <f t="shared" si="12"/>
        <v>103.39</v>
      </c>
      <c r="Y25" s="2"/>
      <c r="Z25" s="7">
        <f t="shared" si="13"/>
        <v>0</v>
      </c>
    </row>
    <row r="26" spans="1:26" s="24" customFormat="1" hidden="1" outlineLevel="2" x14ac:dyDescent="0.25">
      <c r="A26" s="26"/>
      <c r="B26" s="11" t="str">
        <f>CONCATENATE("          ", "6115", " - ", "P.E.R.S.")</f>
        <v xml:space="preserve">          6115 - P.E.R.S.</v>
      </c>
      <c r="C26" s="11"/>
      <c r="D26" s="6">
        <v>862.43</v>
      </c>
      <c r="E26" s="2"/>
      <c r="F26" s="7">
        <f t="shared" si="6"/>
        <v>8.5639413414256321E-2</v>
      </c>
      <c r="G26" s="2"/>
      <c r="H26" s="6"/>
      <c r="I26" s="2"/>
      <c r="J26" s="7">
        <f t="shared" si="7"/>
        <v>0</v>
      </c>
      <c r="K26" s="2"/>
      <c r="L26" s="6">
        <f t="shared" si="8"/>
        <v>862.43</v>
      </c>
      <c r="M26" s="2"/>
      <c r="N26" s="7">
        <f t="shared" si="9"/>
        <v>0</v>
      </c>
      <c r="O26" s="11"/>
      <c r="P26" s="6">
        <v>862.43</v>
      </c>
      <c r="Q26" s="2"/>
      <c r="R26" s="7">
        <f t="shared" si="10"/>
        <v>8.5639413414256321E-2</v>
      </c>
      <c r="S26" s="2"/>
      <c r="T26" s="6"/>
      <c r="U26" s="2"/>
      <c r="V26" s="7">
        <f t="shared" si="11"/>
        <v>0</v>
      </c>
      <c r="W26" s="2"/>
      <c r="X26" s="6">
        <f t="shared" si="12"/>
        <v>862.43</v>
      </c>
      <c r="Y26" s="2"/>
      <c r="Z26" s="7">
        <f t="shared" si="13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1508.13</v>
      </c>
      <c r="E27" s="2"/>
      <c r="F27" s="7">
        <f t="shared" si="6"/>
        <v>0.14975750907603214</v>
      </c>
      <c r="G27" s="2"/>
      <c r="H27" s="6"/>
      <c r="I27" s="2"/>
      <c r="J27" s="7">
        <f t="shared" si="7"/>
        <v>0</v>
      </c>
      <c r="K27" s="2"/>
      <c r="L27" s="6">
        <f t="shared" si="8"/>
        <v>1508.13</v>
      </c>
      <c r="M27" s="2"/>
      <c r="N27" s="7">
        <f t="shared" si="9"/>
        <v>0</v>
      </c>
      <c r="O27" s="11"/>
      <c r="P27" s="6">
        <v>1508.13</v>
      </c>
      <c r="Q27" s="2"/>
      <c r="R27" s="7">
        <f t="shared" si="10"/>
        <v>0.14975750907603214</v>
      </c>
      <c r="S27" s="2"/>
      <c r="T27" s="6"/>
      <c r="U27" s="2"/>
      <c r="V27" s="7">
        <f t="shared" si="11"/>
        <v>0</v>
      </c>
      <c r="W27" s="2"/>
      <c r="X27" s="6">
        <f t="shared" si="12"/>
        <v>1508.13</v>
      </c>
      <c r="Y27" s="2"/>
      <c r="Z27" s="7">
        <f t="shared" si="13"/>
        <v>0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1280.01</v>
      </c>
      <c r="E28" s="2"/>
      <c r="F28" s="7">
        <f t="shared" si="6"/>
        <v>0.12710516281249754</v>
      </c>
      <c r="G28" s="2"/>
      <c r="H28" s="6"/>
      <c r="I28" s="2"/>
      <c r="J28" s="7">
        <f t="shared" si="7"/>
        <v>0</v>
      </c>
      <c r="K28" s="2"/>
      <c r="L28" s="6">
        <f t="shared" si="8"/>
        <v>1280.01</v>
      </c>
      <c r="M28" s="2"/>
      <c r="N28" s="7">
        <f t="shared" si="9"/>
        <v>0</v>
      </c>
      <c r="O28" s="11"/>
      <c r="P28" s="6">
        <v>1280.01</v>
      </c>
      <c r="Q28" s="2"/>
      <c r="R28" s="7">
        <f t="shared" si="10"/>
        <v>0.12710516281249754</v>
      </c>
      <c r="S28" s="2"/>
      <c r="T28" s="6"/>
      <c r="U28" s="2"/>
      <c r="V28" s="7">
        <f t="shared" si="11"/>
        <v>0</v>
      </c>
      <c r="W28" s="2"/>
      <c r="X28" s="6">
        <f t="shared" si="12"/>
        <v>1280.01</v>
      </c>
      <c r="Y28" s="2"/>
      <c r="Z28" s="7">
        <f t="shared" si="13"/>
        <v>0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32205.57</v>
      </c>
      <c r="E29" s="1"/>
      <c r="F29" s="5">
        <f t="shared" ref="F29:F33" si="14">IF(D$12=0,0,D29/D$12)</f>
        <v>3.198017373551211</v>
      </c>
      <c r="G29" s="1"/>
      <c r="H29" s="1">
        <f>SUM(OSRRefH22_1x_0)</f>
        <v>0</v>
      </c>
      <c r="I29" s="1"/>
      <c r="J29" s="5">
        <f t="shared" ref="J29:J33" si="15">IF(H$12=0,0,H29/H$12)</f>
        <v>0</v>
      </c>
      <c r="K29" s="1"/>
      <c r="L29" s="1">
        <f t="shared" ref="L29:L33" si="16">+D29-H29</f>
        <v>32205.57</v>
      </c>
      <c r="M29" s="1"/>
      <c r="N29" s="5">
        <f t="shared" ref="N29:N33" si="17">IF(H29=0,0,L29/H29)</f>
        <v>0</v>
      </c>
      <c r="O29" s="13"/>
      <c r="P29" s="1">
        <f>SUM(OSRRefP22_1x_0)</f>
        <v>39101.57</v>
      </c>
      <c r="Q29" s="1"/>
      <c r="R29" s="5">
        <f t="shared" ref="R29:R33" si="18">IF(P$12=0,0,P29/P$12)</f>
        <v>3.8827910884088941</v>
      </c>
      <c r="S29" s="1"/>
      <c r="T29" s="1">
        <f>SUM(OSRRefT22_1x_0)</f>
        <v>0</v>
      </c>
      <c r="U29" s="1"/>
      <c r="V29" s="5">
        <f t="shared" ref="V29:V33" si="19">IF(T$12=0,0,T29/T$12)</f>
        <v>0</v>
      </c>
      <c r="W29" s="1"/>
      <c r="X29" s="1">
        <f t="shared" ref="X29:X33" si="20">+P29-T29</f>
        <v>39101.57</v>
      </c>
      <c r="Y29" s="1"/>
      <c r="Z29" s="5">
        <f t="shared" ref="Z29:Z33" si="21">IF(T29=0,0,X29/T29)</f>
        <v>0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21707.64</v>
      </c>
      <c r="E30" s="2"/>
      <c r="F30" s="7">
        <f t="shared" si="14"/>
        <v>2.1555715318435666</v>
      </c>
      <c r="G30" s="2"/>
      <c r="H30" s="6"/>
      <c r="I30" s="2"/>
      <c r="J30" s="7">
        <f t="shared" si="15"/>
        <v>0</v>
      </c>
      <c r="K30" s="2"/>
      <c r="L30" s="6">
        <f t="shared" si="16"/>
        <v>21707.64</v>
      </c>
      <c r="M30" s="2"/>
      <c r="N30" s="7">
        <f t="shared" si="17"/>
        <v>0</v>
      </c>
      <c r="O30" s="11"/>
      <c r="P30" s="6">
        <v>26332.639999999999</v>
      </c>
      <c r="Q30" s="2"/>
      <c r="R30" s="7">
        <f t="shared" si="18"/>
        <v>2.6148346454190863</v>
      </c>
      <c r="S30" s="2"/>
      <c r="T30" s="6"/>
      <c r="U30" s="2"/>
      <c r="V30" s="7">
        <f t="shared" si="19"/>
        <v>0</v>
      </c>
      <c r="W30" s="2"/>
      <c r="X30" s="6">
        <f t="shared" si="20"/>
        <v>26332.639999999999</v>
      </c>
      <c r="Y30" s="2"/>
      <c r="Z30" s="7">
        <f t="shared" si="21"/>
        <v>0</v>
      </c>
    </row>
    <row r="31" spans="1:26" s="24" customFormat="1" hidden="1" outlineLevel="2" x14ac:dyDescent="0.25">
      <c r="A31" s="26"/>
      <c r="B31" s="11" t="str">
        <f>CONCATENATE("          ", "6005", " - ", "TEMPORARY WAGES-HOURLY")</f>
        <v xml:space="preserve">          6005 - TEMPORARY WAGES-HOURLY</v>
      </c>
      <c r="C31" s="11"/>
      <c r="D31" s="6">
        <v>3401.59</v>
      </c>
      <c r="E31" s="2"/>
      <c r="F31" s="7">
        <f t="shared" si="14"/>
        <v>0.33777833827185993</v>
      </c>
      <c r="G31" s="2"/>
      <c r="H31" s="6"/>
      <c r="I31" s="2"/>
      <c r="J31" s="7">
        <f t="shared" si="15"/>
        <v>0</v>
      </c>
      <c r="K31" s="2"/>
      <c r="L31" s="6">
        <f t="shared" si="16"/>
        <v>3401.59</v>
      </c>
      <c r="M31" s="2"/>
      <c r="N31" s="7">
        <f t="shared" si="17"/>
        <v>0</v>
      </c>
      <c r="O31" s="11"/>
      <c r="P31" s="6">
        <v>3401.59</v>
      </c>
      <c r="Q31" s="2"/>
      <c r="R31" s="7">
        <f t="shared" si="18"/>
        <v>0.33777833827185993</v>
      </c>
      <c r="S31" s="2"/>
      <c r="T31" s="6"/>
      <c r="U31" s="2"/>
      <c r="V31" s="7">
        <f t="shared" si="19"/>
        <v>0</v>
      </c>
      <c r="W31" s="2"/>
      <c r="X31" s="6">
        <f t="shared" si="20"/>
        <v>3401.59</v>
      </c>
      <c r="Y31" s="2"/>
      <c r="Z31" s="7">
        <f t="shared" si="21"/>
        <v>0</v>
      </c>
    </row>
    <row r="32" spans="1:26" s="24" customFormat="1" hidden="1" outlineLevel="2" x14ac:dyDescent="0.25">
      <c r="A32" s="26"/>
      <c r="B32" s="11" t="str">
        <f>CONCATENATE("          ", "6007", " - ", "STUDENT HOURLY")</f>
        <v xml:space="preserve">          6007 - STUDENT HOURLY</v>
      </c>
      <c r="C32" s="11"/>
      <c r="D32" s="6">
        <v>5292.59</v>
      </c>
      <c r="E32" s="2"/>
      <c r="F32" s="7">
        <f t="shared" si="14"/>
        <v>0.52555488914133197</v>
      </c>
      <c r="G32" s="2"/>
      <c r="H32" s="6"/>
      <c r="I32" s="2"/>
      <c r="J32" s="7">
        <f t="shared" si="15"/>
        <v>0</v>
      </c>
      <c r="K32" s="2"/>
      <c r="L32" s="6">
        <f t="shared" si="16"/>
        <v>5292.59</v>
      </c>
      <c r="M32" s="2"/>
      <c r="N32" s="7">
        <f t="shared" si="17"/>
        <v>0</v>
      </c>
      <c r="O32" s="11"/>
      <c r="P32" s="6">
        <v>7563.59</v>
      </c>
      <c r="Q32" s="2"/>
      <c r="R32" s="7">
        <f t="shared" si="18"/>
        <v>0.75106549042349524</v>
      </c>
      <c r="S32" s="2"/>
      <c r="T32" s="6"/>
      <c r="U32" s="2"/>
      <c r="V32" s="7">
        <f t="shared" si="19"/>
        <v>0</v>
      </c>
      <c r="W32" s="2"/>
      <c r="X32" s="6">
        <f t="shared" si="20"/>
        <v>7563.59</v>
      </c>
      <c r="Y32" s="2"/>
      <c r="Z32" s="7">
        <f t="shared" si="21"/>
        <v>0</v>
      </c>
    </row>
    <row r="33" spans="1:26" s="24" customFormat="1" hidden="1" outlineLevel="2" x14ac:dyDescent="0.25">
      <c r="A33" s="26"/>
      <c r="B33" s="11" t="str">
        <f>CONCATENATE("          ", "6008", " - ", "STUDENT HOURLY-FICA EXEMPT")</f>
        <v xml:space="preserve">          6008 - STUDENT HOURLY-FICA EXEMPT</v>
      </c>
      <c r="C33" s="11"/>
      <c r="D33" s="6">
        <v>1803.75</v>
      </c>
      <c r="E33" s="2"/>
      <c r="F33" s="7">
        <f t="shared" si="14"/>
        <v>0.17911261429445272</v>
      </c>
      <c r="G33" s="2"/>
      <c r="H33" s="6"/>
      <c r="I33" s="2"/>
      <c r="J33" s="7">
        <f t="shared" si="15"/>
        <v>0</v>
      </c>
      <c r="K33" s="2"/>
      <c r="L33" s="6">
        <f t="shared" si="16"/>
        <v>1803.75</v>
      </c>
      <c r="M33" s="2"/>
      <c r="N33" s="7">
        <f t="shared" si="17"/>
        <v>0</v>
      </c>
      <c r="O33" s="11"/>
      <c r="P33" s="6">
        <v>1803.75</v>
      </c>
      <c r="Q33" s="2"/>
      <c r="R33" s="7">
        <f t="shared" si="18"/>
        <v>0.17911261429445272</v>
      </c>
      <c r="S33" s="2"/>
      <c r="T33" s="6"/>
      <c r="U33" s="2"/>
      <c r="V33" s="7">
        <f t="shared" si="19"/>
        <v>0</v>
      </c>
      <c r="W33" s="2"/>
      <c r="X33" s="6">
        <f t="shared" si="20"/>
        <v>1803.75</v>
      </c>
      <c r="Y33" s="2"/>
      <c r="Z33" s="7">
        <f t="shared" si="21"/>
        <v>0</v>
      </c>
    </row>
    <row r="34" spans="1:26" s="27" customFormat="1" outlineLevel="1" collapsed="1" x14ac:dyDescent="0.25">
      <c r="A34" s="25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SUM(OSRRefD22_2x_0)</f>
        <v>0</v>
      </c>
      <c r="E34" s="1"/>
      <c r="F34" s="5">
        <f t="shared" ref="F34:F37" si="22">IF(D$12=0,0,D34/D$12)</f>
        <v>0</v>
      </c>
      <c r="G34" s="1"/>
      <c r="H34" s="1">
        <f>SUM(OSRRefH22_2x_0)</f>
        <v>0</v>
      </c>
      <c r="I34" s="1"/>
      <c r="J34" s="5">
        <f t="shared" ref="J34:J37" si="23">IF(H$12=0,0,H34/H$12)</f>
        <v>0</v>
      </c>
      <c r="K34" s="1"/>
      <c r="L34" s="1">
        <f t="shared" ref="L34:L37" si="24">+D34-H34</f>
        <v>0</v>
      </c>
      <c r="M34" s="1"/>
      <c r="N34" s="5">
        <f t="shared" ref="N34:N37" si="25">IF(H34=0,0,L34/H34)</f>
        <v>0</v>
      </c>
      <c r="O34" s="13"/>
      <c r="P34" s="1">
        <f>SUM(OSRRefP22_2x_0)</f>
        <v>1151.21</v>
      </c>
      <c r="Q34" s="1"/>
      <c r="R34" s="5">
        <f t="shared" ref="R34:R37" si="26">IF(P$12=0,0,P34/P$12)</f>
        <v>0.11431530572524845</v>
      </c>
      <c r="S34" s="1"/>
      <c r="T34" s="1">
        <f>SUM(OSRRefT22_2x_0)</f>
        <v>0</v>
      </c>
      <c r="U34" s="1"/>
      <c r="V34" s="5">
        <f t="shared" ref="V34:V37" si="27">IF(T$12=0,0,T34/T$12)</f>
        <v>0</v>
      </c>
      <c r="W34" s="1"/>
      <c r="X34" s="1">
        <f t="shared" ref="X34:X37" si="28">+P34-T34</f>
        <v>1151.21</v>
      </c>
      <c r="Y34" s="1"/>
      <c r="Z34" s="5">
        <f t="shared" ref="Z34:Z37" si="29">IF(T34=0,0,X34/T34)</f>
        <v>0</v>
      </c>
    </row>
    <row r="35" spans="1:26" s="24" customFormat="1" hidden="1" outlineLevel="2" x14ac:dyDescent="0.25">
      <c r="A35" s="26"/>
      <c r="B35" s="11" t="str">
        <f>CONCATENATE("          ", "6375", " - ", "OUTSIDE REPAIRS &amp; MAINTENANCE")</f>
        <v xml:space="preserve">          6375 - OUTSIDE REPAIRS &amp; MAINTENANCE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>
        <v>1151.21</v>
      </c>
      <c r="Q35" s="2"/>
      <c r="R35" s="7">
        <f t="shared" si="26"/>
        <v>0.11431530572524845</v>
      </c>
      <c r="S35" s="2"/>
      <c r="T35" s="6"/>
      <c r="U35" s="2"/>
      <c r="V35" s="7">
        <f t="shared" si="27"/>
        <v>0</v>
      </c>
      <c r="W35" s="2"/>
      <c r="X35" s="6">
        <f t="shared" si="28"/>
        <v>1151.21</v>
      </c>
      <c r="Y35" s="2"/>
      <c r="Z35" s="7">
        <f t="shared" si="29"/>
        <v>0</v>
      </c>
    </row>
    <row r="36" spans="1:26" s="27" customFormat="1" outlineLevel="1" collapsed="1" x14ac:dyDescent="0.25">
      <c r="A36" s="25"/>
      <c r="B36" s="13" t="str">
        <f>CONCATENATE("     ","Supplies                                          ")</f>
        <v xml:space="preserve">     Supplies                                          </v>
      </c>
      <c r="C36" s="13"/>
      <c r="D36" s="1">
        <f>SUM(OSRRefD22_3x_0)</f>
        <v>579.98</v>
      </c>
      <c r="E36" s="1"/>
      <c r="F36" s="5">
        <f t="shared" si="22"/>
        <v>5.7592090943033504E-2</v>
      </c>
      <c r="G36" s="1"/>
      <c r="H36" s="1">
        <f>SUM(OSRRefH22_3x_0)</f>
        <v>0</v>
      </c>
      <c r="I36" s="1"/>
      <c r="J36" s="5">
        <f t="shared" si="23"/>
        <v>0</v>
      </c>
      <c r="K36" s="1"/>
      <c r="L36" s="1">
        <f t="shared" si="24"/>
        <v>579.98</v>
      </c>
      <c r="M36" s="1"/>
      <c r="N36" s="5">
        <f t="shared" si="25"/>
        <v>0</v>
      </c>
      <c r="O36" s="13"/>
      <c r="P36" s="1">
        <f>SUM(OSRRefP22_3x_0)</f>
        <v>579.98</v>
      </c>
      <c r="Q36" s="1"/>
      <c r="R36" s="5">
        <f t="shared" si="26"/>
        <v>5.7592090943033504E-2</v>
      </c>
      <c r="S36" s="1"/>
      <c r="T36" s="1">
        <f>SUM(OSRRefT22_3x_0)</f>
        <v>0</v>
      </c>
      <c r="U36" s="1"/>
      <c r="V36" s="5">
        <f t="shared" si="27"/>
        <v>0</v>
      </c>
      <c r="W36" s="1"/>
      <c r="X36" s="1">
        <f t="shared" si="28"/>
        <v>579.98</v>
      </c>
      <c r="Y36" s="1"/>
      <c r="Z36" s="5">
        <f t="shared" si="29"/>
        <v>0</v>
      </c>
    </row>
    <row r="37" spans="1:26" s="24" customFormat="1" hidden="1" outlineLevel="2" x14ac:dyDescent="0.25">
      <c r="A37" s="26"/>
      <c r="B37" s="11" t="str">
        <f>CONCATENATE("          ", "6241", " - ", "OFFICE EXPENSE")</f>
        <v xml:space="preserve">          6241 - OFFICE EXPENSE</v>
      </c>
      <c r="C37" s="11"/>
      <c r="D37" s="6">
        <v>579.98</v>
      </c>
      <c r="E37" s="2"/>
      <c r="F37" s="7">
        <f t="shared" si="22"/>
        <v>5.7592090943033504E-2</v>
      </c>
      <c r="G37" s="2"/>
      <c r="H37" s="6"/>
      <c r="I37" s="2"/>
      <c r="J37" s="7">
        <f t="shared" si="23"/>
        <v>0</v>
      </c>
      <c r="K37" s="2"/>
      <c r="L37" s="6">
        <f t="shared" si="24"/>
        <v>579.98</v>
      </c>
      <c r="M37" s="2"/>
      <c r="N37" s="7">
        <f t="shared" si="25"/>
        <v>0</v>
      </c>
      <c r="O37" s="11"/>
      <c r="P37" s="6">
        <v>579.98</v>
      </c>
      <c r="Q37" s="2"/>
      <c r="R37" s="7">
        <f t="shared" si="26"/>
        <v>5.7592090943033504E-2</v>
      </c>
      <c r="S37" s="2"/>
      <c r="T37" s="6"/>
      <c r="U37" s="2"/>
      <c r="V37" s="7">
        <f t="shared" si="27"/>
        <v>0</v>
      </c>
      <c r="W37" s="2"/>
      <c r="X37" s="6">
        <f t="shared" si="28"/>
        <v>579.98</v>
      </c>
      <c r="Y37" s="2"/>
      <c r="Z37" s="7">
        <f t="shared" si="29"/>
        <v>0</v>
      </c>
    </row>
    <row r="38" spans="1:26" s="55" customFormat="1" x14ac:dyDescent="0.25">
      <c r="A38" s="37"/>
      <c r="B38" s="37"/>
      <c r="C38" s="37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9" t="s">
        <v>0</v>
      </c>
      <c r="C39" s="10"/>
      <c r="D39" s="4">
        <f>SUM(0)</f>
        <v>0</v>
      </c>
      <c r="E39" s="4"/>
      <c r="F39" s="12">
        <f>IF(D$12=0,0,D39/D$12)</f>
        <v>0</v>
      </c>
      <c r="G39" s="4"/>
      <c r="H39" s="4">
        <f>SUM(0)</f>
        <v>0</v>
      </c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>
        <f>SUM(0)</f>
        <v>0</v>
      </c>
      <c r="Q39" s="4"/>
      <c r="R39" s="12">
        <f>IF(P$12=0,0,P39/P$12)</f>
        <v>0</v>
      </c>
      <c r="S39" s="4"/>
      <c r="T39" s="4">
        <f>SUM(0)</f>
        <v>0</v>
      </c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25">
      <c r="A41" s="10"/>
      <c r="B41" s="28" t="s">
        <v>3</v>
      </c>
      <c r="C41" s="28"/>
      <c r="D41" s="21">
        <f>+D18-D20+D39</f>
        <v>-31485.030000000002</v>
      </c>
      <c r="E41" s="14"/>
      <c r="F41" s="22">
        <f>IF(D$12=0,0,D41/D$12)</f>
        <v>-3.1264676559607887</v>
      </c>
      <c r="G41" s="14"/>
      <c r="H41" s="21">
        <f>+H18-H20+H39</f>
        <v>0</v>
      </c>
      <c r="I41" s="14"/>
      <c r="J41" s="22">
        <f>IF(H$12=0,0,H41/H$12)</f>
        <v>0</v>
      </c>
      <c r="K41" s="16"/>
      <c r="L41" s="21">
        <f>+D41-H41</f>
        <v>-31485.030000000002</v>
      </c>
      <c r="M41" s="16"/>
      <c r="N41" s="22">
        <f>IF(H41=0,0,L41/H41)</f>
        <v>0</v>
      </c>
      <c r="O41" s="29"/>
      <c r="P41" s="21">
        <f>+P18-P20+P39</f>
        <v>-39532.240000000005</v>
      </c>
      <c r="Q41" s="14"/>
      <c r="R41" s="22">
        <f>IF(P$12=0,0,P41/P$12)</f>
        <v>-3.9255566765437204</v>
      </c>
      <c r="S41" s="14"/>
      <c r="T41" s="21">
        <f>+T18-T20+T39</f>
        <v>0</v>
      </c>
      <c r="U41" s="14"/>
      <c r="V41" s="22">
        <f>IF(T$12=0,0,T41/T$12)</f>
        <v>0</v>
      </c>
      <c r="W41" s="16"/>
      <c r="X41" s="21">
        <f>+P41-T41</f>
        <v>-39532.240000000005</v>
      </c>
      <c r="Y41" s="16"/>
      <c r="Z41" s="22">
        <f>IF(T41=0,0,X41/T41)</f>
        <v>0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51"/>
      <c r="B43" s="10" t="s">
        <v>13</v>
      </c>
      <c r="C43" s="10"/>
      <c r="D43" s="4">
        <v>1013.72</v>
      </c>
      <c r="E43" s="4"/>
      <c r="F43" s="12">
        <f>IF(D$12=0,0,D43/D$12)</f>
        <v>0.10066253048514073</v>
      </c>
      <c r="G43" s="4"/>
      <c r="H43" s="4"/>
      <c r="I43" s="4"/>
      <c r="J43" s="12">
        <f>IF(H$12=0,0,H43/H$12)</f>
        <v>0</v>
      </c>
      <c r="K43" s="4"/>
      <c r="L43" s="4">
        <f>+D43-H43</f>
        <v>1013.72</v>
      </c>
      <c r="M43" s="4"/>
      <c r="N43" s="12">
        <f>IF(H43=0,0,L43/H43)</f>
        <v>0</v>
      </c>
      <c r="O43" s="10"/>
      <c r="P43" s="4">
        <v>1013.72</v>
      </c>
      <c r="Q43" s="4"/>
      <c r="R43" s="12">
        <f>IF(P$12=0,0,P43/P$12)</f>
        <v>0.10066253048514073</v>
      </c>
      <c r="S43" s="4"/>
      <c r="T43" s="4"/>
      <c r="U43" s="4"/>
      <c r="V43" s="12">
        <f>IF(T$12=0,0,T43/T$12)</f>
        <v>0</v>
      </c>
      <c r="W43" s="4"/>
      <c r="X43" s="4">
        <f>+P43-T43</f>
        <v>1013.72</v>
      </c>
      <c r="Y43" s="4"/>
      <c r="Z43" s="12">
        <f>IF(T43=0,0,X43/T43)</f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ht="15.75" thickBot="1" x14ac:dyDescent="0.3">
      <c r="A45" s="10"/>
      <c r="B45" s="28" t="s">
        <v>4</v>
      </c>
      <c r="C45" s="28"/>
      <c r="D45" s="31">
        <f>+D41-D43</f>
        <v>-32498.750000000004</v>
      </c>
      <c r="E45" s="14"/>
      <c r="F45" s="34">
        <f>IF(D$12=0,0,D45/D$12)</f>
        <v>-3.2271301864459296</v>
      </c>
      <c r="G45" s="14"/>
      <c r="H45" s="31">
        <f>+H41-H43</f>
        <v>0</v>
      </c>
      <c r="I45" s="14"/>
      <c r="J45" s="34">
        <f>IF(H$12=0,0,H45/H$12)</f>
        <v>0</v>
      </c>
      <c r="K45" s="16"/>
      <c r="L45" s="31">
        <f>D45-H45</f>
        <v>-32498.750000000004</v>
      </c>
      <c r="M45" s="16"/>
      <c r="N45" s="34">
        <f>IF(H45=0,0,L45/H45)</f>
        <v>0</v>
      </c>
      <c r="O45" s="29"/>
      <c r="P45" s="31">
        <f>+P41-P43</f>
        <v>-40545.960000000006</v>
      </c>
      <c r="Q45" s="14"/>
      <c r="R45" s="34">
        <f>IF(P$12=0,0,P45/P$12)</f>
        <v>-4.0262192070288618</v>
      </c>
      <c r="S45" s="14"/>
      <c r="T45" s="31">
        <f>+T41-T43</f>
        <v>0</v>
      </c>
      <c r="U45" s="14"/>
      <c r="V45" s="34">
        <f>IF(T$12=0,0,T45/T$12)</f>
        <v>0</v>
      </c>
      <c r="W45" s="16"/>
      <c r="X45" s="31">
        <f>P45-T45</f>
        <v>-40545.960000000006</v>
      </c>
      <c r="Y45" s="16"/>
      <c r="Z45" s="34">
        <f>IF(T45=0,0,X45/T45)</f>
        <v>0</v>
      </c>
    </row>
    <row r="46" spans="1:26" ht="15.75" thickTop="1" x14ac:dyDescent="0.25">
      <c r="A46" s="9"/>
      <c r="B46" s="9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x14ac:dyDescent="0.25">
      <c r="A47" s="9"/>
      <c r="B47" s="9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.75" thickBot="1" x14ac:dyDescent="0.3">
      <c r="A48" s="10"/>
      <c r="B48" s="28" t="s">
        <v>5</v>
      </c>
      <c r="C48" s="28"/>
      <c r="D48" s="36">
        <f>SUM(D45:D47)</f>
        <v>-32498.750000000004</v>
      </c>
      <c r="E48" s="14"/>
      <c r="F48" s="33">
        <f>IF(D$12=0,0,D48/D$12)</f>
        <v>-3.2271301864459296</v>
      </c>
      <c r="G48" s="14"/>
      <c r="H48" s="36">
        <f>SUM(H45:H47)</f>
        <v>0</v>
      </c>
      <c r="I48" s="14"/>
      <c r="J48" s="33">
        <f>IF(H$12=0,0,H48/H$12)</f>
        <v>0</v>
      </c>
      <c r="K48" s="16"/>
      <c r="L48" s="36">
        <f>+D48-H48</f>
        <v>-32498.750000000004</v>
      </c>
      <c r="M48" s="16"/>
      <c r="N48" s="33">
        <f>IF(H48=0,0,L48/H48)</f>
        <v>0</v>
      </c>
      <c r="O48" s="29"/>
      <c r="P48" s="36">
        <f>SUM(P45:P47)</f>
        <v>-40545.960000000006</v>
      </c>
      <c r="Q48" s="14"/>
      <c r="R48" s="33">
        <f>IF(P$12=0,0,P48/P$12)</f>
        <v>-4.0262192070288618</v>
      </c>
      <c r="S48" s="14"/>
      <c r="T48" s="36">
        <f>SUM(T45:T47)</f>
        <v>0</v>
      </c>
      <c r="U48" s="14"/>
      <c r="V48" s="33">
        <f>IF(T$12=0,0,T48/T$12)</f>
        <v>0</v>
      </c>
      <c r="W48" s="16"/>
      <c r="X48" s="36">
        <f>+P48-T48</f>
        <v>-40545.960000000006</v>
      </c>
      <c r="Y48" s="16"/>
      <c r="Z48" s="33">
        <f>IF(T48=0,0,X48/T48)</f>
        <v>0</v>
      </c>
    </row>
    <row r="49" spans="1:24" ht="15.75" thickTop="1" x14ac:dyDescent="0.25">
      <c r="A49" s="9"/>
      <c r="C49" s="9"/>
      <c r="D49" s="18"/>
      <c r="E49" s="18"/>
      <c r="G49" s="18"/>
      <c r="H49" s="18"/>
      <c r="I49" s="18"/>
      <c r="J49" s="42"/>
      <c r="K49" s="18"/>
      <c r="L49" s="18"/>
      <c r="M49" s="18"/>
      <c r="P49" s="18"/>
      <c r="Q49" s="18"/>
      <c r="R49" s="42"/>
      <c r="S49" s="18"/>
      <c r="T49" s="18"/>
      <c r="U49" s="18"/>
      <c r="V49" s="42"/>
      <c r="W49" s="18"/>
      <c r="X49" s="18"/>
    </row>
    <row r="50" spans="1:24" x14ac:dyDescent="0.25">
      <c r="A50" s="9"/>
      <c r="B50" s="61">
        <v>43791.35569679398</v>
      </c>
      <c r="D50" s="18"/>
      <c r="E50" s="18"/>
      <c r="G50" s="18"/>
      <c r="H50" s="18"/>
      <c r="I50" s="18"/>
      <c r="J50" s="42"/>
      <c r="K50" s="18"/>
      <c r="L50" s="18"/>
      <c r="M50" s="18"/>
      <c r="P50" s="18"/>
      <c r="Q50" s="18"/>
      <c r="R50" s="42"/>
      <c r="S50" s="18"/>
      <c r="T50" s="18"/>
      <c r="U50" s="18"/>
      <c r="V50" s="42"/>
      <c r="W50" s="18"/>
      <c r="X50" s="18"/>
    </row>
    <row r="51" spans="1:24" x14ac:dyDescent="0.25">
      <c r="A51" s="9"/>
      <c r="B51" s="56" t="s">
        <v>313</v>
      </c>
      <c r="D51" s="18"/>
      <c r="E51" s="18"/>
      <c r="G51" s="18"/>
      <c r="H51" s="18"/>
      <c r="I51" s="18"/>
      <c r="J51" s="42"/>
      <c r="K51" s="18"/>
      <c r="L51" s="18"/>
      <c r="M51" s="18"/>
      <c r="P51" s="18"/>
      <c r="Q51" s="18"/>
      <c r="R51" s="42"/>
      <c r="S51" s="18"/>
      <c r="T51" s="18"/>
      <c r="U51" s="18"/>
      <c r="V51" s="42"/>
      <c r="W51" s="18"/>
      <c r="X51" s="18"/>
    </row>
    <row r="52" spans="1:24" x14ac:dyDescent="0.25">
      <c r="A52" s="9"/>
      <c r="B52" s="57"/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  <row r="53" spans="1:24" x14ac:dyDescent="0.25"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","423", " - ", "Contract Revenue")</f>
        <v>Department 423 - Contract Revenue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D12-D14</f>
        <v>0</v>
      </c>
      <c r="E17" s="14"/>
      <c r="F17" s="22">
        <f>IF(D$12=0,0,D17/D$12)</f>
        <v>0</v>
      </c>
      <c r="G17" s="14"/>
      <c r="H17" s="21">
        <f>H12-H14</f>
        <v>0</v>
      </c>
      <c r="I17" s="14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9"/>
      <c r="P17" s="21">
        <f>P12-P14</f>
        <v>805.48</v>
      </c>
      <c r="Q17" s="14"/>
      <c r="R17" s="22">
        <f>IF(P$12=0,0,P17/P$12)</f>
        <v>0</v>
      </c>
      <c r="S17" s="14"/>
      <c r="T17" s="21">
        <f>T12-T14</f>
        <v>0</v>
      </c>
      <c r="U17" s="14"/>
      <c r="V17" s="22">
        <f>IF(T$12=0,0,T17/T$12)</f>
        <v>0</v>
      </c>
      <c r="W17" s="16"/>
      <c r="X17" s="21">
        <f>+P17-T17</f>
        <v>805.48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0">
        <f>SUM(OSRRefD22x_0)</f>
        <v>14525.01</v>
      </c>
      <c r="E19" s="20"/>
      <c r="F19" s="35">
        <f t="shared" ref="F19:F28" si="8">IF(D$12=0,0,D19/D$12)</f>
        <v>0</v>
      </c>
      <c r="G19" s="20"/>
      <c r="H19" s="20">
        <f>SUM(OSRRefH22x_0)</f>
        <v>12297.11</v>
      </c>
      <c r="I19" s="20"/>
      <c r="J19" s="35">
        <f t="shared" ref="J19:J28" si="9">IF(H$12=0,0,H19/H$12)</f>
        <v>0</v>
      </c>
      <c r="K19" s="4"/>
      <c r="L19" s="20">
        <f t="shared" ref="L19:L28" si="10">+D19-H19</f>
        <v>2227.8999999999996</v>
      </c>
      <c r="M19" s="4"/>
      <c r="N19" s="35">
        <f t="shared" ref="N19:N28" si="11">IF(H19=0,0,L19/H19)</f>
        <v>0.18117264950870565</v>
      </c>
      <c r="O19" s="10"/>
      <c r="P19" s="20">
        <f>SUM(OSRRefP22x_0)</f>
        <v>54447.63</v>
      </c>
      <c r="Q19" s="20"/>
      <c r="R19" s="35">
        <f t="shared" ref="R19:R28" si="12">IF(P$12=0,0,P19/P$12)</f>
        <v>0</v>
      </c>
      <c r="S19" s="20"/>
      <c r="T19" s="20">
        <f>SUM(OSRRefT22x_0)</f>
        <v>40294.33</v>
      </c>
      <c r="U19" s="20"/>
      <c r="V19" s="35">
        <f t="shared" ref="V19:V28" si="13">IF(T$12=0,0,T19/T$12)</f>
        <v>0</v>
      </c>
      <c r="W19" s="4"/>
      <c r="X19" s="20">
        <f t="shared" ref="X19:X28" si="14">+P19-T19</f>
        <v>14153.299999999996</v>
      </c>
      <c r="Y19" s="4"/>
      <c r="Z19" s="35">
        <f t="shared" ref="Z19:Z28" si="15">IF(T19=0,0,X19/T19)</f>
        <v>0.35124792991966847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5573.4299999999994</v>
      </c>
      <c r="E20" s="1"/>
      <c r="F20" s="5">
        <f t="shared" si="8"/>
        <v>0</v>
      </c>
      <c r="G20" s="1"/>
      <c r="H20" s="1">
        <f>SUM(OSRRefH22_0x_0)</f>
        <v>5798.6</v>
      </c>
      <c r="I20" s="1"/>
      <c r="J20" s="5">
        <f t="shared" si="9"/>
        <v>0</v>
      </c>
      <c r="K20" s="1"/>
      <c r="L20" s="1">
        <f t="shared" si="10"/>
        <v>-225.17000000000098</v>
      </c>
      <c r="M20" s="1"/>
      <c r="N20" s="5">
        <f t="shared" si="11"/>
        <v>-3.8831786983065046E-2</v>
      </c>
      <c r="O20" s="13"/>
      <c r="P20" s="1">
        <f>SUM(OSRRefP22_0x_0)</f>
        <v>22046.57</v>
      </c>
      <c r="Q20" s="1"/>
      <c r="R20" s="5">
        <f t="shared" si="12"/>
        <v>0</v>
      </c>
      <c r="S20" s="1"/>
      <c r="T20" s="1">
        <f>SUM(OSRRefT22_0x_0)</f>
        <v>15171.050000000003</v>
      </c>
      <c r="U20" s="1"/>
      <c r="V20" s="5">
        <f t="shared" si="13"/>
        <v>0</v>
      </c>
      <c r="W20" s="1"/>
      <c r="X20" s="1">
        <f t="shared" si="14"/>
        <v>6875.5199999999968</v>
      </c>
      <c r="Y20" s="1"/>
      <c r="Z20" s="5">
        <f t="shared" si="15"/>
        <v>0.45320000922810189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2078.52</v>
      </c>
      <c r="E21" s="2"/>
      <c r="F21" s="7">
        <f t="shared" si="8"/>
        <v>0</v>
      </c>
      <c r="G21" s="2"/>
      <c r="H21" s="6">
        <v>1834.54</v>
      </c>
      <c r="I21" s="2"/>
      <c r="J21" s="7">
        <f t="shared" si="9"/>
        <v>0</v>
      </c>
      <c r="K21" s="2"/>
      <c r="L21" s="6">
        <f t="shared" si="10"/>
        <v>243.98000000000002</v>
      </c>
      <c r="M21" s="2"/>
      <c r="N21" s="7">
        <f t="shared" si="11"/>
        <v>0.13299246677641263</v>
      </c>
      <c r="O21" s="11"/>
      <c r="P21" s="6">
        <v>3163.28</v>
      </c>
      <c r="Q21" s="2"/>
      <c r="R21" s="7">
        <f t="shared" si="12"/>
        <v>0</v>
      </c>
      <c r="S21" s="2"/>
      <c r="T21" s="6">
        <v>2853.76</v>
      </c>
      <c r="U21" s="2"/>
      <c r="V21" s="7">
        <f t="shared" si="13"/>
        <v>0</v>
      </c>
      <c r="W21" s="2"/>
      <c r="X21" s="6">
        <f t="shared" si="14"/>
        <v>309.52</v>
      </c>
      <c r="Y21" s="2"/>
      <c r="Z21" s="7">
        <f t="shared" si="15"/>
        <v>0.1084604171338865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-289.72000000000003</v>
      </c>
      <c r="E22" s="2"/>
      <c r="F22" s="7">
        <f t="shared" si="8"/>
        <v>0</v>
      </c>
      <c r="G22" s="2"/>
      <c r="H22" s="6">
        <v>613.95000000000005</v>
      </c>
      <c r="I22" s="2"/>
      <c r="J22" s="7">
        <f t="shared" si="9"/>
        <v>0</v>
      </c>
      <c r="K22" s="2"/>
      <c r="L22" s="6">
        <f t="shared" si="10"/>
        <v>-903.67000000000007</v>
      </c>
      <c r="M22" s="2"/>
      <c r="N22" s="7">
        <f t="shared" si="11"/>
        <v>-1.4718951054646143</v>
      </c>
      <c r="O22" s="11"/>
      <c r="P22" s="6">
        <v>82.33</v>
      </c>
      <c r="Q22" s="2"/>
      <c r="R22" s="7">
        <f t="shared" si="12"/>
        <v>0</v>
      </c>
      <c r="S22" s="2"/>
      <c r="T22" s="6">
        <v>1000.26</v>
      </c>
      <c r="U22" s="2"/>
      <c r="V22" s="7">
        <f t="shared" si="13"/>
        <v>0</v>
      </c>
      <c r="W22" s="2"/>
      <c r="X22" s="6">
        <f t="shared" si="14"/>
        <v>-917.93</v>
      </c>
      <c r="Y22" s="2"/>
      <c r="Z22" s="7">
        <f t="shared" si="15"/>
        <v>-0.91769140023593865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1011.43</v>
      </c>
      <c r="E23" s="2"/>
      <c r="F23" s="7">
        <f t="shared" si="8"/>
        <v>0</v>
      </c>
      <c r="G23" s="2"/>
      <c r="H23" s="6">
        <v>1024.08</v>
      </c>
      <c r="I23" s="2"/>
      <c r="J23" s="7">
        <f t="shared" si="9"/>
        <v>0</v>
      </c>
      <c r="K23" s="2"/>
      <c r="L23" s="6">
        <f t="shared" si="10"/>
        <v>-12.649999999999977</v>
      </c>
      <c r="M23" s="2"/>
      <c r="N23" s="7">
        <f t="shared" si="11"/>
        <v>-1.235255058198576E-2</v>
      </c>
      <c r="O23" s="11"/>
      <c r="P23" s="6">
        <v>4045.72</v>
      </c>
      <c r="Q23" s="2"/>
      <c r="R23" s="7">
        <f t="shared" si="12"/>
        <v>0</v>
      </c>
      <c r="S23" s="2"/>
      <c r="T23" s="6">
        <v>3489.15</v>
      </c>
      <c r="U23" s="2"/>
      <c r="V23" s="7">
        <f t="shared" si="13"/>
        <v>0</v>
      </c>
      <c r="W23" s="2"/>
      <c r="X23" s="6">
        <f t="shared" si="14"/>
        <v>556.56999999999971</v>
      </c>
      <c r="Y23" s="2"/>
      <c r="Z23" s="7">
        <f t="shared" si="15"/>
        <v>0.15951449493429623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38.590000000000003</v>
      </c>
      <c r="E24" s="2"/>
      <c r="F24" s="7">
        <f t="shared" si="8"/>
        <v>0</v>
      </c>
      <c r="G24" s="2"/>
      <c r="H24" s="6">
        <v>34.06</v>
      </c>
      <c r="I24" s="2"/>
      <c r="J24" s="7">
        <f t="shared" si="9"/>
        <v>0</v>
      </c>
      <c r="K24" s="2"/>
      <c r="L24" s="6">
        <f t="shared" si="10"/>
        <v>4.5300000000000011</v>
      </c>
      <c r="M24" s="2"/>
      <c r="N24" s="7">
        <f t="shared" si="11"/>
        <v>0.13300058719906049</v>
      </c>
      <c r="O24" s="11"/>
      <c r="P24" s="6">
        <v>75.45</v>
      </c>
      <c r="Q24" s="2"/>
      <c r="R24" s="7">
        <f t="shared" si="12"/>
        <v>0</v>
      </c>
      <c r="S24" s="2"/>
      <c r="T24" s="6">
        <v>74.31</v>
      </c>
      <c r="U24" s="2"/>
      <c r="V24" s="7">
        <f t="shared" si="13"/>
        <v>0</v>
      </c>
      <c r="W24" s="2"/>
      <c r="X24" s="6">
        <f t="shared" si="14"/>
        <v>1.1400000000000006</v>
      </c>
      <c r="Y24" s="2"/>
      <c r="Z24" s="7">
        <f t="shared" si="15"/>
        <v>1.5341138473960443E-2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1517.09</v>
      </c>
      <c r="E25" s="2"/>
      <c r="F25" s="7">
        <f t="shared" si="8"/>
        <v>0</v>
      </c>
      <c r="G25" s="2"/>
      <c r="H25" s="6">
        <v>1232.6300000000001</v>
      </c>
      <c r="I25" s="2"/>
      <c r="J25" s="7">
        <f t="shared" si="9"/>
        <v>0</v>
      </c>
      <c r="K25" s="2"/>
      <c r="L25" s="6">
        <f t="shared" si="10"/>
        <v>284.45999999999981</v>
      </c>
      <c r="M25" s="2"/>
      <c r="N25" s="7">
        <f t="shared" si="11"/>
        <v>0.23077484727777176</v>
      </c>
      <c r="O25" s="11"/>
      <c r="P25" s="6">
        <v>2966.4</v>
      </c>
      <c r="Q25" s="2"/>
      <c r="R25" s="7">
        <f t="shared" si="12"/>
        <v>0</v>
      </c>
      <c r="S25" s="2"/>
      <c r="T25" s="6">
        <v>2688.99</v>
      </c>
      <c r="U25" s="2"/>
      <c r="V25" s="7">
        <f t="shared" si="13"/>
        <v>0</v>
      </c>
      <c r="W25" s="2"/>
      <c r="X25" s="6">
        <f t="shared" si="14"/>
        <v>277.41000000000031</v>
      </c>
      <c r="Y25" s="2"/>
      <c r="Z25" s="7">
        <f t="shared" si="15"/>
        <v>0.10316512891457399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697.17</v>
      </c>
      <c r="E26" s="2"/>
      <c r="F26" s="7">
        <f t="shared" si="8"/>
        <v>0</v>
      </c>
      <c r="G26" s="2"/>
      <c r="H26" s="6">
        <v>615.33000000000004</v>
      </c>
      <c r="I26" s="2"/>
      <c r="J26" s="7">
        <f t="shared" si="9"/>
        <v>0</v>
      </c>
      <c r="K26" s="2"/>
      <c r="L26" s="6">
        <f t="shared" si="10"/>
        <v>81.839999999999918</v>
      </c>
      <c r="M26" s="2"/>
      <c r="N26" s="7">
        <f t="shared" si="11"/>
        <v>0.13300180391009689</v>
      </c>
      <c r="O26" s="11"/>
      <c r="P26" s="6">
        <v>3454.25</v>
      </c>
      <c r="Q26" s="2"/>
      <c r="R26" s="7">
        <f t="shared" si="12"/>
        <v>0</v>
      </c>
      <c r="S26" s="2"/>
      <c r="T26" s="6">
        <v>2201.6999999999998</v>
      </c>
      <c r="U26" s="2"/>
      <c r="V26" s="7">
        <f t="shared" si="13"/>
        <v>0</v>
      </c>
      <c r="W26" s="2"/>
      <c r="X26" s="6">
        <f t="shared" si="14"/>
        <v>1252.5500000000002</v>
      </c>
      <c r="Y26" s="2"/>
      <c r="Z26" s="7">
        <f t="shared" si="15"/>
        <v>0.56890130353817514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348.12</v>
      </c>
      <c r="E27" s="2"/>
      <c r="F27" s="7">
        <f t="shared" si="8"/>
        <v>0</v>
      </c>
      <c r="G27" s="2"/>
      <c r="H27" s="6">
        <v>307.24</v>
      </c>
      <c r="I27" s="2"/>
      <c r="J27" s="7">
        <f t="shared" si="9"/>
        <v>0</v>
      </c>
      <c r="K27" s="2"/>
      <c r="L27" s="6">
        <f t="shared" si="10"/>
        <v>40.879999999999995</v>
      </c>
      <c r="M27" s="2"/>
      <c r="N27" s="7">
        <f t="shared" si="11"/>
        <v>0.13305559171982814</v>
      </c>
      <c r="O27" s="11"/>
      <c r="P27" s="6">
        <v>7655.8</v>
      </c>
      <c r="Q27" s="2"/>
      <c r="R27" s="7">
        <f t="shared" si="12"/>
        <v>0</v>
      </c>
      <c r="S27" s="2"/>
      <c r="T27" s="6">
        <v>2292.09</v>
      </c>
      <c r="U27" s="2"/>
      <c r="V27" s="7">
        <f t="shared" si="13"/>
        <v>0</v>
      </c>
      <c r="W27" s="2"/>
      <c r="X27" s="6">
        <f t="shared" si="14"/>
        <v>5363.71</v>
      </c>
      <c r="Y27" s="2"/>
      <c r="Z27" s="7">
        <f t="shared" si="15"/>
        <v>2.3400957204996313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172.23</v>
      </c>
      <c r="E28" s="2"/>
      <c r="F28" s="7">
        <f t="shared" si="8"/>
        <v>0</v>
      </c>
      <c r="G28" s="2"/>
      <c r="H28" s="6">
        <v>136.77000000000001</v>
      </c>
      <c r="I28" s="2"/>
      <c r="J28" s="7">
        <f t="shared" si="9"/>
        <v>0</v>
      </c>
      <c r="K28" s="2"/>
      <c r="L28" s="6">
        <f t="shared" si="10"/>
        <v>35.45999999999998</v>
      </c>
      <c r="M28" s="2"/>
      <c r="N28" s="7">
        <f t="shared" si="11"/>
        <v>0.25926738319806958</v>
      </c>
      <c r="O28" s="11"/>
      <c r="P28" s="6">
        <v>603.34</v>
      </c>
      <c r="Q28" s="2"/>
      <c r="R28" s="7">
        <f t="shared" si="12"/>
        <v>0</v>
      </c>
      <c r="S28" s="2"/>
      <c r="T28" s="6">
        <v>570.79</v>
      </c>
      <c r="U28" s="2"/>
      <c r="V28" s="7">
        <f t="shared" si="13"/>
        <v>0</v>
      </c>
      <c r="W28" s="2"/>
      <c r="X28" s="6">
        <f t="shared" si="14"/>
        <v>32.550000000000068</v>
      </c>
      <c r="Y28" s="2"/>
      <c r="Z28" s="7">
        <f t="shared" si="15"/>
        <v>5.7026226808458577E-2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5534.52</v>
      </c>
      <c r="E29" s="1"/>
      <c r="F29" s="5">
        <f t="shared" ref="F29:F38" si="16">IF(D$12=0,0,D29/D$12)</f>
        <v>0</v>
      </c>
      <c r="G29" s="1"/>
      <c r="H29" s="1">
        <f>SUM(OSRRefH22_1x_0)</f>
        <v>3996.99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1537.5300000000007</v>
      </c>
      <c r="M29" s="1"/>
      <c r="N29" s="5">
        <f t="shared" ref="N29:N38" si="19">IF(H29=0,0,L29/H29)</f>
        <v>0.38467196565415496</v>
      </c>
      <c r="O29" s="13"/>
      <c r="P29" s="1">
        <f>SUM(OSRRefP22_1x_0)</f>
        <v>18822.400000000001</v>
      </c>
      <c r="Q29" s="1"/>
      <c r="R29" s="5">
        <f t="shared" ref="R29:R38" si="20">IF(P$12=0,0,P29/P$12)</f>
        <v>0</v>
      </c>
      <c r="S29" s="1"/>
      <c r="T29" s="1">
        <f>SUM(OSRRefT22_1x_0)</f>
        <v>16209.14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2613.260000000002</v>
      </c>
      <c r="Y29" s="1"/>
      <c r="Z29" s="5">
        <f t="shared" ref="Z29:Z38" si="23">IF(T29=0,0,X29/T29)</f>
        <v>0.16122138497168895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5534.52</v>
      </c>
      <c r="E30" s="2"/>
      <c r="F30" s="7">
        <f t="shared" si="16"/>
        <v>0</v>
      </c>
      <c r="G30" s="2"/>
      <c r="H30" s="6">
        <v>3996.99</v>
      </c>
      <c r="I30" s="2"/>
      <c r="J30" s="7">
        <f t="shared" si="17"/>
        <v>0</v>
      </c>
      <c r="K30" s="2"/>
      <c r="L30" s="6">
        <f t="shared" si="18"/>
        <v>1537.5300000000007</v>
      </c>
      <c r="M30" s="2"/>
      <c r="N30" s="7">
        <f t="shared" si="19"/>
        <v>0.38467196565415496</v>
      </c>
      <c r="O30" s="11"/>
      <c r="P30" s="6">
        <v>18822.400000000001</v>
      </c>
      <c r="Q30" s="2"/>
      <c r="R30" s="7">
        <f t="shared" si="20"/>
        <v>0</v>
      </c>
      <c r="S30" s="2"/>
      <c r="T30" s="6">
        <v>16209.14</v>
      </c>
      <c r="U30" s="2"/>
      <c r="V30" s="7">
        <f t="shared" si="21"/>
        <v>0</v>
      </c>
      <c r="W30" s="2"/>
      <c r="X30" s="6">
        <f t="shared" si="22"/>
        <v>2613.260000000002</v>
      </c>
      <c r="Y30" s="2"/>
      <c r="Z30" s="7">
        <f t="shared" si="23"/>
        <v>0.16122138497168895</v>
      </c>
    </row>
    <row r="31" spans="1:26" s="27" customFormat="1" outlineLevel="1" collapsed="1" x14ac:dyDescent="0.25">
      <c r="A31" s="25"/>
      <c r="B31" s="13" t="str">
        <f>CONCATENATE("     ","General                                           ")</f>
        <v xml:space="preserve">     General                                           </v>
      </c>
      <c r="C31" s="13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3"/>
      <c r="P31" s="1">
        <f>SUM(OSRRefP22_2x_0)</f>
        <v>2443.65</v>
      </c>
      <c r="Q31" s="1"/>
      <c r="R31" s="5">
        <f t="shared" si="20"/>
        <v>0</v>
      </c>
      <c r="S31" s="1"/>
      <c r="T31" s="1">
        <f>SUM(OSRRefT22_2x_0)</f>
        <v>2357.6</v>
      </c>
      <c r="U31" s="1"/>
      <c r="V31" s="5">
        <f t="shared" si="21"/>
        <v>0</v>
      </c>
      <c r="W31" s="1"/>
      <c r="X31" s="1">
        <f t="shared" si="22"/>
        <v>86.050000000000182</v>
      </c>
      <c r="Y31" s="1"/>
      <c r="Z31" s="5">
        <f t="shared" si="23"/>
        <v>3.6498982015609173E-2</v>
      </c>
    </row>
    <row r="32" spans="1:26" s="24" customFormat="1" hidden="1" outlineLevel="2" x14ac:dyDescent="0.25">
      <c r="A32" s="26"/>
      <c r="B32" s="11" t="str">
        <f>CONCATENATE("          ", "6279", " - ", "GENERAL EXPENSE")</f>
        <v xml:space="preserve">          6279 - GENERAL EXPENSE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>
        <v>2443.65</v>
      </c>
      <c r="Q32" s="2"/>
      <c r="R32" s="7">
        <f t="shared" si="20"/>
        <v>0</v>
      </c>
      <c r="S32" s="2"/>
      <c r="T32" s="6">
        <v>2357.6</v>
      </c>
      <c r="U32" s="2"/>
      <c r="V32" s="7">
        <f t="shared" si="21"/>
        <v>0</v>
      </c>
      <c r="W32" s="2"/>
      <c r="X32" s="6">
        <f t="shared" si="22"/>
        <v>86.050000000000182</v>
      </c>
      <c r="Y32" s="2"/>
      <c r="Z32" s="7">
        <f t="shared" si="23"/>
        <v>3.6498982015609173E-2</v>
      </c>
    </row>
    <row r="33" spans="1:26" s="27" customFormat="1" outlineLevel="1" collapsed="1" x14ac:dyDescent="0.25">
      <c r="A33" s="25"/>
      <c r="B33" s="13" t="str">
        <f>CONCATENATE("     ","Royalty &amp; Commissions                             ")</f>
        <v xml:space="preserve">     Royalty &amp; Commissions                             </v>
      </c>
      <c r="C33" s="13"/>
      <c r="D33" s="1">
        <f>SUM(OSRRefD22_3x_0)</f>
        <v>3048.41</v>
      </c>
      <c r="E33" s="1"/>
      <c r="F33" s="5">
        <f t="shared" si="16"/>
        <v>0</v>
      </c>
      <c r="G33" s="1"/>
      <c r="H33" s="1">
        <f>SUM(OSRRefH22_3x_0)</f>
        <v>1105.0899999999999</v>
      </c>
      <c r="I33" s="1"/>
      <c r="J33" s="5">
        <f t="shared" si="17"/>
        <v>0</v>
      </c>
      <c r="K33" s="1"/>
      <c r="L33" s="1">
        <f t="shared" si="18"/>
        <v>1943.32</v>
      </c>
      <c r="M33" s="1"/>
      <c r="N33" s="5">
        <f t="shared" si="19"/>
        <v>1.7585174058221502</v>
      </c>
      <c r="O33" s="13"/>
      <c r="P33" s="1">
        <f>SUM(OSRRefP22_3x_0)</f>
        <v>10393.31</v>
      </c>
      <c r="Q33" s="1"/>
      <c r="R33" s="5">
        <f t="shared" si="20"/>
        <v>0</v>
      </c>
      <c r="S33" s="1"/>
      <c r="T33" s="1">
        <f>SUM(OSRRefT22_3x_0)</f>
        <v>5747.55</v>
      </c>
      <c r="U33" s="1"/>
      <c r="V33" s="5">
        <f t="shared" si="21"/>
        <v>0</v>
      </c>
      <c r="W33" s="1"/>
      <c r="X33" s="1">
        <f t="shared" si="22"/>
        <v>4645.7599999999993</v>
      </c>
      <c r="Y33" s="1"/>
      <c r="Z33" s="5">
        <f t="shared" si="23"/>
        <v>0.80830266809336138</v>
      </c>
    </row>
    <row r="34" spans="1:26" s="24" customFormat="1" hidden="1" outlineLevel="2" x14ac:dyDescent="0.25">
      <c r="A34" s="26"/>
      <c r="B34" s="11" t="str">
        <f>CONCATENATE("          ", "6254", " - ", "ROYALTY &amp; COMMISSIONS")</f>
        <v xml:space="preserve">          6254 - ROYALTY &amp; COMMISSIONS</v>
      </c>
      <c r="C34" s="11"/>
      <c r="D34" s="6">
        <v>3048.41</v>
      </c>
      <c r="E34" s="2"/>
      <c r="F34" s="7">
        <f t="shared" si="16"/>
        <v>0</v>
      </c>
      <c r="G34" s="2"/>
      <c r="H34" s="6">
        <v>1105.0899999999999</v>
      </c>
      <c r="I34" s="2"/>
      <c r="J34" s="7">
        <f t="shared" si="17"/>
        <v>0</v>
      </c>
      <c r="K34" s="2"/>
      <c r="L34" s="6">
        <f t="shared" si="18"/>
        <v>1943.32</v>
      </c>
      <c r="M34" s="2"/>
      <c r="N34" s="7">
        <f t="shared" si="19"/>
        <v>1.7585174058221502</v>
      </c>
      <c r="O34" s="11"/>
      <c r="P34" s="6">
        <v>10393.31</v>
      </c>
      <c r="Q34" s="2"/>
      <c r="R34" s="7">
        <f t="shared" si="20"/>
        <v>0</v>
      </c>
      <c r="S34" s="2"/>
      <c r="T34" s="6">
        <v>5747.55</v>
      </c>
      <c r="U34" s="2"/>
      <c r="V34" s="7">
        <f t="shared" si="21"/>
        <v>0</v>
      </c>
      <c r="W34" s="2"/>
      <c r="X34" s="6">
        <f t="shared" si="22"/>
        <v>4645.7599999999993</v>
      </c>
      <c r="Y34" s="2"/>
      <c r="Z34" s="7">
        <f t="shared" si="23"/>
        <v>0.80830266809336138</v>
      </c>
    </row>
    <row r="35" spans="1:26" s="27" customFormat="1" outlineLevel="1" collapsed="1" x14ac:dyDescent="0.25">
      <c r="A35" s="25"/>
      <c r="B35" s="13" t="str">
        <f>CONCATENATE("     ","Supplies                                          ")</f>
        <v xml:space="preserve">     Supplies                                          </v>
      </c>
      <c r="C35" s="13"/>
      <c r="D35" s="1">
        <f>SUM(OSRRefD22_4x_0)</f>
        <v>0</v>
      </c>
      <c r="E35" s="1"/>
      <c r="F35" s="5">
        <f t="shared" si="16"/>
        <v>0</v>
      </c>
      <c r="G35" s="1"/>
      <c r="H35" s="1">
        <f>SUM(OSRRefH22_4x_0)</f>
        <v>1308.58</v>
      </c>
      <c r="I35" s="1"/>
      <c r="J35" s="5">
        <f t="shared" si="17"/>
        <v>0</v>
      </c>
      <c r="K35" s="1"/>
      <c r="L35" s="1">
        <f t="shared" si="18"/>
        <v>-1308.58</v>
      </c>
      <c r="M35" s="1"/>
      <c r="N35" s="5">
        <f t="shared" si="19"/>
        <v>-1</v>
      </c>
      <c r="O35" s="13"/>
      <c r="P35" s="1">
        <f>SUM(OSRRefP22_4x_0)</f>
        <v>31.75</v>
      </c>
      <c r="Q35" s="1"/>
      <c r="R35" s="5">
        <f t="shared" si="20"/>
        <v>0</v>
      </c>
      <c r="S35" s="1"/>
      <c r="T35" s="1">
        <f>SUM(OSRRefT22_4x_0)</f>
        <v>525.89</v>
      </c>
      <c r="U35" s="1"/>
      <c r="V35" s="5">
        <f t="shared" si="21"/>
        <v>0</v>
      </c>
      <c r="W35" s="1"/>
      <c r="X35" s="1">
        <f t="shared" si="22"/>
        <v>-494.14</v>
      </c>
      <c r="Y35" s="1"/>
      <c r="Z35" s="5">
        <f t="shared" si="23"/>
        <v>-0.93962615756146728</v>
      </c>
    </row>
    <row r="36" spans="1:26" s="24" customFormat="1" hidden="1" outlineLevel="2" x14ac:dyDescent="0.25">
      <c r="A36" s="26"/>
      <c r="B36" s="11" t="str">
        <f>CONCATENATE("          ", "6241", " - ", "OFFICE EXPENSE")</f>
        <v xml:space="preserve">          6241 - OFFICE EXPENSE</v>
      </c>
      <c r="C36" s="11"/>
      <c r="D36" s="6"/>
      <c r="E36" s="2"/>
      <c r="F36" s="7">
        <f t="shared" si="16"/>
        <v>0</v>
      </c>
      <c r="G36" s="2"/>
      <c r="H36" s="6">
        <v>1308.58</v>
      </c>
      <c r="I36" s="2"/>
      <c r="J36" s="7">
        <f t="shared" si="17"/>
        <v>0</v>
      </c>
      <c r="K36" s="2"/>
      <c r="L36" s="6">
        <f t="shared" si="18"/>
        <v>-1308.58</v>
      </c>
      <c r="M36" s="2"/>
      <c r="N36" s="7">
        <f t="shared" si="19"/>
        <v>-1</v>
      </c>
      <c r="O36" s="11"/>
      <c r="P36" s="6">
        <v>31.75</v>
      </c>
      <c r="Q36" s="2"/>
      <c r="R36" s="7">
        <f t="shared" si="20"/>
        <v>0</v>
      </c>
      <c r="S36" s="2"/>
      <c r="T36" s="6">
        <v>525.89</v>
      </c>
      <c r="U36" s="2"/>
      <c r="V36" s="7">
        <f t="shared" si="21"/>
        <v>0</v>
      </c>
      <c r="W36" s="2"/>
      <c r="X36" s="6">
        <f t="shared" si="22"/>
        <v>-494.14</v>
      </c>
      <c r="Y36" s="2"/>
      <c r="Z36" s="7">
        <f t="shared" si="23"/>
        <v>-0.93962615756146728</v>
      </c>
    </row>
    <row r="37" spans="1:26" s="27" customFormat="1" outlineLevel="1" collapsed="1" x14ac:dyDescent="0.25">
      <c r="A37" s="25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368.65</v>
      </c>
      <c r="E37" s="1"/>
      <c r="F37" s="5">
        <f t="shared" si="16"/>
        <v>0</v>
      </c>
      <c r="G37" s="1"/>
      <c r="H37" s="1">
        <f>SUM(OSRRefH22_5x_0)</f>
        <v>87.85</v>
      </c>
      <c r="I37" s="1"/>
      <c r="J37" s="5">
        <f t="shared" si="17"/>
        <v>0</v>
      </c>
      <c r="K37" s="1"/>
      <c r="L37" s="1">
        <f t="shared" si="18"/>
        <v>280.79999999999995</v>
      </c>
      <c r="M37" s="1"/>
      <c r="N37" s="5">
        <f t="shared" si="19"/>
        <v>3.1963574274331243</v>
      </c>
      <c r="O37" s="13"/>
      <c r="P37" s="1">
        <f>SUM(OSRRefP22_5x_0)</f>
        <v>709.95</v>
      </c>
      <c r="Q37" s="1"/>
      <c r="R37" s="5">
        <f t="shared" si="20"/>
        <v>0</v>
      </c>
      <c r="S37" s="1"/>
      <c r="T37" s="1">
        <f>SUM(OSRRefT22_5x_0)</f>
        <v>283.10000000000002</v>
      </c>
      <c r="U37" s="1"/>
      <c r="V37" s="5">
        <f t="shared" si="21"/>
        <v>0</v>
      </c>
      <c r="W37" s="1"/>
      <c r="X37" s="1">
        <f t="shared" si="22"/>
        <v>426.85</v>
      </c>
      <c r="Y37" s="1"/>
      <c r="Z37" s="5">
        <f t="shared" si="23"/>
        <v>1.5077711056163898</v>
      </c>
    </row>
    <row r="38" spans="1:26" s="24" customFormat="1" hidden="1" outlineLevel="2" x14ac:dyDescent="0.25">
      <c r="A38" s="26"/>
      <c r="B38" s="11" t="str">
        <f>CONCATENATE("          ", "6309", " - ", "TELEPHONE")</f>
        <v xml:space="preserve">          6309 - TELEPHONE</v>
      </c>
      <c r="C38" s="11"/>
      <c r="D38" s="6">
        <v>368.65</v>
      </c>
      <c r="E38" s="2"/>
      <c r="F38" s="7">
        <f t="shared" si="16"/>
        <v>0</v>
      </c>
      <c r="G38" s="2"/>
      <c r="H38" s="6">
        <v>87.85</v>
      </c>
      <c r="I38" s="2"/>
      <c r="J38" s="7">
        <f t="shared" si="17"/>
        <v>0</v>
      </c>
      <c r="K38" s="2"/>
      <c r="L38" s="6">
        <f t="shared" si="18"/>
        <v>280.79999999999995</v>
      </c>
      <c r="M38" s="2"/>
      <c r="N38" s="7">
        <f t="shared" si="19"/>
        <v>3.1963574274331243</v>
      </c>
      <c r="O38" s="11"/>
      <c r="P38" s="6">
        <v>709.95</v>
      </c>
      <c r="Q38" s="2"/>
      <c r="R38" s="7">
        <f t="shared" si="20"/>
        <v>0</v>
      </c>
      <c r="S38" s="2"/>
      <c r="T38" s="6">
        <v>283.10000000000002</v>
      </c>
      <c r="U38" s="2"/>
      <c r="V38" s="7">
        <f t="shared" si="21"/>
        <v>0</v>
      </c>
      <c r="W38" s="2"/>
      <c r="X38" s="6">
        <f t="shared" si="22"/>
        <v>426.85</v>
      </c>
      <c r="Y38" s="2"/>
      <c r="Z38" s="7">
        <f t="shared" si="23"/>
        <v>1.5077711056163898</v>
      </c>
    </row>
    <row r="39" spans="1:26" s="55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9" t="s">
        <v>0</v>
      </c>
      <c r="C40" s="10"/>
      <c r="D40" s="4">
        <f>SUM(OSRRefD25x_0)</f>
        <v>34219.26</v>
      </c>
      <c r="E40" s="4"/>
      <c r="F40" s="12">
        <f t="shared" ref="F40:F41" si="24">IF(D$12=0,0,D40/D$12)</f>
        <v>0</v>
      </c>
      <c r="G40" s="4"/>
      <c r="H40" s="4">
        <f>SUM(OSRRefH25x_0)</f>
        <v>18646.5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15572.760000000002</v>
      </c>
      <c r="M40" s="4"/>
      <c r="N40" s="12">
        <f t="shared" ref="N40:N41" si="27">IF(H40=0,0,L40/H40)</f>
        <v>0.83515726812002267</v>
      </c>
      <c r="O40" s="10"/>
      <c r="P40" s="4">
        <f>SUM(OSRRefP25x_0)</f>
        <v>58429.43</v>
      </c>
      <c r="Q40" s="4"/>
      <c r="R40" s="12">
        <f t="shared" ref="R40:R41" si="28">IF(P$12=0,0,P40/P$12)</f>
        <v>0</v>
      </c>
      <c r="S40" s="4"/>
      <c r="T40" s="4">
        <f>SUM(OSRRefT25x_0)</f>
        <v>40068.160000000003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18361.269999999997</v>
      </c>
      <c r="Y40" s="4"/>
      <c r="Z40" s="12">
        <f t="shared" ref="Z40:Z41" si="31">IF(T40=0,0,X40/T40)</f>
        <v>0.45825089048261752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--34219.26</f>
        <v>34219.26</v>
      </c>
      <c r="E41" s="2"/>
      <c r="F41" s="19">
        <f t="shared" si="24"/>
        <v>0</v>
      </c>
      <c r="G41" s="2"/>
      <c r="H41" s="2">
        <f>--18646.5</f>
        <v>18646.5</v>
      </c>
      <c r="I41" s="2"/>
      <c r="J41" s="19">
        <f t="shared" si="25"/>
        <v>0</v>
      </c>
      <c r="K41" s="2"/>
      <c r="L41" s="2">
        <f t="shared" si="26"/>
        <v>15572.760000000002</v>
      </c>
      <c r="M41" s="2"/>
      <c r="N41" s="19">
        <f t="shared" si="27"/>
        <v>0.83515726812002267</v>
      </c>
      <c r="O41" s="11"/>
      <c r="P41" s="2">
        <f>--58429.43</f>
        <v>58429.43</v>
      </c>
      <c r="Q41" s="2"/>
      <c r="R41" s="19">
        <f t="shared" si="28"/>
        <v>0</v>
      </c>
      <c r="S41" s="2"/>
      <c r="T41" s="2">
        <f>--40068.16</f>
        <v>40068.160000000003</v>
      </c>
      <c r="U41" s="2"/>
      <c r="V41" s="19">
        <f t="shared" si="29"/>
        <v>0</v>
      </c>
      <c r="W41" s="2"/>
      <c r="X41" s="2">
        <f t="shared" si="30"/>
        <v>18361.269999999997</v>
      </c>
      <c r="Y41" s="2"/>
      <c r="Z41" s="19">
        <f t="shared" si="31"/>
        <v>0.45825089048261752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8" t="s">
        <v>3</v>
      </c>
      <c r="C43" s="28"/>
      <c r="D43" s="21">
        <f>+D17-D19+D40</f>
        <v>19694.25</v>
      </c>
      <c r="E43" s="14"/>
      <c r="F43" s="22">
        <f>IF(D$12=0,0,D43/D$12)</f>
        <v>0</v>
      </c>
      <c r="G43" s="14"/>
      <c r="H43" s="21">
        <f>+H17-H19+H40</f>
        <v>6349.3899999999994</v>
      </c>
      <c r="I43" s="14"/>
      <c r="J43" s="22">
        <f>IF(H$12=0,0,H43/H$12)</f>
        <v>0</v>
      </c>
      <c r="K43" s="16"/>
      <c r="L43" s="21">
        <f>+D43-H43</f>
        <v>13344.86</v>
      </c>
      <c r="M43" s="16"/>
      <c r="N43" s="22">
        <f>IF(H43=0,0,L43/H43)</f>
        <v>2.1017546567465537</v>
      </c>
      <c r="O43" s="29"/>
      <c r="P43" s="21">
        <f>+P17-P19+P40</f>
        <v>4787.2800000000061</v>
      </c>
      <c r="Q43" s="14"/>
      <c r="R43" s="22">
        <f>IF(P$12=0,0,P43/P$12)</f>
        <v>0</v>
      </c>
      <c r="S43" s="14"/>
      <c r="T43" s="21">
        <f>+T17-T19+T40</f>
        <v>-226.16999999999825</v>
      </c>
      <c r="U43" s="14"/>
      <c r="V43" s="22">
        <f>IF(T$12=0,0,T43/T$12)</f>
        <v>0</v>
      </c>
      <c r="W43" s="16"/>
      <c r="X43" s="21">
        <f>+P43-T43</f>
        <v>5013.4500000000044</v>
      </c>
      <c r="Y43" s="16"/>
      <c r="Z43" s="22">
        <f>IF(T43=0,0,X43/T43)</f>
        <v>-22.166732988460197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8" t="s">
        <v>4</v>
      </c>
      <c r="C47" s="28"/>
      <c r="D47" s="31">
        <f>+D43-D45</f>
        <v>19694.25</v>
      </c>
      <c r="E47" s="14"/>
      <c r="F47" s="34">
        <f>IF(D$12=0,0,D47/D$12)</f>
        <v>0</v>
      </c>
      <c r="G47" s="14"/>
      <c r="H47" s="31">
        <f>+H43-H45</f>
        <v>6349.3899999999994</v>
      </c>
      <c r="I47" s="14"/>
      <c r="J47" s="34">
        <f>IF(H$12=0,0,H47/H$12)</f>
        <v>0</v>
      </c>
      <c r="K47" s="16"/>
      <c r="L47" s="31">
        <f>D47-H47</f>
        <v>13344.86</v>
      </c>
      <c r="M47" s="16"/>
      <c r="N47" s="34">
        <f>IF(H47=0,0,L47/H47)</f>
        <v>2.1017546567465537</v>
      </c>
      <c r="O47" s="29"/>
      <c r="P47" s="31">
        <f>+P43-P45</f>
        <v>4787.2800000000061</v>
      </c>
      <c r="Q47" s="14"/>
      <c r="R47" s="34">
        <f>IF(P$12=0,0,P47/P$12)</f>
        <v>0</v>
      </c>
      <c r="S47" s="14"/>
      <c r="T47" s="31">
        <f>+T43-T45</f>
        <v>-226.16999999999825</v>
      </c>
      <c r="U47" s="14"/>
      <c r="V47" s="34">
        <f>IF(T$12=0,0,T47/T$12)</f>
        <v>0</v>
      </c>
      <c r="W47" s="16"/>
      <c r="X47" s="31">
        <f>P47-T47</f>
        <v>5013.4500000000044</v>
      </c>
      <c r="Y47" s="16"/>
      <c r="Z47" s="34">
        <f>IF(T47=0,0,X47/T47)</f>
        <v>-22.166732988460197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5</v>
      </c>
      <c r="C50" s="28"/>
      <c r="D50" s="36">
        <f>SUM(D47:D49)</f>
        <v>19694.25</v>
      </c>
      <c r="E50" s="14"/>
      <c r="F50" s="33">
        <f>IF(D$12=0,0,D50/D$12)</f>
        <v>0</v>
      </c>
      <c r="G50" s="14"/>
      <c r="H50" s="36">
        <f>SUM(H47:H49)</f>
        <v>6349.3899999999994</v>
      </c>
      <c r="I50" s="14"/>
      <c r="J50" s="33">
        <f>IF(H$12=0,0,H50/H$12)</f>
        <v>0</v>
      </c>
      <c r="K50" s="16"/>
      <c r="L50" s="36">
        <f>+D50-H50</f>
        <v>13344.86</v>
      </c>
      <c r="M50" s="16"/>
      <c r="N50" s="33">
        <f>IF(H50=0,0,L50/H50)</f>
        <v>2.1017546567465537</v>
      </c>
      <c r="O50" s="29"/>
      <c r="P50" s="36">
        <f>SUM(P47:P49)</f>
        <v>4787.2800000000061</v>
      </c>
      <c r="Q50" s="14"/>
      <c r="R50" s="33">
        <f>IF(P$12=0,0,P50/P$12)</f>
        <v>0</v>
      </c>
      <c r="S50" s="14"/>
      <c r="T50" s="36">
        <f>SUM(T47:T49)</f>
        <v>-226.16999999999825</v>
      </c>
      <c r="U50" s="14"/>
      <c r="V50" s="33">
        <f>IF(T$12=0,0,T50/T$12)</f>
        <v>0</v>
      </c>
      <c r="W50" s="16"/>
      <c r="X50" s="36">
        <f>+P50-T50</f>
        <v>5013.4500000000044</v>
      </c>
      <c r="Y50" s="16"/>
      <c r="Z50" s="33">
        <f>IF(T50=0,0,X50/T50)</f>
        <v>-22.166732988460197</v>
      </c>
    </row>
    <row r="51" spans="1:26" ht="15.75" thickTop="1" x14ac:dyDescent="0.25">
      <c r="A51" s="9"/>
      <c r="C51" s="9"/>
      <c r="D51" s="18"/>
      <c r="E51" s="18"/>
      <c r="G51" s="18"/>
      <c r="H51" s="18"/>
      <c r="I51" s="18"/>
      <c r="J51" s="42"/>
      <c r="K51" s="18"/>
      <c r="L51" s="18"/>
      <c r="M51" s="18"/>
      <c r="P51" s="18"/>
      <c r="Q51" s="18"/>
      <c r="R51" s="42"/>
      <c r="S51" s="18"/>
      <c r="T51" s="18"/>
      <c r="U51" s="18"/>
      <c r="V51" s="42"/>
      <c r="W51" s="18"/>
      <c r="X51" s="18"/>
    </row>
    <row r="52" spans="1:26" x14ac:dyDescent="0.25">
      <c r="A52" s="9"/>
      <c r="B52" s="61">
        <v>43791.355711689816</v>
      </c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  <row r="53" spans="1:26" x14ac:dyDescent="0.25">
      <c r="A53" s="9"/>
      <c r="B53" s="56" t="s">
        <v>313</v>
      </c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  <row r="54" spans="1:26" x14ac:dyDescent="0.25">
      <c r="A54" s="9"/>
      <c r="B54" s="57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","424", " - ", "Blair Field")</f>
        <v>Department 424 - Blair Field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19851.87</v>
      </c>
      <c r="Q12" s="4"/>
      <c r="R12" s="12"/>
      <c r="S12" s="4"/>
      <c r="T12" s="4">
        <f>SUM(OSRRefT13x_0)</f>
        <v>29308.32</v>
      </c>
      <c r="U12" s="4"/>
      <c r="V12" s="12"/>
      <c r="W12" s="4"/>
      <c r="X12" s="4">
        <f t="shared" ref="X12:X14" si="2">+P12-T12</f>
        <v>-9456.4500000000007</v>
      </c>
      <c r="Y12" s="4"/>
      <c r="Z12" s="12">
        <f t="shared" ref="Z12:Z14" si="3">IF(T12=0,0,X12/T12)</f>
        <v>-0.32265411323474019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--19851.87</f>
        <v>19851.87</v>
      </c>
      <c r="Q13" s="2"/>
      <c r="R13" s="19"/>
      <c r="S13" s="2"/>
      <c r="T13" s="2">
        <f>--17802.24</f>
        <v>17802.240000000002</v>
      </c>
      <c r="U13" s="2"/>
      <c r="V13" s="19"/>
      <c r="W13" s="2"/>
      <c r="X13" s="2">
        <f t="shared" si="2"/>
        <v>2049.6299999999974</v>
      </c>
      <c r="Y13" s="2"/>
      <c r="Z13" s="19">
        <f t="shared" si="3"/>
        <v>0.11513326412855894</v>
      </c>
    </row>
    <row r="14" spans="1:26" s="24" customFormat="1" hidden="1" outlineLevel="1" x14ac:dyDescent="0.25">
      <c r="A14" s="44"/>
      <c r="B14" s="11" t="str">
        <f>CONCATENATE("          ", "4057", " - ", "TAXABLE SALES-FOOD")</f>
        <v xml:space="preserve">          4057 - 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--11506.08</f>
        <v>11506.08</v>
      </c>
      <c r="U14" s="2"/>
      <c r="V14" s="19"/>
      <c r="W14" s="2"/>
      <c r="X14" s="2">
        <f t="shared" si="2"/>
        <v>-11506.08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</v>
      </c>
      <c r="M16" s="4"/>
      <c r="N16" s="12">
        <f t="shared" ref="N16:N18" si="9">IF(H16=0,0,L16/H16)</f>
        <v>0</v>
      </c>
      <c r="O16" s="10"/>
      <c r="P16" s="4">
        <f>SUM(OSRRefP16x_0)</f>
        <v>4810.79</v>
      </c>
      <c r="Q16" s="4"/>
      <c r="R16" s="12">
        <f t="shared" ref="R16:R18" si="10">IF(P$12=0,0,P16/P$12)</f>
        <v>0.24233434935852391</v>
      </c>
      <c r="S16" s="4"/>
      <c r="T16" s="4">
        <f>SUM(OSRRefT16x_0)</f>
        <v>7325.93</v>
      </c>
      <c r="U16" s="4"/>
      <c r="V16" s="12">
        <f t="shared" ref="V16:V18" si="11">IF(T$12=0,0,T16/T$12)</f>
        <v>0.24996076199522868</v>
      </c>
      <c r="W16" s="4"/>
      <c r="X16" s="4">
        <f t="shared" ref="X16:X18" si="12">+P16-T16</f>
        <v>-2515.1400000000003</v>
      </c>
      <c r="Y16" s="4"/>
      <c r="Z16" s="12">
        <f t="shared" ref="Z16:Z18" si="13">IF(T16=0,0,X16/T16)</f>
        <v>-0.3433202337450672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/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>
        <v>6367.79</v>
      </c>
      <c r="Q17" s="2"/>
      <c r="R17" s="19">
        <f t="shared" si="10"/>
        <v>0.32076524780788912</v>
      </c>
      <c r="S17" s="2"/>
      <c r="T17" s="2">
        <v>3459.93</v>
      </c>
      <c r="U17" s="2"/>
      <c r="V17" s="19">
        <f t="shared" si="11"/>
        <v>0.11805282595522364</v>
      </c>
      <c r="W17" s="2"/>
      <c r="X17" s="2">
        <f t="shared" si="12"/>
        <v>2907.86</v>
      </c>
      <c r="Y17" s="2"/>
      <c r="Z17" s="19">
        <f t="shared" si="13"/>
        <v>0.84043896841843624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-1557</v>
      </c>
      <c r="Q18" s="2"/>
      <c r="R18" s="19">
        <f t="shared" si="10"/>
        <v>-7.8430898449365224E-2</v>
      </c>
      <c r="S18" s="2"/>
      <c r="T18" s="2">
        <v>3866</v>
      </c>
      <c r="U18" s="2"/>
      <c r="V18" s="19">
        <f t="shared" si="11"/>
        <v>0.13190793604000503</v>
      </c>
      <c r="W18" s="2"/>
      <c r="X18" s="2">
        <f t="shared" si="12"/>
        <v>-5423</v>
      </c>
      <c r="Y18" s="2"/>
      <c r="Z18" s="19">
        <f t="shared" si="13"/>
        <v>-1.4027418520434558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0</v>
      </c>
      <c r="E20" s="14"/>
      <c r="F20" s="22">
        <f>IF(D$12=0,0,D20/D$12)</f>
        <v>0</v>
      </c>
      <c r="G20" s="14"/>
      <c r="H20" s="21">
        <f>H12-H16</f>
        <v>0</v>
      </c>
      <c r="I20" s="14"/>
      <c r="J20" s="22">
        <f>IF(H$12=0,0,H20/H$12)</f>
        <v>0</v>
      </c>
      <c r="K20" s="16"/>
      <c r="L20" s="21">
        <f>+D20-H20</f>
        <v>0</v>
      </c>
      <c r="M20" s="16"/>
      <c r="N20" s="22">
        <f>IF(H20=0,0,L20/H20)</f>
        <v>0</v>
      </c>
      <c r="O20" s="29"/>
      <c r="P20" s="21">
        <f>P12-P16</f>
        <v>15041.079999999998</v>
      </c>
      <c r="Q20" s="14"/>
      <c r="R20" s="22">
        <f>IF(P$12=0,0,P20/P$12)</f>
        <v>0.75766565064147606</v>
      </c>
      <c r="S20" s="14"/>
      <c r="T20" s="21">
        <f>T12-T16</f>
        <v>21982.39</v>
      </c>
      <c r="U20" s="14"/>
      <c r="V20" s="22">
        <f>IF(T$12=0,0,T20/T$12)</f>
        <v>0.75003923800477135</v>
      </c>
      <c r="W20" s="16"/>
      <c r="X20" s="21">
        <f>+P20-T20</f>
        <v>-6941.3100000000013</v>
      </c>
      <c r="Y20" s="16"/>
      <c r="Z20" s="22">
        <f>IF(T20=0,0,X20/T20)</f>
        <v>-0.31576684791781062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2393.87</v>
      </c>
      <c r="E22" s="20"/>
      <c r="F22" s="35">
        <f t="shared" ref="F22:F26" si="14">IF(D$12=0,0,D22/D$12)</f>
        <v>0</v>
      </c>
      <c r="G22" s="20"/>
      <c r="H22" s="20">
        <f>SUM(OSRRefH22x_0)</f>
        <v>199.45999999999998</v>
      </c>
      <c r="I22" s="20"/>
      <c r="J22" s="35">
        <f t="shared" ref="J22:J26" si="15">IF(H$12=0,0,H22/H$12)</f>
        <v>0</v>
      </c>
      <c r="K22" s="4"/>
      <c r="L22" s="20">
        <f t="shared" ref="L22:L26" si="16">+D22-H22</f>
        <v>2194.41</v>
      </c>
      <c r="M22" s="4"/>
      <c r="N22" s="35">
        <f t="shared" ref="N22:N26" si="17">IF(H22=0,0,L22/H22)</f>
        <v>11.001754737792039</v>
      </c>
      <c r="O22" s="10"/>
      <c r="P22" s="20">
        <f>SUM(OSRRefP22x_0)</f>
        <v>18036.760000000002</v>
      </c>
      <c r="Q22" s="20"/>
      <c r="R22" s="35">
        <f t="shared" ref="R22:R26" si="18">IF(P$12=0,0,P22/P$12)</f>
        <v>0.9085673037351143</v>
      </c>
      <c r="S22" s="20"/>
      <c r="T22" s="20">
        <f>SUM(OSRRefT22x_0)</f>
        <v>21384.07</v>
      </c>
      <c r="U22" s="20"/>
      <c r="V22" s="35">
        <f t="shared" ref="V22:V26" si="19">IF(T$12=0,0,T22/T$12)</f>
        <v>0.7296245571223462</v>
      </c>
      <c r="W22" s="4"/>
      <c r="X22" s="20">
        <f t="shared" ref="X22:X26" si="20">+P22-T22</f>
        <v>-3347.3099999999977</v>
      </c>
      <c r="Y22" s="4"/>
      <c r="Z22" s="35">
        <f t="shared" ref="Z22:Z26" si="21">IF(T22=0,0,X22/T22)</f>
        <v>-0.15653287704351873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32.230000000000004</v>
      </c>
      <c r="E23" s="1"/>
      <c r="F23" s="5">
        <f t="shared" si="14"/>
        <v>0</v>
      </c>
      <c r="G23" s="1"/>
      <c r="H23" s="1">
        <f>SUM(OSRRefH22_0x_0)</f>
        <v>31.349999999999998</v>
      </c>
      <c r="I23" s="1"/>
      <c r="J23" s="5">
        <f t="shared" si="15"/>
        <v>0</v>
      </c>
      <c r="K23" s="1"/>
      <c r="L23" s="1">
        <f t="shared" si="16"/>
        <v>0.88000000000000611</v>
      </c>
      <c r="M23" s="1"/>
      <c r="N23" s="5">
        <f t="shared" si="17"/>
        <v>2.807017543859669E-2</v>
      </c>
      <c r="O23" s="13"/>
      <c r="P23" s="1">
        <f>SUM(OSRRefP22_0x_0)</f>
        <v>355.92</v>
      </c>
      <c r="Q23" s="1"/>
      <c r="R23" s="5">
        <f t="shared" si="18"/>
        <v>1.7928789580024453E-2</v>
      </c>
      <c r="S23" s="1"/>
      <c r="T23" s="1">
        <f>SUM(OSRRefT22_0x_0)</f>
        <v>136.41999999999999</v>
      </c>
      <c r="U23" s="1"/>
      <c r="V23" s="5">
        <f t="shared" si="19"/>
        <v>4.6546509660055574E-3</v>
      </c>
      <c r="W23" s="1"/>
      <c r="X23" s="1">
        <f t="shared" si="20"/>
        <v>219.50000000000003</v>
      </c>
      <c r="Y23" s="1"/>
      <c r="Z23" s="5">
        <f t="shared" si="21"/>
        <v>1.6090016126667648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42.63</v>
      </c>
      <c r="E24" s="2"/>
      <c r="F24" s="7">
        <f t="shared" si="14"/>
        <v>0</v>
      </c>
      <c r="G24" s="2"/>
      <c r="H24" s="6"/>
      <c r="I24" s="2"/>
      <c r="J24" s="7">
        <f t="shared" si="15"/>
        <v>0</v>
      </c>
      <c r="K24" s="2"/>
      <c r="L24" s="6">
        <f t="shared" si="16"/>
        <v>42.63</v>
      </c>
      <c r="M24" s="2"/>
      <c r="N24" s="7">
        <f t="shared" si="17"/>
        <v>0</v>
      </c>
      <c r="O24" s="11"/>
      <c r="P24" s="6">
        <v>366.32</v>
      </c>
      <c r="Q24" s="2"/>
      <c r="R24" s="7">
        <f t="shared" si="18"/>
        <v>1.8452669698119119E-2</v>
      </c>
      <c r="S24" s="2"/>
      <c r="T24" s="6">
        <v>71.17</v>
      </c>
      <c r="U24" s="2"/>
      <c r="V24" s="7">
        <f t="shared" si="19"/>
        <v>2.4283206952837966E-3</v>
      </c>
      <c r="W24" s="2"/>
      <c r="X24" s="6">
        <f t="shared" si="20"/>
        <v>295.14999999999998</v>
      </c>
      <c r="Y24" s="2"/>
      <c r="Z24" s="7">
        <f t="shared" si="21"/>
        <v>4.1471125474216661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-10.4</v>
      </c>
      <c r="E25" s="2"/>
      <c r="F25" s="7">
        <f t="shared" si="14"/>
        <v>0</v>
      </c>
      <c r="G25" s="2"/>
      <c r="H25" s="6">
        <v>30.58</v>
      </c>
      <c r="I25" s="2"/>
      <c r="J25" s="7">
        <f t="shared" si="15"/>
        <v>0</v>
      </c>
      <c r="K25" s="2"/>
      <c r="L25" s="6">
        <f t="shared" si="16"/>
        <v>-40.98</v>
      </c>
      <c r="M25" s="2"/>
      <c r="N25" s="7">
        <f t="shared" si="17"/>
        <v>-1.3400915631131458</v>
      </c>
      <c r="O25" s="11"/>
      <c r="P25" s="6">
        <v>-10.4</v>
      </c>
      <c r="Q25" s="2"/>
      <c r="R25" s="7">
        <f t="shared" si="18"/>
        <v>-5.2388011809466816E-4</v>
      </c>
      <c r="S25" s="2"/>
      <c r="T25" s="6">
        <v>60.74</v>
      </c>
      <c r="U25" s="2"/>
      <c r="V25" s="7">
        <f t="shared" si="19"/>
        <v>2.072449052009805E-3</v>
      </c>
      <c r="W25" s="2"/>
      <c r="X25" s="6">
        <f t="shared" si="20"/>
        <v>-71.14</v>
      </c>
      <c r="Y25" s="2"/>
      <c r="Z25" s="7">
        <f t="shared" si="21"/>
        <v>-1.1712216002634179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0.77</v>
      </c>
      <c r="I26" s="2"/>
      <c r="J26" s="7">
        <f t="shared" si="15"/>
        <v>0</v>
      </c>
      <c r="K26" s="2"/>
      <c r="L26" s="6">
        <f t="shared" si="16"/>
        <v>-0.77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4.51</v>
      </c>
      <c r="U26" s="2"/>
      <c r="V26" s="7">
        <f t="shared" si="19"/>
        <v>1.5388121871195618E-4</v>
      </c>
      <c r="W26" s="2"/>
      <c r="X26" s="6">
        <f t="shared" si="20"/>
        <v>-4.51</v>
      </c>
      <c r="Y26" s="2"/>
      <c r="Z26" s="7">
        <f t="shared" si="21"/>
        <v>-1</v>
      </c>
    </row>
    <row r="27" spans="1:26" s="27" customFormat="1" outlineLevel="1" collapsed="1" x14ac:dyDescent="0.25">
      <c r="A27" s="25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662.35</v>
      </c>
      <c r="E27" s="1"/>
      <c r="F27" s="5">
        <f t="shared" ref="F27:F31" si="22">IF(D$12=0,0,D27/D$12)</f>
        <v>0</v>
      </c>
      <c r="G27" s="1"/>
      <c r="H27" s="1">
        <f>SUM(OSRRefH22_1x_0)</f>
        <v>280.63</v>
      </c>
      <c r="I27" s="1"/>
      <c r="J27" s="5">
        <f t="shared" ref="J27:J31" si="23">IF(H$12=0,0,H27/H$12)</f>
        <v>0</v>
      </c>
      <c r="K27" s="1"/>
      <c r="L27" s="1">
        <f t="shared" ref="L27:L31" si="24">+D27-H27</f>
        <v>381.72</v>
      </c>
      <c r="M27" s="1"/>
      <c r="N27" s="5">
        <f t="shared" ref="N27:N31" si="25">IF(H27=0,0,L27/H27)</f>
        <v>1.3602252075686849</v>
      </c>
      <c r="O27" s="13"/>
      <c r="P27" s="1">
        <f>SUM(OSRRefP22_1x_0)</f>
        <v>5526.5300000000007</v>
      </c>
      <c r="Q27" s="1"/>
      <c r="R27" s="5">
        <f t="shared" ref="R27:R31" si="26">IF(P$12=0,0,P27/P$12)</f>
        <v>0.27838838356285833</v>
      </c>
      <c r="S27" s="1"/>
      <c r="T27" s="1">
        <f>SUM(OSRRefT22_1x_0)</f>
        <v>1847.89</v>
      </c>
      <c r="U27" s="1"/>
      <c r="V27" s="5">
        <f t="shared" ref="V27:V31" si="27">IF(T$12=0,0,T27/T$12)</f>
        <v>6.3050014466881757E-2</v>
      </c>
      <c r="W27" s="1"/>
      <c r="X27" s="1">
        <f t="shared" ref="X27:X31" si="28">+P27-T27</f>
        <v>3678.6400000000003</v>
      </c>
      <c r="Y27" s="1"/>
      <c r="Z27" s="5">
        <f t="shared" ref="Z27:Z31" si="29">IF(T27=0,0,X27/T27)</f>
        <v>1.9907245561153533</v>
      </c>
    </row>
    <row r="28" spans="1:26" s="24" customFormat="1" hidden="1" outlineLevel="2" x14ac:dyDescent="0.25">
      <c r="A28" s="26"/>
      <c r="B28" s="11" t="str">
        <f>CONCATENATE("          ", "6005", " - ", "TEMPORARY WAGES-HOURLY")</f>
        <v xml:space="preserve">          6005 - TEMPORARY WAGES-HOURLY</v>
      </c>
      <c r="C28" s="11"/>
      <c r="D28" s="6">
        <v>592.35</v>
      </c>
      <c r="E28" s="2"/>
      <c r="F28" s="7">
        <f t="shared" si="22"/>
        <v>0</v>
      </c>
      <c r="G28" s="2"/>
      <c r="H28" s="6"/>
      <c r="I28" s="2"/>
      <c r="J28" s="7">
        <f t="shared" si="23"/>
        <v>0</v>
      </c>
      <c r="K28" s="2"/>
      <c r="L28" s="6">
        <f t="shared" si="24"/>
        <v>592.35</v>
      </c>
      <c r="M28" s="2"/>
      <c r="N28" s="7">
        <f t="shared" si="25"/>
        <v>0</v>
      </c>
      <c r="O28" s="11"/>
      <c r="P28" s="6">
        <v>2489.34</v>
      </c>
      <c r="Q28" s="2"/>
      <c r="R28" s="7">
        <f t="shared" si="26"/>
        <v>0.12539574357478667</v>
      </c>
      <c r="S28" s="2"/>
      <c r="T28" s="6"/>
      <c r="U28" s="2"/>
      <c r="V28" s="7">
        <f t="shared" si="27"/>
        <v>0</v>
      </c>
      <c r="W28" s="2"/>
      <c r="X28" s="6">
        <f t="shared" si="28"/>
        <v>2489.34</v>
      </c>
      <c r="Y28" s="2"/>
      <c r="Z28" s="7">
        <f t="shared" si="29"/>
        <v>0</v>
      </c>
    </row>
    <row r="29" spans="1:26" s="24" customFormat="1" hidden="1" outlineLevel="2" x14ac:dyDescent="0.25">
      <c r="A29" s="26"/>
      <c r="B29" s="11" t="str">
        <f>CONCATENATE("          ", "6006", " - ", "TEMPORARY PART TIME")</f>
        <v xml:space="preserve">          6006 - TEMPORARY PART TIME</v>
      </c>
      <c r="C29" s="11"/>
      <c r="D29" s="6"/>
      <c r="E29" s="2"/>
      <c r="F29" s="7">
        <f t="shared" si="22"/>
        <v>0</v>
      </c>
      <c r="G29" s="2"/>
      <c r="H29" s="6"/>
      <c r="I29" s="2"/>
      <c r="J29" s="7">
        <f t="shared" si="23"/>
        <v>0</v>
      </c>
      <c r="K29" s="2"/>
      <c r="L29" s="6">
        <f t="shared" si="24"/>
        <v>0</v>
      </c>
      <c r="M29" s="2"/>
      <c r="N29" s="7">
        <f t="shared" si="25"/>
        <v>0</v>
      </c>
      <c r="O29" s="11"/>
      <c r="P29" s="6">
        <v>247.5</v>
      </c>
      <c r="Q29" s="2"/>
      <c r="R29" s="7">
        <f t="shared" si="26"/>
        <v>1.2467339348887536E-2</v>
      </c>
      <c r="S29" s="2"/>
      <c r="T29" s="6"/>
      <c r="U29" s="2"/>
      <c r="V29" s="7">
        <f t="shared" si="27"/>
        <v>0</v>
      </c>
      <c r="W29" s="2"/>
      <c r="X29" s="6">
        <f t="shared" si="28"/>
        <v>247.5</v>
      </c>
      <c r="Y29" s="2"/>
      <c r="Z29" s="7">
        <f t="shared" si="29"/>
        <v>0</v>
      </c>
    </row>
    <row r="30" spans="1:26" s="24" customFormat="1" hidden="1" outlineLevel="2" x14ac:dyDescent="0.25">
      <c r="A30" s="26"/>
      <c r="B30" s="11" t="str">
        <f>CONCATENATE("          ", "6007", " - ", "STUDENT HOURLY")</f>
        <v xml:space="preserve">          6007 - STUDENT HOURLY</v>
      </c>
      <c r="C30" s="11"/>
      <c r="D30" s="6">
        <v>70</v>
      </c>
      <c r="E30" s="2"/>
      <c r="F30" s="7">
        <f t="shared" si="22"/>
        <v>0</v>
      </c>
      <c r="G30" s="2"/>
      <c r="H30" s="6">
        <v>280.63</v>
      </c>
      <c r="I30" s="2"/>
      <c r="J30" s="7">
        <f t="shared" si="23"/>
        <v>0</v>
      </c>
      <c r="K30" s="2"/>
      <c r="L30" s="6">
        <f t="shared" si="24"/>
        <v>-210.63</v>
      </c>
      <c r="M30" s="2"/>
      <c r="N30" s="7">
        <f t="shared" si="25"/>
        <v>-0.75056123721626344</v>
      </c>
      <c r="O30" s="11"/>
      <c r="P30" s="6">
        <v>2156.69</v>
      </c>
      <c r="Q30" s="2"/>
      <c r="R30" s="7">
        <f t="shared" si="26"/>
        <v>0.10863913575899903</v>
      </c>
      <c r="S30" s="2"/>
      <c r="T30" s="6">
        <v>1847.89</v>
      </c>
      <c r="U30" s="2"/>
      <c r="V30" s="7">
        <f t="shared" si="27"/>
        <v>6.3050014466881757E-2</v>
      </c>
      <c r="W30" s="2"/>
      <c r="X30" s="6">
        <f t="shared" si="28"/>
        <v>308.79999999999995</v>
      </c>
      <c r="Y30" s="2"/>
      <c r="Z30" s="7">
        <f t="shared" si="29"/>
        <v>0.16710951409445365</v>
      </c>
    </row>
    <row r="31" spans="1:26" s="24" customFormat="1" hidden="1" outlineLevel="2" x14ac:dyDescent="0.25">
      <c r="A31" s="26"/>
      <c r="B31" s="11" t="str">
        <f>CONCATENATE("          ", "6008", " - ", "STUDENT HOURLY-FICA EXEMPT")</f>
        <v xml:space="preserve">          6008 - STUDENT HOURLY-FICA EXEMPT</v>
      </c>
      <c r="C31" s="11"/>
      <c r="D31" s="6"/>
      <c r="E31" s="2"/>
      <c r="F31" s="7">
        <f t="shared" si="22"/>
        <v>0</v>
      </c>
      <c r="G31" s="2"/>
      <c r="H31" s="6"/>
      <c r="I31" s="2"/>
      <c r="J31" s="7">
        <f t="shared" si="23"/>
        <v>0</v>
      </c>
      <c r="K31" s="2"/>
      <c r="L31" s="6">
        <f t="shared" si="24"/>
        <v>0</v>
      </c>
      <c r="M31" s="2"/>
      <c r="N31" s="7">
        <f t="shared" si="25"/>
        <v>0</v>
      </c>
      <c r="O31" s="11"/>
      <c r="P31" s="6">
        <v>633</v>
      </c>
      <c r="Q31" s="2"/>
      <c r="R31" s="7">
        <f t="shared" si="26"/>
        <v>3.1886164880185093E-2</v>
      </c>
      <c r="S31" s="2"/>
      <c r="T31" s="6"/>
      <c r="U31" s="2"/>
      <c r="V31" s="7">
        <f t="shared" si="27"/>
        <v>0</v>
      </c>
      <c r="W31" s="2"/>
      <c r="X31" s="6">
        <f t="shared" si="28"/>
        <v>633</v>
      </c>
      <c r="Y31" s="2"/>
      <c r="Z31" s="7">
        <f t="shared" si="29"/>
        <v>0</v>
      </c>
    </row>
    <row r="32" spans="1:26" s="27" customFormat="1" outlineLevel="1" collapsed="1" x14ac:dyDescent="0.25">
      <c r="A32" s="25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404.43</v>
      </c>
      <c r="E32" s="1"/>
      <c r="F32" s="5">
        <f t="shared" ref="F32:F44" si="30">IF(D$12=0,0,D32/D$12)</f>
        <v>0</v>
      </c>
      <c r="G32" s="1"/>
      <c r="H32" s="1">
        <f>SUM(OSRRefH22_2x_0)</f>
        <v>0</v>
      </c>
      <c r="I32" s="1"/>
      <c r="J32" s="5">
        <f t="shared" ref="J32:J44" si="31">IF(H$12=0,0,H32/H$12)</f>
        <v>0</v>
      </c>
      <c r="K32" s="1"/>
      <c r="L32" s="1">
        <f t="shared" ref="L32:L44" si="32">+D32-H32</f>
        <v>404.43</v>
      </c>
      <c r="M32" s="1"/>
      <c r="N32" s="5">
        <f t="shared" ref="N32:N44" si="33">IF(H32=0,0,L32/H32)</f>
        <v>0</v>
      </c>
      <c r="O32" s="13"/>
      <c r="P32" s="1">
        <f>SUM(OSRRefP22_2x_0)</f>
        <v>508.38</v>
      </c>
      <c r="Q32" s="1"/>
      <c r="R32" s="5">
        <f t="shared" ref="R32:R44" si="34">IF(P$12=0,0,P32/P$12)</f>
        <v>2.5608670618939174E-2</v>
      </c>
      <c r="S32" s="1"/>
      <c r="T32" s="1">
        <f>SUM(OSRRefT22_2x_0)</f>
        <v>31.5</v>
      </c>
      <c r="U32" s="1"/>
      <c r="V32" s="5">
        <f t="shared" ref="V32:V44" si="35">IF(T$12=0,0,T32/T$12)</f>
        <v>1.0747801306932639E-3</v>
      </c>
      <c r="W32" s="1"/>
      <c r="X32" s="1">
        <f t="shared" ref="X32:X44" si="36">+P32-T32</f>
        <v>476.88</v>
      </c>
      <c r="Y32" s="1"/>
      <c r="Z32" s="5">
        <f t="shared" ref="Z32:Z44" si="37">IF(T32=0,0,X32/T32)</f>
        <v>15.139047619047618</v>
      </c>
    </row>
    <row r="33" spans="1:26" s="24" customFormat="1" hidden="1" outlineLevel="2" x14ac:dyDescent="0.25">
      <c r="A33" s="26"/>
      <c r="B33" s="11" t="str">
        <f>CONCATENATE("          ", "6362", " - ", "ADVERTISING EXPENSE")</f>
        <v xml:space="preserve">          6362 - ADVERTISING EXPENSE</v>
      </c>
      <c r="C33" s="11"/>
      <c r="D33" s="6">
        <v>404.43</v>
      </c>
      <c r="E33" s="2"/>
      <c r="F33" s="7">
        <f t="shared" si="30"/>
        <v>0</v>
      </c>
      <c r="G33" s="2"/>
      <c r="H33" s="6"/>
      <c r="I33" s="2"/>
      <c r="J33" s="7">
        <f t="shared" si="31"/>
        <v>0</v>
      </c>
      <c r="K33" s="2"/>
      <c r="L33" s="6">
        <f t="shared" si="32"/>
        <v>404.43</v>
      </c>
      <c r="M33" s="2"/>
      <c r="N33" s="7">
        <f t="shared" si="33"/>
        <v>0</v>
      </c>
      <c r="O33" s="11"/>
      <c r="P33" s="6">
        <v>508.38</v>
      </c>
      <c r="Q33" s="2"/>
      <c r="R33" s="7">
        <f t="shared" si="34"/>
        <v>2.5608670618939174E-2</v>
      </c>
      <c r="S33" s="2"/>
      <c r="T33" s="6">
        <v>31.5</v>
      </c>
      <c r="U33" s="2"/>
      <c r="V33" s="7">
        <f t="shared" si="35"/>
        <v>1.0747801306932639E-3</v>
      </c>
      <c r="W33" s="2"/>
      <c r="X33" s="6">
        <f t="shared" si="36"/>
        <v>476.88</v>
      </c>
      <c r="Y33" s="2"/>
      <c r="Z33" s="7">
        <f t="shared" si="37"/>
        <v>15.139047619047618</v>
      </c>
    </row>
    <row r="34" spans="1:26" s="27" customFormat="1" outlineLevel="1" collapsed="1" x14ac:dyDescent="0.25">
      <c r="A34" s="25"/>
      <c r="B34" s="13" t="str">
        <f>CONCATENATE("     ","Bad Debts/Over/Short                              ")</f>
        <v xml:space="preserve">     Bad Debts/Over/Short                              </v>
      </c>
      <c r="C34" s="13"/>
      <c r="D34" s="1">
        <f>SUM(OSRRefD22_3x_0)</f>
        <v>0</v>
      </c>
      <c r="E34" s="1"/>
      <c r="F34" s="5">
        <f t="shared" si="30"/>
        <v>0</v>
      </c>
      <c r="G34" s="1"/>
      <c r="H34" s="1">
        <f>SUM(OSRRefH22_3x_0)</f>
        <v>0</v>
      </c>
      <c r="I34" s="1"/>
      <c r="J34" s="5">
        <f t="shared" si="31"/>
        <v>0</v>
      </c>
      <c r="K34" s="1"/>
      <c r="L34" s="1">
        <f t="shared" si="32"/>
        <v>0</v>
      </c>
      <c r="M34" s="1"/>
      <c r="N34" s="5">
        <f t="shared" si="33"/>
        <v>0</v>
      </c>
      <c r="O34" s="13"/>
      <c r="P34" s="1">
        <f>SUM(OSRRefP22_3x_0)</f>
        <v>1.85</v>
      </c>
      <c r="Q34" s="1"/>
      <c r="R34" s="5">
        <f t="shared" si="34"/>
        <v>9.3190213314916939E-5</v>
      </c>
      <c r="S34" s="1"/>
      <c r="T34" s="1">
        <f>SUM(OSRRefT22_3x_0)</f>
        <v>-17.079999999999998</v>
      </c>
      <c r="U34" s="1"/>
      <c r="V34" s="5">
        <f t="shared" si="35"/>
        <v>-5.827696708647919E-4</v>
      </c>
      <c r="W34" s="1"/>
      <c r="X34" s="1">
        <f t="shared" si="36"/>
        <v>18.93</v>
      </c>
      <c r="Y34" s="1"/>
      <c r="Z34" s="5">
        <f t="shared" si="37"/>
        <v>-1.1083138173302109</v>
      </c>
    </row>
    <row r="35" spans="1:26" s="24" customFormat="1" hidden="1" outlineLevel="2" x14ac:dyDescent="0.25">
      <c r="A35" s="26"/>
      <c r="B35" s="11" t="str">
        <f>CONCATENATE("          ", "6272", " - ", "CASH (OVER/SHORT)")</f>
        <v xml:space="preserve">          6272 - CASH (OVER/SHORT)</v>
      </c>
      <c r="C35" s="11"/>
      <c r="D35" s="6"/>
      <c r="E35" s="2"/>
      <c r="F35" s="7">
        <f t="shared" si="30"/>
        <v>0</v>
      </c>
      <c r="G35" s="2"/>
      <c r="H35" s="6"/>
      <c r="I35" s="2"/>
      <c r="J35" s="7">
        <f t="shared" si="31"/>
        <v>0</v>
      </c>
      <c r="K35" s="2"/>
      <c r="L35" s="6">
        <f t="shared" si="32"/>
        <v>0</v>
      </c>
      <c r="M35" s="2"/>
      <c r="N35" s="7">
        <f t="shared" si="33"/>
        <v>0</v>
      </c>
      <c r="O35" s="11"/>
      <c r="P35" s="6">
        <v>1.85</v>
      </c>
      <c r="Q35" s="2"/>
      <c r="R35" s="7">
        <f t="shared" si="34"/>
        <v>9.3190213314916939E-5</v>
      </c>
      <c r="S35" s="2"/>
      <c r="T35" s="6">
        <v>-17.079999999999998</v>
      </c>
      <c r="U35" s="2"/>
      <c r="V35" s="7">
        <f t="shared" si="35"/>
        <v>-5.827696708647919E-4</v>
      </c>
      <c r="W35" s="2"/>
      <c r="X35" s="6">
        <f t="shared" si="36"/>
        <v>18.93</v>
      </c>
      <c r="Y35" s="2"/>
      <c r="Z35" s="7">
        <f t="shared" si="37"/>
        <v>-1.1083138173302109</v>
      </c>
    </row>
    <row r="36" spans="1:26" s="27" customFormat="1" outlineLevel="1" collapsed="1" x14ac:dyDescent="0.25">
      <c r="A36" s="25"/>
      <c r="B36" s="13" t="str">
        <f>CONCATENATE("     ","Bank/card Fees                                    ")</f>
        <v xml:space="preserve">     Bank/card Fees                                    </v>
      </c>
      <c r="C36" s="13"/>
      <c r="D36" s="1">
        <f>SUM(OSRRefD22_4x_0)</f>
        <v>15.08</v>
      </c>
      <c r="E36" s="1"/>
      <c r="F36" s="5">
        <f t="shared" si="30"/>
        <v>0</v>
      </c>
      <c r="G36" s="1"/>
      <c r="H36" s="1">
        <f>SUM(OSRRefH22_4x_0)</f>
        <v>0</v>
      </c>
      <c r="I36" s="1"/>
      <c r="J36" s="5">
        <f t="shared" si="31"/>
        <v>0</v>
      </c>
      <c r="K36" s="1"/>
      <c r="L36" s="1">
        <f t="shared" si="32"/>
        <v>15.08</v>
      </c>
      <c r="M36" s="1"/>
      <c r="N36" s="5">
        <f t="shared" si="33"/>
        <v>0</v>
      </c>
      <c r="O36" s="13"/>
      <c r="P36" s="1">
        <f>SUM(OSRRefP22_4x_0)</f>
        <v>348.55</v>
      </c>
      <c r="Q36" s="1"/>
      <c r="R36" s="5">
        <f t="shared" si="34"/>
        <v>1.7557539919413136E-2</v>
      </c>
      <c r="S36" s="1"/>
      <c r="T36" s="1">
        <f>SUM(OSRRefT22_4x_0)</f>
        <v>546</v>
      </c>
      <c r="U36" s="1"/>
      <c r="V36" s="5">
        <f t="shared" si="35"/>
        <v>1.8629522265349908E-2</v>
      </c>
      <c r="W36" s="1"/>
      <c r="X36" s="1">
        <f t="shared" si="36"/>
        <v>-197.45</v>
      </c>
      <c r="Y36" s="1"/>
      <c r="Z36" s="5">
        <f t="shared" si="37"/>
        <v>-0.36163003663003662</v>
      </c>
    </row>
    <row r="37" spans="1:26" s="24" customFormat="1" hidden="1" outlineLevel="2" x14ac:dyDescent="0.25">
      <c r="A37" s="26"/>
      <c r="B37" s="11" t="str">
        <f>CONCATENATE("          ", "6381", " - ", "BANK/CREDIT CARD FEES")</f>
        <v xml:space="preserve">          6381 - BANK/CREDIT CARD FEES</v>
      </c>
      <c r="C37" s="11"/>
      <c r="D37" s="6">
        <v>15.08</v>
      </c>
      <c r="E37" s="2"/>
      <c r="F37" s="7">
        <f t="shared" si="30"/>
        <v>0</v>
      </c>
      <c r="G37" s="2"/>
      <c r="H37" s="6"/>
      <c r="I37" s="2"/>
      <c r="J37" s="7">
        <f t="shared" si="31"/>
        <v>0</v>
      </c>
      <c r="K37" s="2"/>
      <c r="L37" s="6">
        <f t="shared" si="32"/>
        <v>15.08</v>
      </c>
      <c r="M37" s="2"/>
      <c r="N37" s="7">
        <f t="shared" si="33"/>
        <v>0</v>
      </c>
      <c r="O37" s="11"/>
      <c r="P37" s="6">
        <v>348.55</v>
      </c>
      <c r="Q37" s="2"/>
      <c r="R37" s="7">
        <f t="shared" si="34"/>
        <v>1.7557539919413136E-2</v>
      </c>
      <c r="S37" s="2"/>
      <c r="T37" s="6">
        <v>546</v>
      </c>
      <c r="U37" s="2"/>
      <c r="V37" s="7">
        <f t="shared" si="35"/>
        <v>1.8629522265349908E-2</v>
      </c>
      <c r="W37" s="2"/>
      <c r="X37" s="6">
        <f t="shared" si="36"/>
        <v>-197.45</v>
      </c>
      <c r="Y37" s="2"/>
      <c r="Z37" s="7">
        <f t="shared" si="37"/>
        <v>-0.36163003663003662</v>
      </c>
    </row>
    <row r="38" spans="1:26" s="27" customFormat="1" outlineLevel="1" collapsed="1" x14ac:dyDescent="0.25">
      <c r="A38" s="25"/>
      <c r="B38" s="13" t="str">
        <f>CONCATENATE("     ","Employees' Appreciation                           ")</f>
        <v xml:space="preserve">     Employees' Appreciation                           </v>
      </c>
      <c r="C38" s="13"/>
      <c r="D38" s="1">
        <f>SUM(OSRRefD22_5x_0)</f>
        <v>0</v>
      </c>
      <c r="E38" s="1"/>
      <c r="F38" s="5">
        <f t="shared" si="30"/>
        <v>0</v>
      </c>
      <c r="G38" s="1"/>
      <c r="H38" s="1">
        <f>SUM(OSRRefH22_5x_0)</f>
        <v>0</v>
      </c>
      <c r="I38" s="1"/>
      <c r="J38" s="5">
        <f t="shared" si="31"/>
        <v>0</v>
      </c>
      <c r="K38" s="1"/>
      <c r="L38" s="1">
        <f t="shared" si="32"/>
        <v>0</v>
      </c>
      <c r="M38" s="1"/>
      <c r="N38" s="5">
        <f t="shared" si="33"/>
        <v>0</v>
      </c>
      <c r="O38" s="13"/>
      <c r="P38" s="1">
        <f>SUM(OSRRefP22_5x_0)</f>
        <v>114.64</v>
      </c>
      <c r="Q38" s="1"/>
      <c r="R38" s="5">
        <f t="shared" si="34"/>
        <v>5.7747708402281503E-3</v>
      </c>
      <c r="S38" s="1"/>
      <c r="T38" s="1">
        <f>SUM(OSRRefT22_5x_0)</f>
        <v>0</v>
      </c>
      <c r="U38" s="1"/>
      <c r="V38" s="5">
        <f t="shared" si="35"/>
        <v>0</v>
      </c>
      <c r="W38" s="1"/>
      <c r="X38" s="1">
        <f t="shared" si="36"/>
        <v>114.64</v>
      </c>
      <c r="Y38" s="1"/>
      <c r="Z38" s="5">
        <f t="shared" si="37"/>
        <v>0</v>
      </c>
    </row>
    <row r="39" spans="1:26" s="24" customFormat="1" hidden="1" outlineLevel="2" x14ac:dyDescent="0.25">
      <c r="A39" s="26"/>
      <c r="B39" s="11" t="str">
        <f>CONCATENATE("          ", "6277", " - ", "EMPLOYEE APPRECIATION")</f>
        <v xml:space="preserve">          6277 - EMPLOYEE APPRECIATION</v>
      </c>
      <c r="C39" s="11"/>
      <c r="D39" s="6"/>
      <c r="E39" s="2"/>
      <c r="F39" s="7">
        <f t="shared" si="30"/>
        <v>0</v>
      </c>
      <c r="G39" s="2"/>
      <c r="H39" s="6"/>
      <c r="I39" s="2"/>
      <c r="J39" s="7">
        <f t="shared" si="31"/>
        <v>0</v>
      </c>
      <c r="K39" s="2"/>
      <c r="L39" s="6">
        <f t="shared" si="32"/>
        <v>0</v>
      </c>
      <c r="M39" s="2"/>
      <c r="N39" s="7">
        <f t="shared" si="33"/>
        <v>0</v>
      </c>
      <c r="O39" s="11"/>
      <c r="P39" s="6">
        <v>114.64</v>
      </c>
      <c r="Q39" s="2"/>
      <c r="R39" s="7">
        <f t="shared" si="34"/>
        <v>5.7747708402281503E-3</v>
      </c>
      <c r="S39" s="2"/>
      <c r="T39" s="6"/>
      <c r="U39" s="2"/>
      <c r="V39" s="7">
        <f t="shared" si="35"/>
        <v>0</v>
      </c>
      <c r="W39" s="2"/>
      <c r="X39" s="6">
        <f t="shared" si="36"/>
        <v>114.64</v>
      </c>
      <c r="Y39" s="2"/>
      <c r="Z39" s="7">
        <f t="shared" si="37"/>
        <v>0</v>
      </c>
    </row>
    <row r="40" spans="1:26" s="27" customFormat="1" outlineLevel="1" collapsed="1" x14ac:dyDescent="0.25">
      <c r="A40" s="25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SUM(OSRRefD22_6x_0)</f>
        <v>553.65</v>
      </c>
      <c r="E40" s="1"/>
      <c r="F40" s="5">
        <f t="shared" si="30"/>
        <v>0</v>
      </c>
      <c r="G40" s="1"/>
      <c r="H40" s="1">
        <f>SUM(OSRRefH22_6x_0)</f>
        <v>-704.2</v>
      </c>
      <c r="I40" s="1"/>
      <c r="J40" s="5">
        <f t="shared" si="31"/>
        <v>0</v>
      </c>
      <c r="K40" s="1"/>
      <c r="L40" s="1">
        <f t="shared" si="32"/>
        <v>1257.8499999999999</v>
      </c>
      <c r="M40" s="1"/>
      <c r="N40" s="5">
        <f t="shared" si="33"/>
        <v>-1.7862113036069296</v>
      </c>
      <c r="O40" s="13"/>
      <c r="P40" s="1">
        <f>SUM(OSRRefP22_6x_0)</f>
        <v>3267.75</v>
      </c>
      <c r="Q40" s="1"/>
      <c r="R40" s="5">
        <f t="shared" si="34"/>
        <v>0.16460665922152423</v>
      </c>
      <c r="S40" s="1"/>
      <c r="T40" s="1">
        <f>SUM(OSRRefT22_6x_0)</f>
        <v>1796.23</v>
      </c>
      <c r="U40" s="1"/>
      <c r="V40" s="5">
        <f t="shared" si="35"/>
        <v>6.1287375052544807E-2</v>
      </c>
      <c r="W40" s="1"/>
      <c r="X40" s="1">
        <f t="shared" si="36"/>
        <v>1471.52</v>
      </c>
      <c r="Y40" s="1"/>
      <c r="Z40" s="5">
        <f t="shared" si="37"/>
        <v>0.81922693641682853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6">
        <v>553.65</v>
      </c>
      <c r="E41" s="2"/>
      <c r="F41" s="7">
        <f t="shared" si="30"/>
        <v>0</v>
      </c>
      <c r="G41" s="2"/>
      <c r="H41" s="6">
        <v>-704.2</v>
      </c>
      <c r="I41" s="2"/>
      <c r="J41" s="7">
        <f t="shared" si="31"/>
        <v>0</v>
      </c>
      <c r="K41" s="2"/>
      <c r="L41" s="6">
        <f t="shared" si="32"/>
        <v>1257.8499999999999</v>
      </c>
      <c r="M41" s="2"/>
      <c r="N41" s="7">
        <f t="shared" si="33"/>
        <v>-1.7862113036069296</v>
      </c>
      <c r="O41" s="11"/>
      <c r="P41" s="6">
        <v>3267.75</v>
      </c>
      <c r="Q41" s="2"/>
      <c r="R41" s="7">
        <f t="shared" si="34"/>
        <v>0.16460665922152423</v>
      </c>
      <c r="S41" s="2"/>
      <c r="T41" s="6">
        <v>1796.23</v>
      </c>
      <c r="U41" s="2"/>
      <c r="V41" s="7">
        <f t="shared" si="35"/>
        <v>6.1287375052544807E-2</v>
      </c>
      <c r="W41" s="2"/>
      <c r="X41" s="6">
        <f t="shared" si="36"/>
        <v>1471.52</v>
      </c>
      <c r="Y41" s="2"/>
      <c r="Z41" s="7">
        <f t="shared" si="37"/>
        <v>0.81922693641682853</v>
      </c>
    </row>
    <row r="42" spans="1:26" s="27" customFormat="1" outlineLevel="1" collapsed="1" x14ac:dyDescent="0.25">
      <c r="A42" s="25"/>
      <c r="B42" s="13" t="str">
        <f>CONCATENATE("     ","Repair and Maintenance                            ")</f>
        <v xml:space="preserve">     Repair and Maintenance                            </v>
      </c>
      <c r="C42" s="13"/>
      <c r="D42" s="1">
        <f>SUM(OSRRefD22_7x_0)</f>
        <v>0</v>
      </c>
      <c r="E42" s="1"/>
      <c r="F42" s="5">
        <f t="shared" si="30"/>
        <v>0</v>
      </c>
      <c r="G42" s="1"/>
      <c r="H42" s="1">
        <f>SUM(OSRRefH22_7x_0)</f>
        <v>0</v>
      </c>
      <c r="I42" s="1"/>
      <c r="J42" s="5">
        <f t="shared" si="31"/>
        <v>0</v>
      </c>
      <c r="K42" s="1"/>
      <c r="L42" s="1">
        <f t="shared" si="32"/>
        <v>0</v>
      </c>
      <c r="M42" s="1"/>
      <c r="N42" s="5">
        <f t="shared" si="33"/>
        <v>0</v>
      </c>
      <c r="O42" s="13"/>
      <c r="P42" s="1">
        <f>SUM(OSRRefP22_7x_0)</f>
        <v>434.72</v>
      </c>
      <c r="Q42" s="1"/>
      <c r="R42" s="5">
        <f t="shared" si="34"/>
        <v>2.1898188936357133E-2</v>
      </c>
      <c r="S42" s="1"/>
      <c r="T42" s="1">
        <f>SUM(OSRRefT22_7x_0)</f>
        <v>1879.98</v>
      </c>
      <c r="U42" s="1"/>
      <c r="V42" s="5">
        <f t="shared" si="35"/>
        <v>6.4144925400022923E-2</v>
      </c>
      <c r="W42" s="1"/>
      <c r="X42" s="1">
        <f t="shared" si="36"/>
        <v>-1445.26</v>
      </c>
      <c r="Y42" s="1"/>
      <c r="Z42" s="5">
        <f t="shared" si="37"/>
        <v>-0.76876349748401573</v>
      </c>
    </row>
    <row r="43" spans="1:26" s="24" customFormat="1" hidden="1" outlineLevel="2" x14ac:dyDescent="0.25">
      <c r="A43" s="26"/>
      <c r="B43" s="11" t="str">
        <f>CONCATENATE("          ", "6373", " - ", "MAINTENANCE CONTRACTS")</f>
        <v xml:space="preserve">          6373 - MAINTENANCE CONTRACTS</v>
      </c>
      <c r="C43" s="11"/>
      <c r="D43" s="6"/>
      <c r="E43" s="2"/>
      <c r="F43" s="7">
        <f t="shared" si="30"/>
        <v>0</v>
      </c>
      <c r="G43" s="2"/>
      <c r="H43" s="6"/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>
        <v>296.64</v>
      </c>
      <c r="Q43" s="2"/>
      <c r="R43" s="7">
        <f t="shared" si="34"/>
        <v>1.4942672906884842E-2</v>
      </c>
      <c r="S43" s="2"/>
      <c r="T43" s="6">
        <v>283.5</v>
      </c>
      <c r="U43" s="2"/>
      <c r="V43" s="7">
        <f t="shared" si="35"/>
        <v>9.6730211762393759E-3</v>
      </c>
      <c r="W43" s="2"/>
      <c r="X43" s="6">
        <f t="shared" si="36"/>
        <v>13.139999999999986</v>
      </c>
      <c r="Y43" s="2"/>
      <c r="Z43" s="7">
        <f t="shared" si="37"/>
        <v>4.63492063492063E-2</v>
      </c>
    </row>
    <row r="44" spans="1:26" s="24" customFormat="1" hidden="1" outlineLevel="2" x14ac:dyDescent="0.25">
      <c r="A44" s="26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138.08000000000001</v>
      </c>
      <c r="Q44" s="2"/>
      <c r="R44" s="7">
        <f t="shared" si="34"/>
        <v>6.9555160294722876E-3</v>
      </c>
      <c r="S44" s="2"/>
      <c r="T44" s="6">
        <v>1596.48</v>
      </c>
      <c r="U44" s="2"/>
      <c r="V44" s="7">
        <f t="shared" si="35"/>
        <v>5.4471904223783556E-2</v>
      </c>
      <c r="W44" s="2"/>
      <c r="X44" s="6">
        <f t="shared" si="36"/>
        <v>-1458.4</v>
      </c>
      <c r="Y44" s="2"/>
      <c r="Z44" s="7">
        <f t="shared" si="37"/>
        <v>-0.91350972138705155</v>
      </c>
    </row>
    <row r="45" spans="1:26" s="27" customFormat="1" outlineLevel="1" collapsed="1" x14ac:dyDescent="0.25">
      <c r="A45" s="25"/>
      <c r="B45" s="13" t="str">
        <f>CONCATENATE("     ","Royalty &amp; Commissions                             ")</f>
        <v xml:space="preserve">     Royalty &amp; Commissions                             </v>
      </c>
      <c r="C45" s="13"/>
      <c r="D45" s="1">
        <f>SUM(OSRRefD22_8x_0)</f>
        <v>0</v>
      </c>
      <c r="E45" s="1"/>
      <c r="F45" s="5">
        <f t="shared" ref="F45:F54" si="38">IF(D$12=0,0,D45/D$12)</f>
        <v>0</v>
      </c>
      <c r="G45" s="1"/>
      <c r="H45" s="1">
        <f>SUM(OSRRefH22_8x_0)</f>
        <v>0</v>
      </c>
      <c r="I45" s="1"/>
      <c r="J45" s="5">
        <f t="shared" ref="J45:J54" si="39">IF(H$12=0,0,H45/H$12)</f>
        <v>0</v>
      </c>
      <c r="K45" s="1"/>
      <c r="L45" s="1">
        <f t="shared" ref="L45:L54" si="40">+D45-H45</f>
        <v>0</v>
      </c>
      <c r="M45" s="1"/>
      <c r="N45" s="5">
        <f t="shared" ref="N45:N54" si="41">IF(H45=0,0,L45/H45)</f>
        <v>0</v>
      </c>
      <c r="O45" s="13"/>
      <c r="P45" s="1">
        <f>SUM(OSRRefP22_8x_0)</f>
        <v>5576.51</v>
      </c>
      <c r="Q45" s="1"/>
      <c r="R45" s="5">
        <f t="shared" ref="R45:R54" si="42">IF(P$12=0,0,P45/P$12)</f>
        <v>0.28090603051500945</v>
      </c>
      <c r="S45" s="1"/>
      <c r="T45" s="1">
        <f>SUM(OSRRefT22_8x_0)</f>
        <v>12443.41</v>
      </c>
      <c r="U45" s="1"/>
      <c r="V45" s="5">
        <f t="shared" ref="V45:V54" si="43">IF(T$12=0,0,T45/T$12)</f>
        <v>0.42456920082761485</v>
      </c>
      <c r="W45" s="1"/>
      <c r="X45" s="1">
        <f t="shared" ref="X45:X54" si="44">+P45-T45</f>
        <v>-6866.9</v>
      </c>
      <c r="Y45" s="1"/>
      <c r="Z45" s="5">
        <f t="shared" ref="Z45:Z54" si="45">IF(T45=0,0,X45/T45)</f>
        <v>-0.55185033684496454</v>
      </c>
    </row>
    <row r="46" spans="1:26" s="24" customFormat="1" hidden="1" outlineLevel="2" x14ac:dyDescent="0.25">
      <c r="A46" s="26"/>
      <c r="B46" s="11" t="str">
        <f>CONCATENATE("          ", "6254", " - ", "ROYALTY &amp; COMMISSIONS")</f>
        <v xml:space="preserve">          6254 - ROYALTY &amp; COMMISSIONS</v>
      </c>
      <c r="C46" s="11"/>
      <c r="D46" s="6"/>
      <c r="E46" s="2"/>
      <c r="F46" s="7">
        <f t="shared" si="38"/>
        <v>0</v>
      </c>
      <c r="G46" s="2"/>
      <c r="H46" s="6"/>
      <c r="I46" s="2"/>
      <c r="J46" s="7">
        <f t="shared" si="39"/>
        <v>0</v>
      </c>
      <c r="K46" s="2"/>
      <c r="L46" s="6">
        <f t="shared" si="40"/>
        <v>0</v>
      </c>
      <c r="M46" s="2"/>
      <c r="N46" s="7">
        <f t="shared" si="41"/>
        <v>0</v>
      </c>
      <c r="O46" s="11"/>
      <c r="P46" s="6">
        <v>5576.51</v>
      </c>
      <c r="Q46" s="2"/>
      <c r="R46" s="7">
        <f t="shared" si="42"/>
        <v>0.28090603051500945</v>
      </c>
      <c r="S46" s="2"/>
      <c r="T46" s="6">
        <v>12443.41</v>
      </c>
      <c r="U46" s="2"/>
      <c r="V46" s="7">
        <f t="shared" si="43"/>
        <v>0.42456920082761485</v>
      </c>
      <c r="W46" s="2"/>
      <c r="X46" s="6">
        <f t="shared" si="44"/>
        <v>-6866.9</v>
      </c>
      <c r="Y46" s="2"/>
      <c r="Z46" s="7">
        <f t="shared" si="45"/>
        <v>-0.55185033684496454</v>
      </c>
    </row>
    <row r="47" spans="1:26" s="27" customFormat="1" outlineLevel="1" collapsed="1" x14ac:dyDescent="0.25">
      <c r="A47" s="25"/>
      <c r="B47" s="13" t="str">
        <f>CONCATENATE("     ","Services                                          ")</f>
        <v xml:space="preserve">     Services                                          </v>
      </c>
      <c r="C47" s="13"/>
      <c r="D47" s="1">
        <f>SUM(OSRRefD22_9x_0)</f>
        <v>32.5</v>
      </c>
      <c r="E47" s="1"/>
      <c r="F47" s="5">
        <f t="shared" si="38"/>
        <v>0</v>
      </c>
      <c r="G47" s="1"/>
      <c r="H47" s="1">
        <f>SUM(OSRRefH22_9x_0)</f>
        <v>0</v>
      </c>
      <c r="I47" s="1"/>
      <c r="J47" s="5">
        <f t="shared" si="39"/>
        <v>0</v>
      </c>
      <c r="K47" s="1"/>
      <c r="L47" s="1">
        <f t="shared" si="40"/>
        <v>32.5</v>
      </c>
      <c r="M47" s="1"/>
      <c r="N47" s="5">
        <f t="shared" si="41"/>
        <v>0</v>
      </c>
      <c r="O47" s="13"/>
      <c r="P47" s="1">
        <f>SUM(OSRRefP22_9x_0)</f>
        <v>32.5</v>
      </c>
      <c r="Q47" s="1"/>
      <c r="R47" s="5">
        <f t="shared" si="42"/>
        <v>1.6371253690458381E-3</v>
      </c>
      <c r="S47" s="1"/>
      <c r="T47" s="1">
        <f>SUM(OSRRefT22_9x_0)</f>
        <v>0</v>
      </c>
      <c r="U47" s="1"/>
      <c r="V47" s="5">
        <f t="shared" si="43"/>
        <v>0</v>
      </c>
      <c r="W47" s="1"/>
      <c r="X47" s="1">
        <f t="shared" si="44"/>
        <v>32.5</v>
      </c>
      <c r="Y47" s="1"/>
      <c r="Z47" s="5">
        <f t="shared" si="45"/>
        <v>0</v>
      </c>
    </row>
    <row r="48" spans="1:26" s="24" customFormat="1" hidden="1" outlineLevel="2" x14ac:dyDescent="0.25">
      <c r="A48" s="26"/>
      <c r="B48" s="11" t="str">
        <f>CONCATENATE("          ", "6286", " - ", "LAUNDRY EXPENSE")</f>
        <v xml:space="preserve">          6286 - LAUNDRY EXPENSE</v>
      </c>
      <c r="C48" s="11"/>
      <c r="D48" s="6">
        <v>32.5</v>
      </c>
      <c r="E48" s="2"/>
      <c r="F48" s="7">
        <f t="shared" si="38"/>
        <v>0</v>
      </c>
      <c r="G48" s="2"/>
      <c r="H48" s="6"/>
      <c r="I48" s="2"/>
      <c r="J48" s="7">
        <f t="shared" si="39"/>
        <v>0</v>
      </c>
      <c r="K48" s="2"/>
      <c r="L48" s="6">
        <f t="shared" si="40"/>
        <v>32.5</v>
      </c>
      <c r="M48" s="2"/>
      <c r="N48" s="7">
        <f t="shared" si="41"/>
        <v>0</v>
      </c>
      <c r="O48" s="11"/>
      <c r="P48" s="6">
        <v>32.5</v>
      </c>
      <c r="Q48" s="2"/>
      <c r="R48" s="7">
        <f t="shared" si="42"/>
        <v>1.6371253690458381E-3</v>
      </c>
      <c r="S48" s="2"/>
      <c r="T48" s="6"/>
      <c r="U48" s="2"/>
      <c r="V48" s="7">
        <f t="shared" si="43"/>
        <v>0</v>
      </c>
      <c r="W48" s="2"/>
      <c r="X48" s="6">
        <f t="shared" si="44"/>
        <v>32.5</v>
      </c>
      <c r="Y48" s="2"/>
      <c r="Z48" s="7">
        <f t="shared" si="45"/>
        <v>0</v>
      </c>
    </row>
    <row r="49" spans="1:26" s="27" customFormat="1" outlineLevel="1" collapsed="1" x14ac:dyDescent="0.25">
      <c r="A49" s="25"/>
      <c r="B49" s="13" t="str">
        <f>CONCATENATE("     ","Supplies                                          ")</f>
        <v xml:space="preserve">     Supplies                                          </v>
      </c>
      <c r="C49" s="13"/>
      <c r="D49" s="1">
        <f>SUM(OSRRefD22_10x_0)</f>
        <v>479.62</v>
      </c>
      <c r="E49" s="1"/>
      <c r="F49" s="5">
        <f t="shared" si="38"/>
        <v>0</v>
      </c>
      <c r="G49" s="1"/>
      <c r="H49" s="1">
        <f>SUM(OSRRefH22_10x_0)</f>
        <v>378.67</v>
      </c>
      <c r="I49" s="1"/>
      <c r="J49" s="5">
        <f t="shared" si="39"/>
        <v>0</v>
      </c>
      <c r="K49" s="1"/>
      <c r="L49" s="1">
        <f t="shared" si="40"/>
        <v>100.94999999999999</v>
      </c>
      <c r="M49" s="1"/>
      <c r="N49" s="5">
        <f t="shared" si="41"/>
        <v>0.26659096310771907</v>
      </c>
      <c r="O49" s="13"/>
      <c r="P49" s="1">
        <f>SUM(OSRRefP22_10x_0)</f>
        <v>1013.37</v>
      </c>
      <c r="Q49" s="1"/>
      <c r="R49" s="5">
        <f t="shared" si="42"/>
        <v>5.1046576468614796E-2</v>
      </c>
      <c r="S49" s="1"/>
      <c r="T49" s="1">
        <f>SUM(OSRRefT22_10x_0)</f>
        <v>1570.6800000000003</v>
      </c>
      <c r="U49" s="1"/>
      <c r="V49" s="5">
        <f t="shared" si="43"/>
        <v>5.3591608116739554E-2</v>
      </c>
      <c r="W49" s="1"/>
      <c r="X49" s="1">
        <f t="shared" si="44"/>
        <v>-557.31000000000029</v>
      </c>
      <c r="Y49" s="1"/>
      <c r="Z49" s="5">
        <f t="shared" si="45"/>
        <v>-0.35482084192833691</v>
      </c>
    </row>
    <row r="50" spans="1:26" s="24" customFormat="1" hidden="1" outlineLevel="2" x14ac:dyDescent="0.25">
      <c r="A50" s="26"/>
      <c r="B50" s="11" t="str">
        <f>CONCATENATE("          ", "6234", " - ", "EXPENDABLE SUPPLIES &amp; EQUIPMEN")</f>
        <v xml:space="preserve">          6234 - EXPENDABLE SUPPLIES &amp; EQUIPMEN</v>
      </c>
      <c r="C50" s="11"/>
      <c r="D50" s="6"/>
      <c r="E50" s="2"/>
      <c r="F50" s="7">
        <f t="shared" si="38"/>
        <v>0</v>
      </c>
      <c r="G50" s="2"/>
      <c r="H50" s="6"/>
      <c r="I50" s="2"/>
      <c r="J50" s="7">
        <f t="shared" si="39"/>
        <v>0</v>
      </c>
      <c r="K50" s="2"/>
      <c r="L50" s="6">
        <f t="shared" si="40"/>
        <v>0</v>
      </c>
      <c r="M50" s="2"/>
      <c r="N50" s="7">
        <f t="shared" si="41"/>
        <v>0</v>
      </c>
      <c r="O50" s="11"/>
      <c r="P50" s="6"/>
      <c r="Q50" s="2"/>
      <c r="R50" s="7">
        <f t="shared" si="42"/>
        <v>0</v>
      </c>
      <c r="S50" s="2"/>
      <c r="T50" s="6">
        <v>106.94</v>
      </c>
      <c r="U50" s="2"/>
      <c r="V50" s="7">
        <f t="shared" si="43"/>
        <v>3.6487932436932583E-3</v>
      </c>
      <c r="W50" s="2"/>
      <c r="X50" s="6">
        <f t="shared" si="44"/>
        <v>-106.94</v>
      </c>
      <c r="Y50" s="2"/>
      <c r="Z50" s="7">
        <f t="shared" si="45"/>
        <v>-1</v>
      </c>
    </row>
    <row r="51" spans="1:26" s="24" customFormat="1" hidden="1" outlineLevel="2" x14ac:dyDescent="0.25">
      <c r="A51" s="26"/>
      <c r="B51" s="11" t="str">
        <f>CONCATENATE("          ", "6237", " - ", "JANITORIAL SUPPLIES")</f>
        <v xml:space="preserve">          6237 - JANITORIAL SUPPLIES</v>
      </c>
      <c r="C51" s="11"/>
      <c r="D51" s="6"/>
      <c r="E51" s="2"/>
      <c r="F51" s="7">
        <f t="shared" si="38"/>
        <v>0</v>
      </c>
      <c r="G51" s="2"/>
      <c r="H51" s="6">
        <v>378.67</v>
      </c>
      <c r="I51" s="2"/>
      <c r="J51" s="7">
        <f t="shared" si="39"/>
        <v>0</v>
      </c>
      <c r="K51" s="2"/>
      <c r="L51" s="6">
        <f t="shared" si="40"/>
        <v>-378.67</v>
      </c>
      <c r="M51" s="2"/>
      <c r="N51" s="7">
        <f t="shared" si="41"/>
        <v>-1</v>
      </c>
      <c r="O51" s="11"/>
      <c r="P51" s="6"/>
      <c r="Q51" s="2"/>
      <c r="R51" s="7">
        <f t="shared" si="42"/>
        <v>0</v>
      </c>
      <c r="S51" s="2"/>
      <c r="T51" s="6">
        <v>505.41</v>
      </c>
      <c r="U51" s="2"/>
      <c r="V51" s="7">
        <f t="shared" si="43"/>
        <v>1.7244591296942304E-2</v>
      </c>
      <c r="W51" s="2"/>
      <c r="X51" s="6">
        <f t="shared" si="44"/>
        <v>-505.41</v>
      </c>
      <c r="Y51" s="2"/>
      <c r="Z51" s="7">
        <f t="shared" si="45"/>
        <v>-1</v>
      </c>
    </row>
    <row r="52" spans="1:26" s="24" customFormat="1" hidden="1" outlineLevel="2" x14ac:dyDescent="0.25">
      <c r="A52" s="26"/>
      <c r="B52" s="11" t="str">
        <f>CONCATENATE("          ", "6239", " - ", "KITCHEN SUPPLIES")</f>
        <v xml:space="preserve">          6239 - KITCHEN SUPPLIES</v>
      </c>
      <c r="C52" s="11"/>
      <c r="D52" s="6">
        <v>446.56</v>
      </c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446.56</v>
      </c>
      <c r="M52" s="2"/>
      <c r="N52" s="7">
        <f t="shared" si="41"/>
        <v>0</v>
      </c>
      <c r="O52" s="11"/>
      <c r="P52" s="6">
        <v>875.42</v>
      </c>
      <c r="Q52" s="2"/>
      <c r="R52" s="7">
        <f t="shared" si="42"/>
        <v>4.4097608940618691E-2</v>
      </c>
      <c r="S52" s="2"/>
      <c r="T52" s="6">
        <v>892.2</v>
      </c>
      <c r="U52" s="2"/>
      <c r="V52" s="7">
        <f t="shared" si="43"/>
        <v>3.0441867701731115E-2</v>
      </c>
      <c r="W52" s="2"/>
      <c r="X52" s="6">
        <f t="shared" si="44"/>
        <v>-16.780000000000086</v>
      </c>
      <c r="Y52" s="2"/>
      <c r="Z52" s="7">
        <f t="shared" si="45"/>
        <v>-1.8807442277516347E-2</v>
      </c>
    </row>
    <row r="53" spans="1:26" s="24" customFormat="1" hidden="1" outlineLevel="2" x14ac:dyDescent="0.25">
      <c r="A53" s="26"/>
      <c r="B53" s="11" t="str">
        <f>CONCATENATE("          ", "6241", " - ", "OFFICE EXPENSE")</f>
        <v xml:space="preserve">          6241 - OFFICE EXPENSE</v>
      </c>
      <c r="C53" s="11"/>
      <c r="D53" s="6">
        <v>33.06</v>
      </c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33.06</v>
      </c>
      <c r="M53" s="2"/>
      <c r="N53" s="7">
        <f t="shared" si="41"/>
        <v>0</v>
      </c>
      <c r="O53" s="11"/>
      <c r="P53" s="6">
        <v>33.06</v>
      </c>
      <c r="Q53" s="2"/>
      <c r="R53" s="7">
        <f t="shared" si="42"/>
        <v>1.6653342984817049E-3</v>
      </c>
      <c r="S53" s="2"/>
      <c r="T53" s="6">
        <v>66.13</v>
      </c>
      <c r="U53" s="2"/>
      <c r="V53" s="7">
        <f t="shared" si="43"/>
        <v>2.2563558743728743E-3</v>
      </c>
      <c r="W53" s="2"/>
      <c r="X53" s="6">
        <f t="shared" si="44"/>
        <v>-33.069999999999993</v>
      </c>
      <c r="Y53" s="2"/>
      <c r="Z53" s="7">
        <f t="shared" si="45"/>
        <v>-0.50007560864962941</v>
      </c>
    </row>
    <row r="54" spans="1:26" s="24" customFormat="1" hidden="1" outlineLevel="2" x14ac:dyDescent="0.25">
      <c r="A54" s="26"/>
      <c r="B54" s="11" t="str">
        <f>CONCATENATE("          ", "6247", " - ", "STORE SUPPLIES")</f>
        <v xml:space="preserve">          6247 - STORE SUPPLIES</v>
      </c>
      <c r="C54" s="11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>
        <v>104.89</v>
      </c>
      <c r="Q54" s="2"/>
      <c r="R54" s="7">
        <f t="shared" si="42"/>
        <v>5.2836332295143991E-3</v>
      </c>
      <c r="S54" s="2"/>
      <c r="T54" s="6"/>
      <c r="U54" s="2"/>
      <c r="V54" s="7">
        <f t="shared" si="43"/>
        <v>0</v>
      </c>
      <c r="W54" s="2"/>
      <c r="X54" s="6">
        <f t="shared" si="44"/>
        <v>104.89</v>
      </c>
      <c r="Y54" s="2"/>
      <c r="Z54" s="7">
        <f t="shared" si="45"/>
        <v>0</v>
      </c>
    </row>
    <row r="55" spans="1:26" s="27" customFormat="1" outlineLevel="1" collapsed="1" x14ac:dyDescent="0.25">
      <c r="A55" s="25"/>
      <c r="B55" s="13" t="str">
        <f>CONCATENATE("     ","Telephone/Data Lines                              ")</f>
        <v xml:space="preserve">     Telephone/Data Lines                              </v>
      </c>
      <c r="C55" s="13"/>
      <c r="D55" s="1">
        <f>SUM(OSRRefD22_11x_0)</f>
        <v>214.01</v>
      </c>
      <c r="E55" s="1"/>
      <c r="F55" s="5">
        <f t="shared" ref="F55:F56" si="46">IF(D$12=0,0,D55/D$12)</f>
        <v>0</v>
      </c>
      <c r="G55" s="1"/>
      <c r="H55" s="1">
        <f>SUM(OSRRefH22_11x_0)</f>
        <v>213.01</v>
      </c>
      <c r="I55" s="1"/>
      <c r="J55" s="5">
        <f t="shared" ref="J55:J56" si="47">IF(H$12=0,0,H55/H$12)</f>
        <v>0</v>
      </c>
      <c r="K55" s="1"/>
      <c r="L55" s="1">
        <f t="shared" ref="L55:L56" si="48">+D55-H55</f>
        <v>1</v>
      </c>
      <c r="M55" s="1"/>
      <c r="N55" s="5">
        <f t="shared" ref="N55:N56" si="49">IF(H55=0,0,L55/H55)</f>
        <v>4.694615276278109E-3</v>
      </c>
      <c r="O55" s="13"/>
      <c r="P55" s="1">
        <f>SUM(OSRRefP22_11x_0)</f>
        <v>856.04</v>
      </c>
      <c r="Q55" s="1"/>
      <c r="R55" s="5">
        <f t="shared" ref="R55:R56" si="50">IF(P$12=0,0,P55/P$12)</f>
        <v>4.312137848978459E-2</v>
      </c>
      <c r="S55" s="1"/>
      <c r="T55" s="1">
        <f>SUM(OSRRefT22_11x_0)</f>
        <v>1149.04</v>
      </c>
      <c r="U55" s="1"/>
      <c r="V55" s="5">
        <f t="shared" ref="V55:V56" si="51">IF(T$12=0,0,T55/T$12)</f>
        <v>3.9205249567358345E-2</v>
      </c>
      <c r="W55" s="1"/>
      <c r="X55" s="1">
        <f t="shared" ref="X55:X56" si="52">+P55-T55</f>
        <v>-293</v>
      </c>
      <c r="Y55" s="1"/>
      <c r="Z55" s="5">
        <f t="shared" ref="Z55:Z56" si="53">IF(T55=0,0,X55/T55)</f>
        <v>-0.25499547448304671</v>
      </c>
    </row>
    <row r="56" spans="1:26" s="24" customFormat="1" hidden="1" outlineLevel="2" x14ac:dyDescent="0.25">
      <c r="A56" s="26"/>
      <c r="B56" s="11" t="str">
        <f>CONCATENATE("          ", "6309", " - ", "TELEPHONE")</f>
        <v xml:space="preserve">          6309 - TELEPHONE</v>
      </c>
      <c r="C56" s="11"/>
      <c r="D56" s="6">
        <v>214.01</v>
      </c>
      <c r="E56" s="2"/>
      <c r="F56" s="7">
        <f t="shared" si="46"/>
        <v>0</v>
      </c>
      <c r="G56" s="2"/>
      <c r="H56" s="6">
        <v>213.01</v>
      </c>
      <c r="I56" s="2"/>
      <c r="J56" s="7">
        <f t="shared" si="47"/>
        <v>0</v>
      </c>
      <c r="K56" s="2"/>
      <c r="L56" s="6">
        <f t="shared" si="48"/>
        <v>1</v>
      </c>
      <c r="M56" s="2"/>
      <c r="N56" s="7">
        <f t="shared" si="49"/>
        <v>4.694615276278109E-3</v>
      </c>
      <c r="O56" s="11"/>
      <c r="P56" s="6">
        <v>856.04</v>
      </c>
      <c r="Q56" s="2"/>
      <c r="R56" s="7">
        <f t="shared" si="50"/>
        <v>4.312137848978459E-2</v>
      </c>
      <c r="S56" s="2"/>
      <c r="T56" s="6">
        <v>1149.04</v>
      </c>
      <c r="U56" s="2"/>
      <c r="V56" s="7">
        <f t="shared" si="51"/>
        <v>3.9205249567358345E-2</v>
      </c>
      <c r="W56" s="2"/>
      <c r="X56" s="6">
        <f t="shared" si="52"/>
        <v>-293</v>
      </c>
      <c r="Y56" s="2"/>
      <c r="Z56" s="7">
        <f t="shared" si="53"/>
        <v>-0.25499547448304671</v>
      </c>
    </row>
    <row r="57" spans="1:26" s="55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collapsed="1" x14ac:dyDescent="0.25">
      <c r="A58" s="10"/>
      <c r="B58" s="29" t="s">
        <v>0</v>
      </c>
      <c r="C58" s="10"/>
      <c r="D58" s="4">
        <f>SUM(OSRRefD25x_0)</f>
        <v>0</v>
      </c>
      <c r="E58" s="4"/>
      <c r="F58" s="12">
        <f t="shared" ref="F58:F59" si="54">IF(D$12=0,0,D58/D$12)</f>
        <v>0</v>
      </c>
      <c r="G58" s="4"/>
      <c r="H58" s="4">
        <f>SUM(OSRRefH25x_0)</f>
        <v>0</v>
      </c>
      <c r="I58" s="4"/>
      <c r="J58" s="12">
        <f t="shared" ref="J58:J59" si="55">IF(H$12=0,0,H58/H$12)</f>
        <v>0</v>
      </c>
      <c r="K58" s="4"/>
      <c r="L58" s="4">
        <f t="shared" ref="L58:L59" si="56">+D58-H58</f>
        <v>0</v>
      </c>
      <c r="M58" s="4"/>
      <c r="N58" s="12">
        <f t="shared" ref="N58:N59" si="57">IF(H58=0,0,L58/H58)</f>
        <v>0</v>
      </c>
      <c r="O58" s="10"/>
      <c r="P58" s="4">
        <f>SUM(OSRRefP25x_0)</f>
        <v>3455.9</v>
      </c>
      <c r="Q58" s="4"/>
      <c r="R58" s="12">
        <f t="shared" ref="R58:R59" si="58">IF(P$12=0,0,P58/P$12)</f>
        <v>0.17408435578109269</v>
      </c>
      <c r="S58" s="4"/>
      <c r="T58" s="4">
        <f>SUM(OSRRefT25x_0)</f>
        <v>0</v>
      </c>
      <c r="U58" s="4"/>
      <c r="V58" s="12">
        <f t="shared" ref="V58:V59" si="59">IF(T$12=0,0,T58/T$12)</f>
        <v>0</v>
      </c>
      <c r="W58" s="4"/>
      <c r="X58" s="4">
        <f t="shared" ref="X58:X59" si="60">+P58-T58</f>
        <v>3455.9</v>
      </c>
      <c r="Y58" s="4"/>
      <c r="Z58" s="12">
        <f t="shared" ref="Z58:Z59" si="61">IF(T58=0,0,X58/T58)</f>
        <v>0</v>
      </c>
    </row>
    <row r="59" spans="1:26" s="24" customFormat="1" hidden="1" outlineLevel="1" x14ac:dyDescent="0.25">
      <c r="A59" s="44"/>
      <c r="B59" s="11" t="str">
        <f>CONCATENATE("          ", "9150", " - ", "MISC. INCOME")</f>
        <v xml:space="preserve">          9150 - MISC. INCOME</v>
      </c>
      <c r="C59" s="11"/>
      <c r="D59" s="2">
        <f>0</f>
        <v>0</v>
      </c>
      <c r="E59" s="2"/>
      <c r="F59" s="19">
        <f t="shared" si="54"/>
        <v>0</v>
      </c>
      <c r="G59" s="2"/>
      <c r="H59" s="2">
        <f>0</f>
        <v>0</v>
      </c>
      <c r="I59" s="2"/>
      <c r="J59" s="19">
        <f t="shared" si="55"/>
        <v>0</v>
      </c>
      <c r="K59" s="2"/>
      <c r="L59" s="2">
        <f t="shared" si="56"/>
        <v>0</v>
      </c>
      <c r="M59" s="2"/>
      <c r="N59" s="19">
        <f t="shared" si="57"/>
        <v>0</v>
      </c>
      <c r="O59" s="11"/>
      <c r="P59" s="2">
        <f>--3455.9</f>
        <v>3455.9</v>
      </c>
      <c r="Q59" s="2"/>
      <c r="R59" s="19">
        <f t="shared" si="58"/>
        <v>0.17408435578109269</v>
      </c>
      <c r="S59" s="2"/>
      <c r="T59" s="2">
        <f>0</f>
        <v>0</v>
      </c>
      <c r="U59" s="2"/>
      <c r="V59" s="19">
        <f t="shared" si="59"/>
        <v>0</v>
      </c>
      <c r="W59" s="2"/>
      <c r="X59" s="2">
        <f t="shared" si="60"/>
        <v>3455.9</v>
      </c>
      <c r="Y59" s="2"/>
      <c r="Z59" s="19">
        <f t="shared" si="61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3</v>
      </c>
      <c r="C61" s="28"/>
      <c r="D61" s="21">
        <f>+D20-D22+D58</f>
        <v>-2393.87</v>
      </c>
      <c r="E61" s="14"/>
      <c r="F61" s="22">
        <f>IF(D$12=0,0,D61/D$12)</f>
        <v>0</v>
      </c>
      <c r="G61" s="14"/>
      <c r="H61" s="21">
        <f>+H20-H22+H58</f>
        <v>-199.45999999999998</v>
      </c>
      <c r="I61" s="14"/>
      <c r="J61" s="22">
        <f>IF(H$12=0,0,H61/H$12)</f>
        <v>0</v>
      </c>
      <c r="K61" s="16"/>
      <c r="L61" s="21">
        <f>+D61-H61</f>
        <v>-2194.41</v>
      </c>
      <c r="M61" s="16"/>
      <c r="N61" s="22">
        <f>IF(H61=0,0,L61/H61)</f>
        <v>11.001754737792039</v>
      </c>
      <c r="O61" s="29"/>
      <c r="P61" s="21">
        <f>+P20-P22+P58</f>
        <v>460.21999999999616</v>
      </c>
      <c r="Q61" s="14"/>
      <c r="R61" s="22">
        <f>IF(P$12=0,0,P61/P$12)</f>
        <v>2.318270268745444E-2</v>
      </c>
      <c r="S61" s="14"/>
      <c r="T61" s="21">
        <f>+T20-T22+T58</f>
        <v>598.31999999999971</v>
      </c>
      <c r="U61" s="14"/>
      <c r="V61" s="22">
        <f>IF(T$12=0,0,T61/T$12)</f>
        <v>2.0414680882425186E-2</v>
      </c>
      <c r="W61" s="16"/>
      <c r="X61" s="21">
        <f>+P61-T61</f>
        <v>-138.10000000000355</v>
      </c>
      <c r="Y61" s="16"/>
      <c r="Z61" s="22">
        <f>IF(T61=0,0,X61/T61)</f>
        <v>-0.23081294290681176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>
        <v>-134.01</v>
      </c>
      <c r="E63" s="4"/>
      <c r="F63" s="12">
        <f>IF(D$12=0,0,D63/D$12)</f>
        <v>0</v>
      </c>
      <c r="G63" s="4"/>
      <c r="H63" s="4">
        <v>87.71</v>
      </c>
      <c r="I63" s="4"/>
      <c r="J63" s="12">
        <f>IF(H$12=0,0,H63/H$12)</f>
        <v>0</v>
      </c>
      <c r="K63" s="4"/>
      <c r="L63" s="4">
        <f>+D63-H63</f>
        <v>-221.71999999999997</v>
      </c>
      <c r="M63" s="4"/>
      <c r="N63" s="12">
        <f>IF(H63=0,0,L63/H63)</f>
        <v>-2.527875954851214</v>
      </c>
      <c r="O63" s="10"/>
      <c r="P63" s="4">
        <v>1998.34</v>
      </c>
      <c r="Q63" s="4"/>
      <c r="R63" s="12">
        <f>IF(P$12=0,0,P63/P$12)</f>
        <v>0.10066255723012492</v>
      </c>
      <c r="S63" s="4"/>
      <c r="T63" s="4">
        <v>2691.67</v>
      </c>
      <c r="U63" s="4"/>
      <c r="V63" s="12">
        <f>IF(T$12=0,0,T63/T$12)</f>
        <v>9.1839791567718654E-2</v>
      </c>
      <c r="W63" s="4"/>
      <c r="X63" s="4">
        <f>+P63-T63</f>
        <v>-693.33000000000015</v>
      </c>
      <c r="Y63" s="4"/>
      <c r="Z63" s="12">
        <f>IF(T63=0,0,X63/T63)</f>
        <v>-0.25758358193983666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4</v>
      </c>
      <c r="C65" s="28"/>
      <c r="D65" s="31">
        <f>+D61-D63</f>
        <v>-2259.8599999999997</v>
      </c>
      <c r="E65" s="14"/>
      <c r="F65" s="34">
        <f>IF(D$12=0,0,D65/D$12)</f>
        <v>0</v>
      </c>
      <c r="G65" s="14"/>
      <c r="H65" s="31">
        <f>+H61-H63</f>
        <v>-287.16999999999996</v>
      </c>
      <c r="I65" s="14"/>
      <c r="J65" s="34">
        <f>IF(H$12=0,0,H65/H$12)</f>
        <v>0</v>
      </c>
      <c r="K65" s="16"/>
      <c r="L65" s="31">
        <f>D65-H65</f>
        <v>-1972.6899999999996</v>
      </c>
      <c r="M65" s="16"/>
      <c r="N65" s="34">
        <f>IF(H65=0,0,L65/H65)</f>
        <v>6.8694153288992581</v>
      </c>
      <c r="O65" s="29"/>
      <c r="P65" s="31">
        <f>+P61-P63</f>
        <v>-1538.1200000000038</v>
      </c>
      <c r="Q65" s="14"/>
      <c r="R65" s="34">
        <f>IF(P$12=0,0,P65/P$12)</f>
        <v>-7.7479854542670479E-2</v>
      </c>
      <c r="S65" s="14"/>
      <c r="T65" s="31">
        <f>+T61-T63</f>
        <v>-2093.3500000000004</v>
      </c>
      <c r="U65" s="14"/>
      <c r="V65" s="34">
        <f>IF(T$12=0,0,T65/T$12)</f>
        <v>-7.1425110685293475E-2</v>
      </c>
      <c r="W65" s="16"/>
      <c r="X65" s="31">
        <f>P65-T65</f>
        <v>555.22999999999661</v>
      </c>
      <c r="Y65" s="16"/>
      <c r="Z65" s="34">
        <f>IF(T65=0,0,X65/T65)</f>
        <v>-0.26523514940167509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5</v>
      </c>
      <c r="C68" s="28"/>
      <c r="D68" s="36">
        <f>SUM(D65:D67)</f>
        <v>-2259.8599999999997</v>
      </c>
      <c r="E68" s="14"/>
      <c r="F68" s="33">
        <f>IF(D$12=0,0,D68/D$12)</f>
        <v>0</v>
      </c>
      <c r="G68" s="14"/>
      <c r="H68" s="36">
        <f>SUM(H65:H67)</f>
        <v>-287.16999999999996</v>
      </c>
      <c r="I68" s="14"/>
      <c r="J68" s="33">
        <f>IF(H$12=0,0,H68/H$12)</f>
        <v>0</v>
      </c>
      <c r="K68" s="16"/>
      <c r="L68" s="36">
        <f>+D68-H68</f>
        <v>-1972.6899999999996</v>
      </c>
      <c r="M68" s="16"/>
      <c r="N68" s="33">
        <f>IF(H68=0,0,L68/H68)</f>
        <v>6.8694153288992581</v>
      </c>
      <c r="O68" s="29"/>
      <c r="P68" s="36">
        <f>SUM(P65:P67)</f>
        <v>-1538.1200000000038</v>
      </c>
      <c r="Q68" s="14"/>
      <c r="R68" s="33">
        <f>IF(P$12=0,0,P68/P$12)</f>
        <v>-7.7479854542670479E-2</v>
      </c>
      <c r="S68" s="14"/>
      <c r="T68" s="36">
        <f>SUM(T65:T67)</f>
        <v>-2093.3500000000004</v>
      </c>
      <c r="U68" s="14"/>
      <c r="V68" s="33">
        <f>IF(T$12=0,0,T68/T$12)</f>
        <v>-7.1425110685293475E-2</v>
      </c>
      <c r="W68" s="16"/>
      <c r="X68" s="36">
        <f>+P68-T68</f>
        <v>555.22999999999661</v>
      </c>
      <c r="Y68" s="16"/>
      <c r="Z68" s="33">
        <f>IF(T68=0,0,X68/T68)</f>
        <v>-0.26523514940167509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61">
        <v>43791.355725694448</v>
      </c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6" t="s">
        <v>313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7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","425", " - ", "Events Center")</f>
        <v>Department 425 - Events Center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32950.629999999997</v>
      </c>
      <c r="E12" s="4"/>
      <c r="F12" s="12"/>
      <c r="G12" s="4"/>
      <c r="H12" s="4">
        <f>SUM(OSRRefH13x_0)</f>
        <v>34034.07</v>
      </c>
      <c r="I12" s="4"/>
      <c r="J12" s="12"/>
      <c r="K12" s="4"/>
      <c r="L12" s="4">
        <f t="shared" ref="L12:L17" si="0">+D12-H12</f>
        <v>-1083.4400000000023</v>
      </c>
      <c r="M12" s="4"/>
      <c r="N12" s="12">
        <f t="shared" ref="N12:N17" si="1">IF(H12=0,0,L12/H12)</f>
        <v>-3.18339828295588E-2</v>
      </c>
      <c r="O12" s="10"/>
      <c r="P12" s="4">
        <f>SUM(OSRRefP13x_0)</f>
        <v>133751.99</v>
      </c>
      <c r="Q12" s="4"/>
      <c r="R12" s="12"/>
      <c r="S12" s="4"/>
      <c r="T12" s="4">
        <f>SUM(OSRRefT13x_0)</f>
        <v>133107.36999999997</v>
      </c>
      <c r="U12" s="4"/>
      <c r="V12" s="12"/>
      <c r="W12" s="4"/>
      <c r="X12" s="4">
        <f t="shared" ref="X12:X17" si="2">+P12-T12</f>
        <v>644.62000000002445</v>
      </c>
      <c r="Y12" s="4"/>
      <c r="Z12" s="12">
        <f t="shared" ref="Z12:Z17" si="3">IF(T12=0,0,X12/T12)</f>
        <v>4.8428573113571743E-3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--704.37</f>
        <v>704.37</v>
      </c>
      <c r="U13" s="2"/>
      <c r="V13" s="19"/>
      <c r="W13" s="2"/>
      <c r="X13" s="2">
        <f t="shared" si="2"/>
        <v>-704.37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--19282.44</f>
        <v>19282.439999999999</v>
      </c>
      <c r="E14" s="2"/>
      <c r="F14" s="19"/>
      <c r="G14" s="2"/>
      <c r="H14" s="2">
        <f>--20752.3</f>
        <v>20752.3</v>
      </c>
      <c r="I14" s="2"/>
      <c r="J14" s="19"/>
      <c r="K14" s="2"/>
      <c r="L14" s="2">
        <f t="shared" si="0"/>
        <v>-1469.8600000000006</v>
      </c>
      <c r="M14" s="2"/>
      <c r="N14" s="19">
        <f t="shared" si="1"/>
        <v>-7.0828775605595556E-2</v>
      </c>
      <c r="O14" s="11"/>
      <c r="P14" s="2">
        <f>--93103.25</f>
        <v>93103.25</v>
      </c>
      <c r="Q14" s="2"/>
      <c r="R14" s="19"/>
      <c r="S14" s="2"/>
      <c r="T14" s="2">
        <f>--100654.14</f>
        <v>100654.14</v>
      </c>
      <c r="U14" s="2"/>
      <c r="V14" s="19"/>
      <c r="W14" s="2"/>
      <c r="X14" s="2">
        <f t="shared" si="2"/>
        <v>-7550.8899999999994</v>
      </c>
      <c r="Y14" s="2"/>
      <c r="Z14" s="19">
        <f t="shared" si="3"/>
        <v>-7.5018176102840867E-2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--13668.19</f>
        <v>13668.19</v>
      </c>
      <c r="E15" s="2"/>
      <c r="F15" s="19"/>
      <c r="G15" s="2"/>
      <c r="H15" s="2">
        <f>--12803.77</f>
        <v>12803.77</v>
      </c>
      <c r="I15" s="2"/>
      <c r="J15" s="19"/>
      <c r="K15" s="2"/>
      <c r="L15" s="2">
        <f t="shared" si="0"/>
        <v>864.42000000000007</v>
      </c>
      <c r="M15" s="2"/>
      <c r="N15" s="19">
        <f t="shared" si="1"/>
        <v>6.7512927832974204E-2</v>
      </c>
      <c r="O15" s="11"/>
      <c r="P15" s="2">
        <f>--40648.74</f>
        <v>40648.74</v>
      </c>
      <c r="Q15" s="2"/>
      <c r="R15" s="19"/>
      <c r="S15" s="2"/>
      <c r="T15" s="2">
        <f>--31219.19</f>
        <v>31219.19</v>
      </c>
      <c r="U15" s="2"/>
      <c r="V15" s="19"/>
      <c r="W15" s="2"/>
      <c r="X15" s="2">
        <f t="shared" si="2"/>
        <v>9429.5499999999993</v>
      </c>
      <c r="Y15" s="2"/>
      <c r="Z15" s="19">
        <f t="shared" si="3"/>
        <v>0.30204339061967972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ref="D16:D17" si="4">0</f>
        <v>0</v>
      </c>
      <c r="E16" s="2"/>
      <c r="F16" s="19"/>
      <c r="G16" s="2"/>
      <c r="H16" s="2">
        <f>--345.16</f>
        <v>345.16</v>
      </c>
      <c r="I16" s="2"/>
      <c r="J16" s="19"/>
      <c r="K16" s="2"/>
      <c r="L16" s="2">
        <f t="shared" si="0"/>
        <v>-345.16</v>
      </c>
      <c r="M16" s="2"/>
      <c r="N16" s="19">
        <f t="shared" si="1"/>
        <v>-1</v>
      </c>
      <c r="O16" s="11"/>
      <c r="P16" s="2">
        <f t="shared" ref="P16:P17" si="5">0</f>
        <v>0</v>
      </c>
      <c r="Q16" s="2"/>
      <c r="R16" s="19"/>
      <c r="S16" s="2"/>
      <c r="T16" s="2">
        <f>--396.83</f>
        <v>396.83</v>
      </c>
      <c r="U16" s="2"/>
      <c r="V16" s="19"/>
      <c r="W16" s="2"/>
      <c r="X16" s="2">
        <f t="shared" si="2"/>
        <v>-396.83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"4152", " - ", "NON-TAXABLE SALES-FOOD")</f>
        <v xml:space="preserve">          4152 - NON-TAXABLE SALES-FOOD</v>
      </c>
      <c r="C17" s="11"/>
      <c r="D17" s="2">
        <f t="shared" si="4"/>
        <v>0</v>
      </c>
      <c r="E17" s="2"/>
      <c r="F17" s="19"/>
      <c r="G17" s="2"/>
      <c r="H17" s="2">
        <f>--132.84</f>
        <v>132.84</v>
      </c>
      <c r="I17" s="2"/>
      <c r="J17" s="19"/>
      <c r="K17" s="2"/>
      <c r="L17" s="2">
        <f t="shared" si="0"/>
        <v>-132.84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--132.84</f>
        <v>132.84</v>
      </c>
      <c r="U17" s="2"/>
      <c r="V17" s="19"/>
      <c r="W17" s="2"/>
      <c r="X17" s="2">
        <f t="shared" si="2"/>
        <v>-132.84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8</v>
      </c>
      <c r="C19" s="10"/>
      <c r="D19" s="4">
        <f>SUM(OSRRefD16x_0)</f>
        <v>7151.2199999999993</v>
      </c>
      <c r="E19" s="4"/>
      <c r="F19" s="12">
        <f t="shared" ref="F19:F21" si="6">IF(D$12=0,0,D19/D$12)</f>
        <v>0.21702832388940665</v>
      </c>
      <c r="G19" s="4"/>
      <c r="H19" s="4">
        <f>SUM(OSRRefH16x_0)</f>
        <v>8781.119999999999</v>
      </c>
      <c r="I19" s="4"/>
      <c r="J19" s="12">
        <f t="shared" ref="J19:J21" si="7">IF(H$12=0,0,H19/H$12)</f>
        <v>0.2580096944032847</v>
      </c>
      <c r="K19" s="4"/>
      <c r="L19" s="4">
        <f t="shared" ref="L19:L21" si="8">+D19-H19</f>
        <v>-1629.8999999999996</v>
      </c>
      <c r="M19" s="4"/>
      <c r="N19" s="12">
        <f t="shared" ref="N19:N21" si="9">IF(H19=0,0,L19/H19)</f>
        <v>-0.18561413578222366</v>
      </c>
      <c r="O19" s="10"/>
      <c r="P19" s="4">
        <f>SUM(OSRRefP16x_0)</f>
        <v>31234.689999999995</v>
      </c>
      <c r="Q19" s="4"/>
      <c r="R19" s="12">
        <f t="shared" ref="R19:R21" si="10">IF(P$12=0,0,P19/P$12)</f>
        <v>0.23352691799202388</v>
      </c>
      <c r="S19" s="4"/>
      <c r="T19" s="4">
        <f>SUM(OSRRefT16x_0)</f>
        <v>23776.58</v>
      </c>
      <c r="U19" s="4"/>
      <c r="V19" s="12">
        <f t="shared" ref="V19:V21" si="11">IF(T$12=0,0,T19/T$12)</f>
        <v>0.17862707376759085</v>
      </c>
      <c r="W19" s="4"/>
      <c r="X19" s="4">
        <f t="shared" ref="X19:X21" si="12">+P19-T19</f>
        <v>7458.1099999999933</v>
      </c>
      <c r="Y19" s="4"/>
      <c r="Z19" s="12">
        <f t="shared" ref="Z19:Z21" si="13">IF(T19=0,0,X19/T19)</f>
        <v>0.31367463276888402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8769.2199999999993</v>
      </c>
      <c r="E20" s="2"/>
      <c r="F20" s="19">
        <f t="shared" si="6"/>
        <v>0.26613208912849312</v>
      </c>
      <c r="G20" s="2"/>
      <c r="H20" s="2">
        <v>9307.7199999999993</v>
      </c>
      <c r="I20" s="2"/>
      <c r="J20" s="19">
        <f t="shared" si="7"/>
        <v>0.27348242511107251</v>
      </c>
      <c r="K20" s="2"/>
      <c r="L20" s="2">
        <f t="shared" si="8"/>
        <v>-538.5</v>
      </c>
      <c r="M20" s="2"/>
      <c r="N20" s="19">
        <f t="shared" si="9"/>
        <v>-5.785519976965358E-2</v>
      </c>
      <c r="O20" s="11"/>
      <c r="P20" s="2">
        <v>40654.689999999995</v>
      </c>
      <c r="Q20" s="2"/>
      <c r="R20" s="19">
        <f t="shared" si="10"/>
        <v>0.30395577665797718</v>
      </c>
      <c r="S20" s="2"/>
      <c r="T20" s="2">
        <v>28703.08</v>
      </c>
      <c r="U20" s="2"/>
      <c r="V20" s="19">
        <f t="shared" si="11"/>
        <v>0.21563854803832433</v>
      </c>
      <c r="W20" s="2"/>
      <c r="X20" s="2">
        <f t="shared" si="12"/>
        <v>11951.609999999993</v>
      </c>
      <c r="Y20" s="2"/>
      <c r="Z20" s="19">
        <f t="shared" si="13"/>
        <v>0.41638771866991253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-1618</v>
      </c>
      <c r="E21" s="2"/>
      <c r="F21" s="19">
        <f t="shared" si="6"/>
        <v>-4.910376523908648E-2</v>
      </c>
      <c r="G21" s="2"/>
      <c r="H21" s="2">
        <v>-526.6</v>
      </c>
      <c r="I21" s="2"/>
      <c r="J21" s="19">
        <f t="shared" si="7"/>
        <v>-1.5472730707787815E-2</v>
      </c>
      <c r="K21" s="2"/>
      <c r="L21" s="2">
        <f t="shared" si="8"/>
        <v>-1091.4000000000001</v>
      </c>
      <c r="M21" s="2"/>
      <c r="N21" s="19">
        <f t="shared" si="9"/>
        <v>2.0725408279529054</v>
      </c>
      <c r="O21" s="11"/>
      <c r="P21" s="2">
        <v>-9420</v>
      </c>
      <c r="Q21" s="2"/>
      <c r="R21" s="19">
        <f t="shared" si="10"/>
        <v>-7.0428858665953317E-2</v>
      </c>
      <c r="S21" s="2"/>
      <c r="T21" s="2">
        <v>-4926.5</v>
      </c>
      <c r="U21" s="2"/>
      <c r="V21" s="19">
        <f t="shared" si="11"/>
        <v>-3.701147427073348E-2</v>
      </c>
      <c r="W21" s="2"/>
      <c r="X21" s="2">
        <f t="shared" si="12"/>
        <v>-4493.5</v>
      </c>
      <c r="Y21" s="2"/>
      <c r="Z21" s="19">
        <f t="shared" si="13"/>
        <v>0.91210798741500054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D12-D19</f>
        <v>25799.409999999996</v>
      </c>
      <c r="E23" s="14"/>
      <c r="F23" s="22">
        <f>IF(D$12=0,0,D23/D$12)</f>
        <v>0.78297167611059326</v>
      </c>
      <c r="G23" s="14"/>
      <c r="H23" s="21">
        <f>H12-H19</f>
        <v>25252.95</v>
      </c>
      <c r="I23" s="14"/>
      <c r="J23" s="22">
        <f>IF(H$12=0,0,H23/H$12)</f>
        <v>0.7419903055967153</v>
      </c>
      <c r="K23" s="16"/>
      <c r="L23" s="21">
        <f>+D23-H23</f>
        <v>546.45999999999549</v>
      </c>
      <c r="M23" s="16"/>
      <c r="N23" s="22">
        <f>IF(H23=0,0,L23/H23)</f>
        <v>2.1639452024416771E-2</v>
      </c>
      <c r="O23" s="29"/>
      <c r="P23" s="21">
        <f>P12-P19</f>
        <v>102517.29999999999</v>
      </c>
      <c r="Q23" s="14"/>
      <c r="R23" s="22">
        <f>IF(P$12=0,0,P23/P$12)</f>
        <v>0.76647308200797604</v>
      </c>
      <c r="S23" s="14"/>
      <c r="T23" s="21">
        <f>T12-T19</f>
        <v>109330.78999999996</v>
      </c>
      <c r="U23" s="14"/>
      <c r="V23" s="22">
        <f>IF(T$12=0,0,T23/T$12)</f>
        <v>0.82137292623240921</v>
      </c>
      <c r="W23" s="16"/>
      <c r="X23" s="21">
        <f>+P23-T23</f>
        <v>-6813.4899999999761</v>
      </c>
      <c r="Y23" s="16"/>
      <c r="Z23" s="22">
        <f>IF(T23=0,0,X23/T23)</f>
        <v>-6.231995579653251E-2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0">
        <f>SUM(OSRRefD22x_0)</f>
        <v>35753.01</v>
      </c>
      <c r="E25" s="20"/>
      <c r="F25" s="35">
        <f t="shared" ref="F25:F34" si="14">IF(D$12=0,0,D25/D$12)</f>
        <v>1.0850478427878316</v>
      </c>
      <c r="G25" s="20"/>
      <c r="H25" s="20">
        <f>SUM(OSRRefH22x_0)</f>
        <v>31204.279999999995</v>
      </c>
      <c r="I25" s="20"/>
      <c r="J25" s="35">
        <f t="shared" ref="J25:J34" si="15">IF(H$12=0,0,H25/H$12)</f>
        <v>0.91685419933613566</v>
      </c>
      <c r="K25" s="4"/>
      <c r="L25" s="20">
        <f t="shared" ref="L25:L34" si="16">+D25-H25</f>
        <v>4548.7300000000068</v>
      </c>
      <c r="M25" s="4"/>
      <c r="N25" s="35">
        <f t="shared" ref="N25:N34" si="17">IF(H25=0,0,L25/H25)</f>
        <v>0.14577263119033695</v>
      </c>
      <c r="O25" s="10"/>
      <c r="P25" s="20">
        <f>SUM(OSRRefP22x_0)</f>
        <v>119619.37000000001</v>
      </c>
      <c r="Q25" s="20"/>
      <c r="R25" s="35">
        <f t="shared" ref="R25:R34" si="18">IF(P$12=0,0,P25/P$12)</f>
        <v>0.89433712350747097</v>
      </c>
      <c r="S25" s="20"/>
      <c r="T25" s="20">
        <f>SUM(OSRRefT22x_0)</f>
        <v>99138.38</v>
      </c>
      <c r="U25" s="20"/>
      <c r="V25" s="35">
        <f t="shared" ref="V25:V34" si="19">IF(T$12=0,0,T25/T$12)</f>
        <v>0.7448000813178115</v>
      </c>
      <c r="W25" s="4"/>
      <c r="X25" s="20">
        <f t="shared" ref="X25:X34" si="20">+P25-T25</f>
        <v>20480.990000000005</v>
      </c>
      <c r="Y25" s="4"/>
      <c r="Z25" s="35">
        <f t="shared" ref="Z25:Z34" si="21">IF(T25=0,0,X25/T25)</f>
        <v>0.20658992006930116</v>
      </c>
    </row>
    <row r="26" spans="1:26" s="27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2478.2400000000007</v>
      </c>
      <c r="E26" s="1"/>
      <c r="F26" s="5">
        <f t="shared" si="14"/>
        <v>7.5210701585978812E-2</v>
      </c>
      <c r="G26" s="1"/>
      <c r="H26" s="1">
        <f>SUM(OSRRefH22_0x_0)</f>
        <v>4830.9399999999996</v>
      </c>
      <c r="I26" s="1"/>
      <c r="J26" s="5">
        <f t="shared" si="15"/>
        <v>0.14194423411599022</v>
      </c>
      <c r="K26" s="1"/>
      <c r="L26" s="1">
        <f t="shared" si="16"/>
        <v>-2352.6999999999989</v>
      </c>
      <c r="M26" s="1"/>
      <c r="N26" s="5">
        <f t="shared" si="17"/>
        <v>-0.48700666950945348</v>
      </c>
      <c r="O26" s="13"/>
      <c r="P26" s="1">
        <f>SUM(OSRRefP22_0x_0)</f>
        <v>10989.310000000001</v>
      </c>
      <c r="Q26" s="1"/>
      <c r="R26" s="5">
        <f t="shared" si="18"/>
        <v>8.2161842975196117E-2</v>
      </c>
      <c r="S26" s="1"/>
      <c r="T26" s="1">
        <f>SUM(OSRRefT22_0x_0)</f>
        <v>13709.609999999999</v>
      </c>
      <c r="U26" s="1"/>
      <c r="V26" s="5">
        <f t="shared" si="19"/>
        <v>0.10299662595692487</v>
      </c>
      <c r="W26" s="1"/>
      <c r="X26" s="1">
        <f t="shared" si="20"/>
        <v>-2720.2999999999975</v>
      </c>
      <c r="Y26" s="1"/>
      <c r="Z26" s="5">
        <f t="shared" si="21"/>
        <v>-0.19842285812652569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1127.8800000000001</v>
      </c>
      <c r="E27" s="2"/>
      <c r="F27" s="7">
        <f t="shared" si="14"/>
        <v>3.4229391061718704E-2</v>
      </c>
      <c r="G27" s="2"/>
      <c r="H27" s="6">
        <v>1168.08</v>
      </c>
      <c r="I27" s="2"/>
      <c r="J27" s="7">
        <f t="shared" si="15"/>
        <v>3.4320902554410913E-2</v>
      </c>
      <c r="K27" s="2"/>
      <c r="L27" s="6">
        <f t="shared" si="16"/>
        <v>-40.199999999999818</v>
      </c>
      <c r="M27" s="2"/>
      <c r="N27" s="7">
        <f t="shared" si="17"/>
        <v>-3.4415450996506933E-2</v>
      </c>
      <c r="O27" s="11"/>
      <c r="P27" s="6">
        <v>3037.41</v>
      </c>
      <c r="Q27" s="2"/>
      <c r="R27" s="7">
        <f t="shared" si="18"/>
        <v>2.2709269596661703E-2</v>
      </c>
      <c r="S27" s="2"/>
      <c r="T27" s="6">
        <v>2917.06</v>
      </c>
      <c r="U27" s="2"/>
      <c r="V27" s="7">
        <f t="shared" si="19"/>
        <v>2.1915090050986664E-2</v>
      </c>
      <c r="W27" s="2"/>
      <c r="X27" s="6">
        <f t="shared" si="20"/>
        <v>120.34999999999991</v>
      </c>
      <c r="Y27" s="2"/>
      <c r="Z27" s="7">
        <f t="shared" si="21"/>
        <v>4.1257293302160367E-2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-466.83</v>
      </c>
      <c r="E28" s="2"/>
      <c r="F28" s="7">
        <f t="shared" si="14"/>
        <v>-1.41675591635122E-2</v>
      </c>
      <c r="G28" s="2"/>
      <c r="H28" s="6">
        <v>854.15</v>
      </c>
      <c r="I28" s="2"/>
      <c r="J28" s="7">
        <f t="shared" si="15"/>
        <v>2.5096910243176909E-2</v>
      </c>
      <c r="K28" s="2"/>
      <c r="L28" s="6">
        <f t="shared" si="16"/>
        <v>-1320.98</v>
      </c>
      <c r="M28" s="2"/>
      <c r="N28" s="7">
        <f t="shared" si="17"/>
        <v>-1.5465433471872623</v>
      </c>
      <c r="O28" s="11"/>
      <c r="P28" s="6">
        <v>1208.94</v>
      </c>
      <c r="Q28" s="2"/>
      <c r="R28" s="7">
        <f t="shared" si="18"/>
        <v>9.0386692564349887E-3</v>
      </c>
      <c r="S28" s="2"/>
      <c r="T28" s="6">
        <v>1527.09</v>
      </c>
      <c r="U28" s="2"/>
      <c r="V28" s="7">
        <f t="shared" si="19"/>
        <v>1.1472617932425532E-2</v>
      </c>
      <c r="W28" s="2"/>
      <c r="X28" s="6">
        <f t="shared" si="20"/>
        <v>-318.14999999999986</v>
      </c>
      <c r="Y28" s="2"/>
      <c r="Z28" s="7">
        <f t="shared" si="21"/>
        <v>-0.20833742608490652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698.2</v>
      </c>
      <c r="E29" s="2"/>
      <c r="F29" s="7">
        <f t="shared" si="14"/>
        <v>2.1189276198967974E-2</v>
      </c>
      <c r="G29" s="2"/>
      <c r="H29" s="6">
        <v>1417.45</v>
      </c>
      <c r="I29" s="2"/>
      <c r="J29" s="7">
        <f t="shared" si="15"/>
        <v>4.1647972164363535E-2</v>
      </c>
      <c r="K29" s="2"/>
      <c r="L29" s="6">
        <f t="shared" si="16"/>
        <v>-719.25</v>
      </c>
      <c r="M29" s="2"/>
      <c r="N29" s="7">
        <f t="shared" si="17"/>
        <v>-0.50742530600726654</v>
      </c>
      <c r="O29" s="11"/>
      <c r="P29" s="6">
        <v>2792.8</v>
      </c>
      <c r="Q29" s="2"/>
      <c r="R29" s="7">
        <f t="shared" si="18"/>
        <v>2.0880436993872018E-2</v>
      </c>
      <c r="S29" s="2"/>
      <c r="T29" s="6">
        <v>4776.3999999999996</v>
      </c>
      <c r="U29" s="2"/>
      <c r="V29" s="7">
        <f t="shared" si="19"/>
        <v>3.5883813195317443E-2</v>
      </c>
      <c r="W29" s="2"/>
      <c r="X29" s="6">
        <f t="shared" si="20"/>
        <v>-1983.5999999999995</v>
      </c>
      <c r="Y29" s="2"/>
      <c r="Z29" s="7">
        <f t="shared" si="21"/>
        <v>-0.41529185160371818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42.17</v>
      </c>
      <c r="E30" s="2"/>
      <c r="F30" s="7">
        <f t="shared" si="14"/>
        <v>1.2797934364229154E-3</v>
      </c>
      <c r="G30" s="2"/>
      <c r="H30" s="6">
        <v>35.42</v>
      </c>
      <c r="I30" s="2"/>
      <c r="J30" s="7">
        <f t="shared" si="15"/>
        <v>1.0407218413783601E-3</v>
      </c>
      <c r="K30" s="2"/>
      <c r="L30" s="6">
        <f t="shared" si="16"/>
        <v>6.75</v>
      </c>
      <c r="M30" s="2"/>
      <c r="N30" s="7">
        <f t="shared" si="17"/>
        <v>0.19057029926595143</v>
      </c>
      <c r="O30" s="11"/>
      <c r="P30" s="6">
        <v>154.47</v>
      </c>
      <c r="Q30" s="2"/>
      <c r="R30" s="7">
        <f t="shared" si="18"/>
        <v>1.1548987046846929E-3</v>
      </c>
      <c r="S30" s="2"/>
      <c r="T30" s="6">
        <v>113.44</v>
      </c>
      <c r="U30" s="2"/>
      <c r="V30" s="7">
        <f t="shared" si="19"/>
        <v>8.5224431975479669E-4</v>
      </c>
      <c r="W30" s="2"/>
      <c r="X30" s="6">
        <f t="shared" si="20"/>
        <v>41.03</v>
      </c>
      <c r="Y30" s="2"/>
      <c r="Z30" s="7">
        <f t="shared" si="21"/>
        <v>0.36168899858956277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320.99</v>
      </c>
      <c r="E31" s="2"/>
      <c r="F31" s="7">
        <f t="shared" si="14"/>
        <v>9.7415436366467059E-3</v>
      </c>
      <c r="G31" s="2"/>
      <c r="H31" s="6">
        <v>311.48</v>
      </c>
      <c r="I31" s="2"/>
      <c r="J31" s="7">
        <f t="shared" si="15"/>
        <v>9.1520056226011177E-3</v>
      </c>
      <c r="K31" s="2"/>
      <c r="L31" s="6">
        <f t="shared" si="16"/>
        <v>9.5099999999999909</v>
      </c>
      <c r="M31" s="2"/>
      <c r="N31" s="7">
        <f t="shared" si="17"/>
        <v>3.0531655322974156E-2</v>
      </c>
      <c r="O31" s="11"/>
      <c r="P31" s="6">
        <v>1283.96</v>
      </c>
      <c r="Q31" s="2"/>
      <c r="R31" s="7">
        <f t="shared" si="18"/>
        <v>9.5995581075092803E-3</v>
      </c>
      <c r="S31" s="2"/>
      <c r="T31" s="6">
        <v>1342.13</v>
      </c>
      <c r="U31" s="2"/>
      <c r="V31" s="7">
        <f t="shared" si="19"/>
        <v>1.0083063018974835E-2</v>
      </c>
      <c r="W31" s="2"/>
      <c r="X31" s="6">
        <f t="shared" si="20"/>
        <v>-58.170000000000073</v>
      </c>
      <c r="Y31" s="2"/>
      <c r="Z31" s="7">
        <f t="shared" si="21"/>
        <v>-4.3341554096846112E-2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265.38</v>
      </c>
      <c r="E32" s="2"/>
      <c r="F32" s="7">
        <f t="shared" si="14"/>
        <v>8.0538672553453466E-3</v>
      </c>
      <c r="G32" s="2"/>
      <c r="H32" s="6">
        <v>479.39</v>
      </c>
      <c r="I32" s="2"/>
      <c r="J32" s="7">
        <f t="shared" si="15"/>
        <v>1.408559129131485E-2</v>
      </c>
      <c r="K32" s="2"/>
      <c r="L32" s="6">
        <f t="shared" si="16"/>
        <v>-214.01</v>
      </c>
      <c r="M32" s="2"/>
      <c r="N32" s="7">
        <f t="shared" si="17"/>
        <v>-0.44642149398193537</v>
      </c>
      <c r="O32" s="11"/>
      <c r="P32" s="6">
        <v>822.44</v>
      </c>
      <c r="Q32" s="2"/>
      <c r="R32" s="7">
        <f t="shared" si="18"/>
        <v>6.1489926243340392E-3</v>
      </c>
      <c r="S32" s="2"/>
      <c r="T32" s="6">
        <v>1266.42</v>
      </c>
      <c r="U32" s="2"/>
      <c r="V32" s="7">
        <f t="shared" si="19"/>
        <v>9.5142740781370746E-3</v>
      </c>
      <c r="W32" s="2"/>
      <c r="X32" s="6">
        <f t="shared" si="20"/>
        <v>-443.98</v>
      </c>
      <c r="Y32" s="2"/>
      <c r="Z32" s="7">
        <f t="shared" si="21"/>
        <v>-0.35057879692361144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317.94</v>
      </c>
      <c r="E33" s="2"/>
      <c r="F33" s="7">
        <f t="shared" si="14"/>
        <v>9.6489809147806884E-3</v>
      </c>
      <c r="G33" s="2"/>
      <c r="H33" s="6">
        <v>417.86</v>
      </c>
      <c r="I33" s="2"/>
      <c r="J33" s="7">
        <f t="shared" si="15"/>
        <v>1.2277697025363115E-2</v>
      </c>
      <c r="K33" s="2"/>
      <c r="L33" s="6">
        <f t="shared" si="16"/>
        <v>-99.920000000000016</v>
      </c>
      <c r="M33" s="2"/>
      <c r="N33" s="7">
        <f t="shared" si="17"/>
        <v>-0.23912315129469203</v>
      </c>
      <c r="O33" s="11"/>
      <c r="P33" s="6">
        <v>1047.6600000000001</v>
      </c>
      <c r="Q33" s="2"/>
      <c r="R33" s="7">
        <f t="shared" si="18"/>
        <v>7.8328554214408333E-3</v>
      </c>
      <c r="S33" s="2"/>
      <c r="T33" s="6">
        <v>1206.8</v>
      </c>
      <c r="U33" s="2"/>
      <c r="V33" s="7">
        <f t="shared" si="19"/>
        <v>9.0663649954168604E-3</v>
      </c>
      <c r="W33" s="2"/>
      <c r="X33" s="6">
        <f t="shared" si="20"/>
        <v>-159.13999999999987</v>
      </c>
      <c r="Y33" s="2"/>
      <c r="Z33" s="7">
        <f t="shared" si="21"/>
        <v>-0.13186940669539268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172.51</v>
      </c>
      <c r="E34" s="2"/>
      <c r="F34" s="7">
        <f t="shared" si="14"/>
        <v>5.235408245608658E-3</v>
      </c>
      <c r="G34" s="2"/>
      <c r="H34" s="6">
        <v>147.11000000000001</v>
      </c>
      <c r="I34" s="2"/>
      <c r="J34" s="7">
        <f t="shared" si="15"/>
        <v>4.3224333733814383E-3</v>
      </c>
      <c r="K34" s="2"/>
      <c r="L34" s="6">
        <f t="shared" si="16"/>
        <v>25.399999999999977</v>
      </c>
      <c r="M34" s="2"/>
      <c r="N34" s="7">
        <f t="shared" si="17"/>
        <v>0.1726599143498061</v>
      </c>
      <c r="O34" s="11"/>
      <c r="P34" s="6">
        <v>641.63</v>
      </c>
      <c r="Q34" s="2"/>
      <c r="R34" s="7">
        <f t="shared" si="18"/>
        <v>4.7971622702585584E-3</v>
      </c>
      <c r="S34" s="2"/>
      <c r="T34" s="6">
        <v>560.27</v>
      </c>
      <c r="U34" s="2"/>
      <c r="V34" s="7">
        <f t="shared" si="19"/>
        <v>4.2091583659116709E-3</v>
      </c>
      <c r="W34" s="2"/>
      <c r="X34" s="6">
        <f t="shared" si="20"/>
        <v>81.360000000000014</v>
      </c>
      <c r="Y34" s="2"/>
      <c r="Z34" s="7">
        <f t="shared" si="21"/>
        <v>0.14521569957341998</v>
      </c>
    </row>
    <row r="35" spans="1:26" s="27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13007.22</v>
      </c>
      <c r="E35" s="1"/>
      <c r="F35" s="5">
        <f t="shared" ref="F35:F40" si="22">IF(D$12=0,0,D35/D$12)</f>
        <v>0.39474874987215725</v>
      </c>
      <c r="G35" s="1"/>
      <c r="H35" s="1">
        <f>SUM(OSRRefH22_1x_0)</f>
        <v>14429.869999999999</v>
      </c>
      <c r="I35" s="1"/>
      <c r="J35" s="5">
        <f t="shared" ref="J35:J40" si="23">IF(H$12=0,0,H35/H$12)</f>
        <v>0.42398308518493377</v>
      </c>
      <c r="K35" s="1"/>
      <c r="L35" s="1">
        <f t="shared" ref="L35:L40" si="24">+D35-H35</f>
        <v>-1422.6499999999996</v>
      </c>
      <c r="M35" s="1"/>
      <c r="N35" s="5">
        <f t="shared" ref="N35:N40" si="25">IF(H35=0,0,L35/H35)</f>
        <v>-9.8590631793633601E-2</v>
      </c>
      <c r="O35" s="13"/>
      <c r="P35" s="1">
        <f>SUM(OSRRefP22_1x_0)</f>
        <v>45564.920000000006</v>
      </c>
      <c r="Q35" s="1"/>
      <c r="R35" s="5">
        <f t="shared" ref="R35:R40" si="26">IF(P$12=0,0,P35/P$12)</f>
        <v>0.34066723044644054</v>
      </c>
      <c r="S35" s="1"/>
      <c r="T35" s="1">
        <f>SUM(OSRRefT22_1x_0)</f>
        <v>43030.03</v>
      </c>
      <c r="U35" s="1"/>
      <c r="V35" s="5">
        <f t="shared" ref="V35:V40" si="27">IF(T$12=0,0,T35/T$12)</f>
        <v>0.32327308397724341</v>
      </c>
      <c r="W35" s="1"/>
      <c r="X35" s="1">
        <f t="shared" ref="X35:X40" si="28">+P35-T35</f>
        <v>2534.8900000000067</v>
      </c>
      <c r="Y35" s="1"/>
      <c r="Z35" s="5">
        <f t="shared" ref="Z35:Z40" si="29">IF(T35=0,0,X35/T35)</f>
        <v>5.890978927971946E-2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>
        <v>5744.07</v>
      </c>
      <c r="E36" s="2"/>
      <c r="F36" s="7">
        <f t="shared" si="22"/>
        <v>0.17432352583243477</v>
      </c>
      <c r="G36" s="2"/>
      <c r="H36" s="6">
        <v>6100.5</v>
      </c>
      <c r="I36" s="2"/>
      <c r="J36" s="7">
        <f t="shared" si="23"/>
        <v>0.17924685469589738</v>
      </c>
      <c r="K36" s="2"/>
      <c r="L36" s="6">
        <f t="shared" si="24"/>
        <v>-356.43000000000029</v>
      </c>
      <c r="M36" s="2"/>
      <c r="N36" s="7">
        <f t="shared" si="25"/>
        <v>-5.8426358495205361E-2</v>
      </c>
      <c r="O36" s="11"/>
      <c r="P36" s="6">
        <v>19989.900000000001</v>
      </c>
      <c r="Q36" s="2"/>
      <c r="R36" s="7">
        <f t="shared" si="26"/>
        <v>0.14945497259517412</v>
      </c>
      <c r="S36" s="2"/>
      <c r="T36" s="6">
        <v>20277.919999999998</v>
      </c>
      <c r="U36" s="2"/>
      <c r="V36" s="7">
        <f t="shared" si="27"/>
        <v>0.15234257877681756</v>
      </c>
      <c r="W36" s="2"/>
      <c r="X36" s="6">
        <f t="shared" si="28"/>
        <v>-288.0199999999968</v>
      </c>
      <c r="Y36" s="2"/>
      <c r="Z36" s="7">
        <f t="shared" si="29"/>
        <v>-1.4203626407442027E-2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2852.46</v>
      </c>
      <c r="E37" s="2"/>
      <c r="F37" s="7">
        <f t="shared" si="22"/>
        <v>8.6567692332437968E-2</v>
      </c>
      <c r="G37" s="2"/>
      <c r="H37" s="6">
        <v>4052.49</v>
      </c>
      <c r="I37" s="2"/>
      <c r="J37" s="7">
        <f t="shared" si="23"/>
        <v>0.11907156563996019</v>
      </c>
      <c r="K37" s="2"/>
      <c r="L37" s="6">
        <f t="shared" si="24"/>
        <v>-1200.0299999999997</v>
      </c>
      <c r="M37" s="2"/>
      <c r="N37" s="7">
        <f t="shared" si="25"/>
        <v>-0.29612164373015104</v>
      </c>
      <c r="O37" s="11"/>
      <c r="P37" s="6">
        <v>9949.69</v>
      </c>
      <c r="Q37" s="2"/>
      <c r="R37" s="7">
        <f t="shared" si="26"/>
        <v>7.4389098808922402E-2</v>
      </c>
      <c r="S37" s="2"/>
      <c r="T37" s="6">
        <v>10848.48</v>
      </c>
      <c r="U37" s="2"/>
      <c r="V37" s="7">
        <f t="shared" si="27"/>
        <v>8.1501723007523938E-2</v>
      </c>
      <c r="W37" s="2"/>
      <c r="X37" s="6">
        <f t="shared" si="28"/>
        <v>-898.78999999999905</v>
      </c>
      <c r="Y37" s="2"/>
      <c r="Z37" s="7">
        <f t="shared" si="29"/>
        <v>-8.2849394569561738E-2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>
        <v>303.38</v>
      </c>
      <c r="Q38" s="2"/>
      <c r="R38" s="7">
        <f t="shared" si="26"/>
        <v>2.2682279344030695E-3</v>
      </c>
      <c r="S38" s="2"/>
      <c r="T38" s="6"/>
      <c r="U38" s="2"/>
      <c r="V38" s="7">
        <f t="shared" si="27"/>
        <v>0</v>
      </c>
      <c r="W38" s="2"/>
      <c r="X38" s="6">
        <f t="shared" si="28"/>
        <v>303.38</v>
      </c>
      <c r="Y38" s="2"/>
      <c r="Z38" s="7">
        <f t="shared" si="2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3846.69</v>
      </c>
      <c r="E39" s="2"/>
      <c r="F39" s="7">
        <f t="shared" si="22"/>
        <v>0.11674101527042124</v>
      </c>
      <c r="G39" s="2"/>
      <c r="H39" s="6">
        <v>4276.88</v>
      </c>
      <c r="I39" s="2"/>
      <c r="J39" s="7">
        <f t="shared" si="23"/>
        <v>0.12566466484907624</v>
      </c>
      <c r="K39" s="2"/>
      <c r="L39" s="6">
        <f t="shared" si="24"/>
        <v>-430.19000000000005</v>
      </c>
      <c r="M39" s="2"/>
      <c r="N39" s="7">
        <f t="shared" si="25"/>
        <v>-0.10058500589214568</v>
      </c>
      <c r="O39" s="11"/>
      <c r="P39" s="6">
        <v>13416.95</v>
      </c>
      <c r="Q39" s="2"/>
      <c r="R39" s="7">
        <f t="shared" si="26"/>
        <v>0.10031215236498539</v>
      </c>
      <c r="S39" s="2"/>
      <c r="T39" s="6">
        <v>11903.63</v>
      </c>
      <c r="U39" s="2"/>
      <c r="V39" s="7">
        <f t="shared" si="27"/>
        <v>8.9428782192901887E-2</v>
      </c>
      <c r="W39" s="2"/>
      <c r="X39" s="6">
        <f t="shared" si="28"/>
        <v>1513.3200000000015</v>
      </c>
      <c r="Y39" s="2"/>
      <c r="Z39" s="7">
        <f t="shared" si="29"/>
        <v>0.12713096761240072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>
        <v>564</v>
      </c>
      <c r="E40" s="2"/>
      <c r="F40" s="7">
        <f t="shared" si="22"/>
        <v>1.7116516436863273E-2</v>
      </c>
      <c r="G40" s="2"/>
      <c r="H40" s="6"/>
      <c r="I40" s="2"/>
      <c r="J40" s="7">
        <f t="shared" si="23"/>
        <v>0</v>
      </c>
      <c r="K40" s="2"/>
      <c r="L40" s="6">
        <f t="shared" si="24"/>
        <v>564</v>
      </c>
      <c r="M40" s="2"/>
      <c r="N40" s="7">
        <f t="shared" si="25"/>
        <v>0</v>
      </c>
      <c r="O40" s="11"/>
      <c r="P40" s="6">
        <v>1905</v>
      </c>
      <c r="Q40" s="2"/>
      <c r="R40" s="7">
        <f t="shared" si="26"/>
        <v>1.4242778742955526E-2</v>
      </c>
      <c r="S40" s="2"/>
      <c r="T40" s="6"/>
      <c r="U40" s="2"/>
      <c r="V40" s="7">
        <f t="shared" si="27"/>
        <v>0</v>
      </c>
      <c r="W40" s="2"/>
      <c r="X40" s="6">
        <f t="shared" si="28"/>
        <v>1905</v>
      </c>
      <c r="Y40" s="2"/>
      <c r="Z40" s="7">
        <f t="shared" si="29"/>
        <v>0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932.63</v>
      </c>
      <c r="E41" s="1"/>
      <c r="F41" s="5">
        <f t="shared" ref="F41:F58" si="30">IF(D$12=0,0,D41/D$12)</f>
        <v>2.8303859440623746E-2</v>
      </c>
      <c r="G41" s="1"/>
      <c r="H41" s="1">
        <f>SUM(OSRRefH22_2x_0)</f>
        <v>69.25</v>
      </c>
      <c r="I41" s="1"/>
      <c r="J41" s="5">
        <f t="shared" ref="J41:J58" si="31">IF(H$12=0,0,H41/H$12)</f>
        <v>2.0347257909500687E-3</v>
      </c>
      <c r="K41" s="1"/>
      <c r="L41" s="1">
        <f t="shared" ref="L41:L58" si="32">+D41-H41</f>
        <v>863.38</v>
      </c>
      <c r="M41" s="1"/>
      <c r="N41" s="5">
        <f t="shared" ref="N41:N58" si="33">IF(H41=0,0,L41/H41)</f>
        <v>12.467581227436822</v>
      </c>
      <c r="O41" s="13"/>
      <c r="P41" s="1">
        <f>SUM(OSRRefP22_2x_0)</f>
        <v>1069.96</v>
      </c>
      <c r="Q41" s="1"/>
      <c r="R41" s="5">
        <f t="shared" ref="R41:R58" si="34">IF(P$12=0,0,P41/P$12)</f>
        <v>7.9995819127625691E-3</v>
      </c>
      <c r="S41" s="1"/>
      <c r="T41" s="1">
        <f>SUM(OSRRefT22_2x_0)</f>
        <v>666.89</v>
      </c>
      <c r="U41" s="1"/>
      <c r="V41" s="5">
        <f t="shared" ref="V41:V58" si="35">IF(T$12=0,0,T41/T$12)</f>
        <v>5.0101658533257785E-3</v>
      </c>
      <c r="W41" s="1"/>
      <c r="X41" s="1">
        <f t="shared" ref="X41:X58" si="36">+P41-T41</f>
        <v>403.07000000000005</v>
      </c>
      <c r="Y41" s="1"/>
      <c r="Z41" s="5">
        <f t="shared" ref="Z41:Z58" si="37">IF(T41=0,0,X41/T41)</f>
        <v>0.60440252515407344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>
        <v>932.63</v>
      </c>
      <c r="E42" s="2"/>
      <c r="F42" s="7">
        <f t="shared" si="30"/>
        <v>2.8303859440623746E-2</v>
      </c>
      <c r="G42" s="2"/>
      <c r="H42" s="6">
        <v>69.25</v>
      </c>
      <c r="I42" s="2"/>
      <c r="J42" s="7">
        <f t="shared" si="31"/>
        <v>2.0347257909500687E-3</v>
      </c>
      <c r="K42" s="2"/>
      <c r="L42" s="6">
        <f t="shared" si="32"/>
        <v>863.38</v>
      </c>
      <c r="M42" s="2"/>
      <c r="N42" s="7">
        <f t="shared" si="33"/>
        <v>12.467581227436822</v>
      </c>
      <c r="O42" s="11"/>
      <c r="P42" s="6">
        <v>1069.96</v>
      </c>
      <c r="Q42" s="2"/>
      <c r="R42" s="7">
        <f t="shared" si="34"/>
        <v>7.9995819127625691E-3</v>
      </c>
      <c r="S42" s="2"/>
      <c r="T42" s="6">
        <v>666.89</v>
      </c>
      <c r="U42" s="2"/>
      <c r="V42" s="7">
        <f t="shared" si="35"/>
        <v>5.0101658533257785E-3</v>
      </c>
      <c r="W42" s="2"/>
      <c r="X42" s="6">
        <f t="shared" si="36"/>
        <v>403.07000000000005</v>
      </c>
      <c r="Y42" s="2"/>
      <c r="Z42" s="7">
        <f t="shared" si="37"/>
        <v>0.60440252515407344</v>
      </c>
    </row>
    <row r="43" spans="1:26" s="27" customFormat="1" outlineLevel="1" collapsed="1" x14ac:dyDescent="0.25">
      <c r="A43" s="25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22.5</v>
      </c>
      <c r="E43" s="1"/>
      <c r="F43" s="5">
        <f t="shared" si="30"/>
        <v>6.8283975147060924E-4</v>
      </c>
      <c r="G43" s="1"/>
      <c r="H43" s="1">
        <f>SUM(OSRRefH22_3x_0)</f>
        <v>-985.74</v>
      </c>
      <c r="I43" s="1"/>
      <c r="J43" s="5">
        <f t="shared" si="31"/>
        <v>-2.8963329980810405E-2</v>
      </c>
      <c r="K43" s="1"/>
      <c r="L43" s="1">
        <f t="shared" si="32"/>
        <v>1008.24</v>
      </c>
      <c r="M43" s="1"/>
      <c r="N43" s="5">
        <f t="shared" si="33"/>
        <v>-1.0228254915089172</v>
      </c>
      <c r="O43" s="13"/>
      <c r="P43" s="1">
        <f>SUM(OSRRefP22_3x_0)</f>
        <v>14.64</v>
      </c>
      <c r="Q43" s="1"/>
      <c r="R43" s="5">
        <f t="shared" si="34"/>
        <v>1.0945631537893381E-4</v>
      </c>
      <c r="S43" s="1"/>
      <c r="T43" s="1">
        <f>SUM(OSRRefT22_3x_0)</f>
        <v>-561.11</v>
      </c>
      <c r="U43" s="1"/>
      <c r="V43" s="5">
        <f t="shared" si="35"/>
        <v>-4.2154690608040722E-3</v>
      </c>
      <c r="W43" s="1"/>
      <c r="X43" s="1">
        <f t="shared" si="36"/>
        <v>575.75</v>
      </c>
      <c r="Y43" s="1"/>
      <c r="Z43" s="5">
        <f t="shared" si="37"/>
        <v>-1.0260911407745361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>
        <v>22.5</v>
      </c>
      <c r="E44" s="2"/>
      <c r="F44" s="7">
        <f t="shared" si="30"/>
        <v>6.8283975147060924E-4</v>
      </c>
      <c r="G44" s="2"/>
      <c r="H44" s="6">
        <v>-985.74</v>
      </c>
      <c r="I44" s="2"/>
      <c r="J44" s="7">
        <f t="shared" si="31"/>
        <v>-2.8963329980810405E-2</v>
      </c>
      <c r="K44" s="2"/>
      <c r="L44" s="6">
        <f t="shared" si="32"/>
        <v>1008.24</v>
      </c>
      <c r="M44" s="2"/>
      <c r="N44" s="7">
        <f t="shared" si="33"/>
        <v>-1.0228254915089172</v>
      </c>
      <c r="O44" s="11"/>
      <c r="P44" s="6">
        <v>14.64</v>
      </c>
      <c r="Q44" s="2"/>
      <c r="R44" s="7">
        <f t="shared" si="34"/>
        <v>1.0945631537893381E-4</v>
      </c>
      <c r="S44" s="2"/>
      <c r="T44" s="6">
        <v>-561.11</v>
      </c>
      <c r="U44" s="2"/>
      <c r="V44" s="7">
        <f t="shared" si="35"/>
        <v>-4.2154690608040722E-3</v>
      </c>
      <c r="W44" s="2"/>
      <c r="X44" s="6">
        <f t="shared" si="36"/>
        <v>575.75</v>
      </c>
      <c r="Y44" s="2"/>
      <c r="Z44" s="7">
        <f t="shared" si="37"/>
        <v>-1.0260911407745361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595.94000000000005</v>
      </c>
      <c r="E45" s="1"/>
      <c r="F45" s="5">
        <f t="shared" si="30"/>
        <v>1.8085845399617551E-2</v>
      </c>
      <c r="G45" s="1"/>
      <c r="H45" s="1">
        <f>SUM(OSRRefH22_4x_0)</f>
        <v>1333.12</v>
      </c>
      <c r="I45" s="1"/>
      <c r="J45" s="5">
        <f t="shared" si="31"/>
        <v>3.9170160959297547E-2</v>
      </c>
      <c r="K45" s="1"/>
      <c r="L45" s="1">
        <f t="shared" si="32"/>
        <v>-737.17999999999984</v>
      </c>
      <c r="M45" s="1"/>
      <c r="N45" s="5">
        <f t="shared" si="33"/>
        <v>-0.55297347575612088</v>
      </c>
      <c r="O45" s="13"/>
      <c r="P45" s="1">
        <f>SUM(OSRRefP22_4x_0)</f>
        <v>2938.75</v>
      </c>
      <c r="Q45" s="1"/>
      <c r="R45" s="5">
        <f t="shared" si="34"/>
        <v>2.1971635711737825E-2</v>
      </c>
      <c r="S45" s="1"/>
      <c r="T45" s="1">
        <f>SUM(OSRRefT22_4x_0)</f>
        <v>2699.88</v>
      </c>
      <c r="U45" s="1"/>
      <c r="V45" s="5">
        <f t="shared" si="35"/>
        <v>2.0283474912020278E-2</v>
      </c>
      <c r="W45" s="1"/>
      <c r="X45" s="1">
        <f t="shared" si="36"/>
        <v>238.86999999999989</v>
      </c>
      <c r="Y45" s="1"/>
      <c r="Z45" s="5">
        <f t="shared" si="37"/>
        <v>8.8474302561595289E-2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595.94000000000005</v>
      </c>
      <c r="E46" s="2"/>
      <c r="F46" s="7">
        <f t="shared" si="30"/>
        <v>1.8085845399617551E-2</v>
      </c>
      <c r="G46" s="2"/>
      <c r="H46" s="6">
        <v>1333.12</v>
      </c>
      <c r="I46" s="2"/>
      <c r="J46" s="7">
        <f t="shared" si="31"/>
        <v>3.9170160959297547E-2</v>
      </c>
      <c r="K46" s="2"/>
      <c r="L46" s="6">
        <f t="shared" si="32"/>
        <v>-737.17999999999984</v>
      </c>
      <c r="M46" s="2"/>
      <c r="N46" s="7">
        <f t="shared" si="33"/>
        <v>-0.55297347575612088</v>
      </c>
      <c r="O46" s="11"/>
      <c r="P46" s="6">
        <v>2938.75</v>
      </c>
      <c r="Q46" s="2"/>
      <c r="R46" s="7">
        <f t="shared" si="34"/>
        <v>2.1971635711737825E-2</v>
      </c>
      <c r="S46" s="2"/>
      <c r="T46" s="6">
        <v>2699.88</v>
      </c>
      <c r="U46" s="2"/>
      <c r="V46" s="7">
        <f t="shared" si="35"/>
        <v>2.0283474912020278E-2</v>
      </c>
      <c r="W46" s="2"/>
      <c r="X46" s="6">
        <f t="shared" si="36"/>
        <v>238.86999999999989</v>
      </c>
      <c r="Y46" s="2"/>
      <c r="Z46" s="7">
        <f t="shared" si="37"/>
        <v>8.8474302561595289E-2</v>
      </c>
    </row>
    <row r="47" spans="1:26" s="27" customFormat="1" outlineLevel="1" collapsed="1" x14ac:dyDescent="0.25">
      <c r="A47" s="25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255.35</v>
      </c>
      <c r="E47" s="1"/>
      <c r="F47" s="5">
        <f t="shared" si="30"/>
        <v>7.7494724683564477E-3</v>
      </c>
      <c r="G47" s="1"/>
      <c r="H47" s="1">
        <f>SUM(OSRRefH22_5x_0)</f>
        <v>0</v>
      </c>
      <c r="I47" s="1"/>
      <c r="J47" s="5">
        <f t="shared" si="31"/>
        <v>0</v>
      </c>
      <c r="K47" s="1"/>
      <c r="L47" s="1">
        <f t="shared" si="32"/>
        <v>255.35</v>
      </c>
      <c r="M47" s="1"/>
      <c r="N47" s="5">
        <f t="shared" si="33"/>
        <v>0</v>
      </c>
      <c r="O47" s="13"/>
      <c r="P47" s="1">
        <f>SUM(OSRRefP22_5x_0)</f>
        <v>1021.4</v>
      </c>
      <c r="Q47" s="1"/>
      <c r="R47" s="5">
        <f t="shared" si="34"/>
        <v>7.6365218939920074E-3</v>
      </c>
      <c r="S47" s="1"/>
      <c r="T47" s="1">
        <f>SUM(OSRRefT22_5x_0)</f>
        <v>0</v>
      </c>
      <c r="U47" s="1"/>
      <c r="V47" s="5">
        <f t="shared" si="35"/>
        <v>0</v>
      </c>
      <c r="W47" s="1"/>
      <c r="X47" s="1">
        <f t="shared" si="36"/>
        <v>1021.4</v>
      </c>
      <c r="Y47" s="1"/>
      <c r="Z47" s="5">
        <f t="shared" si="37"/>
        <v>0</v>
      </c>
    </row>
    <row r="48" spans="1:26" s="24" customFormat="1" hidden="1" outlineLevel="2" x14ac:dyDescent="0.25">
      <c r="A48" s="26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255.35</v>
      </c>
      <c r="E48" s="2"/>
      <c r="F48" s="7">
        <f t="shared" si="30"/>
        <v>7.7494724683564477E-3</v>
      </c>
      <c r="G48" s="2"/>
      <c r="H48" s="6"/>
      <c r="I48" s="2"/>
      <c r="J48" s="7">
        <f t="shared" si="31"/>
        <v>0</v>
      </c>
      <c r="K48" s="2"/>
      <c r="L48" s="6">
        <f t="shared" si="32"/>
        <v>255.35</v>
      </c>
      <c r="M48" s="2"/>
      <c r="N48" s="7">
        <f t="shared" si="33"/>
        <v>0</v>
      </c>
      <c r="O48" s="11"/>
      <c r="P48" s="6">
        <v>1021.4</v>
      </c>
      <c r="Q48" s="2"/>
      <c r="R48" s="7">
        <f t="shared" si="34"/>
        <v>7.6365218939920074E-3</v>
      </c>
      <c r="S48" s="2"/>
      <c r="T48" s="6"/>
      <c r="U48" s="2"/>
      <c r="V48" s="7">
        <f t="shared" si="35"/>
        <v>0</v>
      </c>
      <c r="W48" s="2"/>
      <c r="X48" s="6">
        <f t="shared" si="36"/>
        <v>1021.4</v>
      </c>
      <c r="Y48" s="2"/>
      <c r="Z48" s="7">
        <f t="shared" si="37"/>
        <v>0</v>
      </c>
    </row>
    <row r="49" spans="1:26" s="27" customFormat="1" outlineLevel="1" collapsed="1" x14ac:dyDescent="0.25">
      <c r="A49" s="25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30"/>
        <v>0</v>
      </c>
      <c r="G49" s="1"/>
      <c r="H49" s="1">
        <f>SUM(OSRRefH22_6x_0)</f>
        <v>0</v>
      </c>
      <c r="I49" s="1"/>
      <c r="J49" s="5">
        <f t="shared" si="31"/>
        <v>0</v>
      </c>
      <c r="K49" s="1"/>
      <c r="L49" s="1">
        <f t="shared" si="32"/>
        <v>0</v>
      </c>
      <c r="M49" s="1"/>
      <c r="N49" s="5">
        <f t="shared" si="33"/>
        <v>0</v>
      </c>
      <c r="O49" s="13"/>
      <c r="P49" s="1">
        <f>SUM(OSRRefP22_6x_0)</f>
        <v>88.6</v>
      </c>
      <c r="Q49" s="1"/>
      <c r="R49" s="5">
        <f t="shared" si="34"/>
        <v>6.6242005072223603E-4</v>
      </c>
      <c r="S49" s="1"/>
      <c r="T49" s="1">
        <f>SUM(OSRRefT22_6x_0)</f>
        <v>0</v>
      </c>
      <c r="U49" s="1"/>
      <c r="V49" s="5">
        <f t="shared" si="35"/>
        <v>0</v>
      </c>
      <c r="W49" s="1"/>
      <c r="X49" s="1">
        <f t="shared" si="36"/>
        <v>88.6</v>
      </c>
      <c r="Y49" s="1"/>
      <c r="Z49" s="5">
        <f t="shared" si="37"/>
        <v>0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1"/>
      <c r="P50" s="6">
        <v>88.6</v>
      </c>
      <c r="Q50" s="2"/>
      <c r="R50" s="7">
        <f t="shared" si="34"/>
        <v>6.6242005072223603E-4</v>
      </c>
      <c r="S50" s="2"/>
      <c r="T50" s="6"/>
      <c r="U50" s="2"/>
      <c r="V50" s="7">
        <f t="shared" si="35"/>
        <v>0</v>
      </c>
      <c r="W50" s="2"/>
      <c r="X50" s="6">
        <f t="shared" si="36"/>
        <v>88.6</v>
      </c>
      <c r="Y50" s="2"/>
      <c r="Z50" s="7">
        <f t="shared" si="37"/>
        <v>0</v>
      </c>
    </row>
    <row r="51" spans="1:26" s="27" customFormat="1" outlineLevel="1" collapsed="1" x14ac:dyDescent="0.25">
      <c r="A51" s="25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SUM(OSRRefP22_7x_0)</f>
        <v>350</v>
      </c>
      <c r="Q51" s="1"/>
      <c r="R51" s="5">
        <f t="shared" si="34"/>
        <v>2.6167834960810678E-3</v>
      </c>
      <c r="S51" s="1"/>
      <c r="T51" s="1">
        <f>SUM(OSRRefT22_7x_0)</f>
        <v>0</v>
      </c>
      <c r="U51" s="1"/>
      <c r="V51" s="5">
        <f t="shared" si="35"/>
        <v>0</v>
      </c>
      <c r="W51" s="1"/>
      <c r="X51" s="1">
        <f t="shared" si="36"/>
        <v>350</v>
      </c>
      <c r="Y51" s="1"/>
      <c r="Z51" s="5">
        <f t="shared" si="37"/>
        <v>0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>
        <v>350</v>
      </c>
      <c r="Q52" s="2"/>
      <c r="R52" s="7">
        <f t="shared" si="34"/>
        <v>2.6167834960810678E-3</v>
      </c>
      <c r="S52" s="2"/>
      <c r="T52" s="6"/>
      <c r="U52" s="2"/>
      <c r="V52" s="7">
        <f t="shared" si="35"/>
        <v>0</v>
      </c>
      <c r="W52" s="2"/>
      <c r="X52" s="6">
        <f t="shared" si="36"/>
        <v>350</v>
      </c>
      <c r="Y52" s="2"/>
      <c r="Z52" s="7">
        <f t="shared" si="37"/>
        <v>0</v>
      </c>
    </row>
    <row r="53" spans="1:26" s="27" customFormat="1" outlineLevel="1" collapsed="1" x14ac:dyDescent="0.25">
      <c r="A53" s="25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2970</v>
      </c>
      <c r="E53" s="1"/>
      <c r="F53" s="5">
        <f t="shared" si="30"/>
        <v>9.0134847194120418E-2</v>
      </c>
      <c r="G53" s="1"/>
      <c r="H53" s="1">
        <f>SUM(OSRRefH22_8x_0)</f>
        <v>675.15</v>
      </c>
      <c r="I53" s="1"/>
      <c r="J53" s="5">
        <f t="shared" si="31"/>
        <v>1.9837474624692257E-2</v>
      </c>
      <c r="K53" s="1"/>
      <c r="L53" s="1">
        <f t="shared" si="32"/>
        <v>2294.85</v>
      </c>
      <c r="M53" s="1"/>
      <c r="N53" s="5">
        <f t="shared" si="33"/>
        <v>3.3990224394578981</v>
      </c>
      <c r="O53" s="13"/>
      <c r="P53" s="1">
        <f>SUM(OSRRefP22_8x_0)</f>
        <v>11218.49</v>
      </c>
      <c r="Q53" s="1"/>
      <c r="R53" s="5">
        <f t="shared" si="34"/>
        <v>8.3875312808429997E-2</v>
      </c>
      <c r="S53" s="1"/>
      <c r="T53" s="1">
        <f>SUM(OSRRefT22_8x_0)</f>
        <v>2568.4899999999998</v>
      </c>
      <c r="U53" s="1"/>
      <c r="V53" s="5">
        <f t="shared" si="35"/>
        <v>1.9296377052600473E-2</v>
      </c>
      <c r="W53" s="1"/>
      <c r="X53" s="1">
        <f t="shared" si="36"/>
        <v>8650</v>
      </c>
      <c r="Y53" s="1"/>
      <c r="Z53" s="5">
        <f t="shared" si="37"/>
        <v>3.3677374644246232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>
        <v>2970</v>
      </c>
      <c r="E54" s="2"/>
      <c r="F54" s="7">
        <f t="shared" si="30"/>
        <v>9.0134847194120418E-2</v>
      </c>
      <c r="G54" s="2"/>
      <c r="H54" s="6">
        <v>675.15</v>
      </c>
      <c r="I54" s="2"/>
      <c r="J54" s="7">
        <f t="shared" si="31"/>
        <v>1.9837474624692257E-2</v>
      </c>
      <c r="K54" s="2"/>
      <c r="L54" s="6">
        <f t="shared" si="32"/>
        <v>2294.85</v>
      </c>
      <c r="M54" s="2"/>
      <c r="N54" s="7">
        <f t="shared" si="33"/>
        <v>3.3990224394578981</v>
      </c>
      <c r="O54" s="11"/>
      <c r="P54" s="6">
        <v>11218.49</v>
      </c>
      <c r="Q54" s="2"/>
      <c r="R54" s="7">
        <f t="shared" si="34"/>
        <v>8.3875312808429997E-2</v>
      </c>
      <c r="S54" s="2"/>
      <c r="T54" s="6">
        <v>2568.4899999999998</v>
      </c>
      <c r="U54" s="2"/>
      <c r="V54" s="7">
        <f t="shared" si="35"/>
        <v>1.9296377052600473E-2</v>
      </c>
      <c r="W54" s="2"/>
      <c r="X54" s="6">
        <f t="shared" si="36"/>
        <v>8650</v>
      </c>
      <c r="Y54" s="2"/>
      <c r="Z54" s="7">
        <f t="shared" si="37"/>
        <v>3.3677374644246232</v>
      </c>
    </row>
    <row r="55" spans="1:26" s="27" customFormat="1" outlineLevel="1" collapsed="1" x14ac:dyDescent="0.25">
      <c r="A55" s="25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SUM(OSRRefD22_9x_0)</f>
        <v>1285.72</v>
      </c>
      <c r="E55" s="1"/>
      <c r="F55" s="5">
        <f t="shared" si="30"/>
        <v>3.9019587789368523E-2</v>
      </c>
      <c r="G55" s="1"/>
      <c r="H55" s="1">
        <f>SUM(OSRRefH22_9x_0)</f>
        <v>1567.91</v>
      </c>
      <c r="I55" s="1"/>
      <c r="J55" s="5">
        <f t="shared" si="31"/>
        <v>4.6068836316079741E-2</v>
      </c>
      <c r="K55" s="1"/>
      <c r="L55" s="1">
        <f t="shared" si="32"/>
        <v>-282.19000000000005</v>
      </c>
      <c r="M55" s="1"/>
      <c r="N55" s="5">
        <f t="shared" si="33"/>
        <v>-0.1799784426402026</v>
      </c>
      <c r="O55" s="13"/>
      <c r="P55" s="1">
        <f>SUM(OSRRefP22_9x_0)</f>
        <v>4808.05</v>
      </c>
      <c r="Q55" s="1"/>
      <c r="R55" s="5">
        <f t="shared" si="34"/>
        <v>3.5947502538093083E-2</v>
      </c>
      <c r="S55" s="1"/>
      <c r="T55" s="1">
        <f>SUM(OSRRefT22_9x_0)</f>
        <v>2597.0300000000002</v>
      </c>
      <c r="U55" s="1"/>
      <c r="V55" s="5">
        <f t="shared" si="35"/>
        <v>1.951079042430183E-2</v>
      </c>
      <c r="W55" s="1"/>
      <c r="X55" s="1">
        <f t="shared" si="36"/>
        <v>2211.02</v>
      </c>
      <c r="Y55" s="1"/>
      <c r="Z55" s="5">
        <f t="shared" si="37"/>
        <v>0.85136482828461735</v>
      </c>
    </row>
    <row r="56" spans="1:26" s="24" customFormat="1" hidden="1" outlineLevel="2" x14ac:dyDescent="0.25">
      <c r="A56" s="26"/>
      <c r="B56" s="11" t="str">
        <f>CONCATENATE("          ", "6371", " - ", "COMPUTER SOFTWARE MAINTENANCE")</f>
        <v xml:space="preserve">          6371 - COMPUTER SOFTWARE MAINTENANCE</v>
      </c>
      <c r="C56" s="11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>
        <v>2623.84</v>
      </c>
      <c r="Q56" s="2"/>
      <c r="R56" s="7">
        <f t="shared" si="34"/>
        <v>1.9617203452449571E-2</v>
      </c>
      <c r="S56" s="2"/>
      <c r="T56" s="6"/>
      <c r="U56" s="2"/>
      <c r="V56" s="7">
        <f t="shared" si="35"/>
        <v>0</v>
      </c>
      <c r="W56" s="2"/>
      <c r="X56" s="6">
        <f t="shared" si="36"/>
        <v>2623.84</v>
      </c>
      <c r="Y56" s="2"/>
      <c r="Z56" s="7">
        <f t="shared" si="37"/>
        <v>0</v>
      </c>
    </row>
    <row r="57" spans="1:26" s="24" customFormat="1" hidden="1" outlineLevel="2" x14ac:dyDescent="0.25">
      <c r="A57" s="26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30"/>
        <v>0</v>
      </c>
      <c r="G57" s="2"/>
      <c r="H57" s="6">
        <v>62.5</v>
      </c>
      <c r="I57" s="2"/>
      <c r="J57" s="7">
        <f t="shared" si="31"/>
        <v>1.8363951181859825E-3</v>
      </c>
      <c r="K57" s="2"/>
      <c r="L57" s="6">
        <f t="shared" si="32"/>
        <v>-62.5</v>
      </c>
      <c r="M57" s="2"/>
      <c r="N57" s="7">
        <f t="shared" si="33"/>
        <v>-1</v>
      </c>
      <c r="O57" s="11"/>
      <c r="P57" s="6"/>
      <c r="Q57" s="2"/>
      <c r="R57" s="7">
        <f t="shared" si="34"/>
        <v>0</v>
      </c>
      <c r="S57" s="2"/>
      <c r="T57" s="6">
        <v>62.5</v>
      </c>
      <c r="U57" s="2"/>
      <c r="V57" s="7">
        <f t="shared" si="35"/>
        <v>4.6954575092273266E-4</v>
      </c>
      <c r="W57" s="2"/>
      <c r="X57" s="6">
        <f t="shared" si="36"/>
        <v>-62.5</v>
      </c>
      <c r="Y57" s="2"/>
      <c r="Z57" s="7">
        <f t="shared" si="37"/>
        <v>-1</v>
      </c>
    </row>
    <row r="58" spans="1:26" s="24" customFormat="1" hidden="1" outlineLevel="2" x14ac:dyDescent="0.25">
      <c r="A58" s="26"/>
      <c r="B58" s="11" t="str">
        <f>CONCATENATE("          ", "6375", " - ", "OUTSIDE REPAIRS &amp; MAINTENANCE")</f>
        <v xml:space="preserve">          6375 - OUTSIDE REPAIRS &amp; MAINTENANCE</v>
      </c>
      <c r="C58" s="11"/>
      <c r="D58" s="6">
        <v>1285.72</v>
      </c>
      <c r="E58" s="2"/>
      <c r="F58" s="7">
        <f t="shared" si="30"/>
        <v>3.9019587789368523E-2</v>
      </c>
      <c r="G58" s="2"/>
      <c r="H58" s="6">
        <v>1505.41</v>
      </c>
      <c r="I58" s="2"/>
      <c r="J58" s="7">
        <f t="shared" si="31"/>
        <v>4.4232441197893761E-2</v>
      </c>
      <c r="K58" s="2"/>
      <c r="L58" s="6">
        <f t="shared" si="32"/>
        <v>-219.69000000000005</v>
      </c>
      <c r="M58" s="2"/>
      <c r="N58" s="7">
        <f t="shared" si="33"/>
        <v>-0.14593366591161214</v>
      </c>
      <c r="O58" s="11"/>
      <c r="P58" s="6">
        <v>2184.21</v>
      </c>
      <c r="Q58" s="2"/>
      <c r="R58" s="7">
        <f t="shared" si="34"/>
        <v>1.6330299085643513E-2</v>
      </c>
      <c r="S58" s="2"/>
      <c r="T58" s="6">
        <v>2534.5300000000002</v>
      </c>
      <c r="U58" s="2"/>
      <c r="V58" s="7">
        <f t="shared" si="35"/>
        <v>1.9041244673379098E-2</v>
      </c>
      <c r="W58" s="2"/>
      <c r="X58" s="6">
        <f t="shared" si="36"/>
        <v>-350.32000000000016</v>
      </c>
      <c r="Y58" s="2"/>
      <c r="Z58" s="7">
        <f t="shared" si="37"/>
        <v>-0.1382189202731868</v>
      </c>
    </row>
    <row r="59" spans="1:26" s="27" customFormat="1" outlineLevel="1" collapsed="1" x14ac:dyDescent="0.25">
      <c r="A59" s="25"/>
      <c r="B59" s="13" t="str">
        <f>CONCATENATE("     ","Royalty &amp; Commissions                             ")</f>
        <v xml:space="preserve">     Royalty &amp; Commissions                             </v>
      </c>
      <c r="C59" s="13"/>
      <c r="D59" s="1">
        <f>SUM(OSRRefD22_10x_0)</f>
        <v>7273.49</v>
      </c>
      <c r="E59" s="1"/>
      <c r="F59" s="5">
        <f t="shared" ref="F59:F63" si="38">IF(D$12=0,0,D59/D$12)</f>
        <v>0.22073902684106497</v>
      </c>
      <c r="G59" s="1"/>
      <c r="H59" s="1">
        <f>SUM(OSRRefH22_10x_0)</f>
        <v>7830.28</v>
      </c>
      <c r="I59" s="1"/>
      <c r="J59" s="5">
        <f t="shared" ref="J59:J63" si="39">IF(H$12=0,0,H59/H$12)</f>
        <v>0.23007180745646935</v>
      </c>
      <c r="K59" s="1"/>
      <c r="L59" s="1">
        <f t="shared" ref="L59:L63" si="40">+D59-H59</f>
        <v>-556.79</v>
      </c>
      <c r="M59" s="1"/>
      <c r="N59" s="5">
        <f t="shared" ref="N59:N63" si="41">IF(H59=0,0,L59/H59)</f>
        <v>-7.1107291182435362E-2</v>
      </c>
      <c r="O59" s="13"/>
      <c r="P59" s="1">
        <f>SUM(OSRRefP22_10x_0)</f>
        <v>29009.69</v>
      </c>
      <c r="Q59" s="1"/>
      <c r="R59" s="5">
        <f t="shared" ref="R59:R63" si="42">IF(P$12=0,0,P59/P$12)</f>
        <v>0.21689165148122283</v>
      </c>
      <c r="S59" s="1"/>
      <c r="T59" s="1">
        <f>SUM(OSRRefT22_10x_0)</f>
        <v>27935.59</v>
      </c>
      <c r="U59" s="1"/>
      <c r="V59" s="5">
        <f t="shared" ref="V59:V63" si="43">IF(T$12=0,0,T59/T$12)</f>
        <v>0.20987260134431329</v>
      </c>
      <c r="W59" s="1"/>
      <c r="X59" s="1">
        <f t="shared" ref="X59:X63" si="44">+P59-T59</f>
        <v>1074.0999999999985</v>
      </c>
      <c r="Y59" s="1"/>
      <c r="Z59" s="5">
        <f t="shared" ref="Z59:Z63" si="45">IF(T59=0,0,X59/T59)</f>
        <v>3.844916108806002E-2</v>
      </c>
    </row>
    <row r="60" spans="1:26" s="24" customFormat="1" hidden="1" outlineLevel="2" x14ac:dyDescent="0.25">
      <c r="A60" s="26"/>
      <c r="B60" s="11" t="str">
        <f>CONCATENATE("          ", "6254", " - ", "ROYALTY &amp; COMMISSIONS")</f>
        <v xml:space="preserve">          6254 - ROYALTY &amp; COMMISSIONS</v>
      </c>
      <c r="C60" s="11"/>
      <c r="D60" s="6">
        <v>7273.49</v>
      </c>
      <c r="E60" s="2"/>
      <c r="F60" s="7">
        <f t="shared" si="38"/>
        <v>0.22073902684106497</v>
      </c>
      <c r="G60" s="2"/>
      <c r="H60" s="6">
        <v>7830.28</v>
      </c>
      <c r="I60" s="2"/>
      <c r="J60" s="7">
        <f t="shared" si="39"/>
        <v>0.23007180745646935</v>
      </c>
      <c r="K60" s="2"/>
      <c r="L60" s="6">
        <f t="shared" si="40"/>
        <v>-556.79</v>
      </c>
      <c r="M60" s="2"/>
      <c r="N60" s="7">
        <f t="shared" si="41"/>
        <v>-7.1107291182435362E-2</v>
      </c>
      <c r="O60" s="11"/>
      <c r="P60" s="6">
        <v>29009.69</v>
      </c>
      <c r="Q60" s="2"/>
      <c r="R60" s="7">
        <f t="shared" si="42"/>
        <v>0.21689165148122283</v>
      </c>
      <c r="S60" s="2"/>
      <c r="T60" s="6">
        <v>27935.59</v>
      </c>
      <c r="U60" s="2"/>
      <c r="V60" s="7">
        <f t="shared" si="43"/>
        <v>0.20987260134431329</v>
      </c>
      <c r="W60" s="2"/>
      <c r="X60" s="6">
        <f t="shared" si="44"/>
        <v>1074.0999999999985</v>
      </c>
      <c r="Y60" s="2"/>
      <c r="Z60" s="7">
        <f t="shared" si="45"/>
        <v>3.844916108806002E-2</v>
      </c>
    </row>
    <row r="61" spans="1:26" s="27" customFormat="1" outlineLevel="1" collapsed="1" x14ac:dyDescent="0.25">
      <c r="A61" s="25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SUM(OSRRefD22_11x_0)</f>
        <v>372.06</v>
      </c>
      <c r="E61" s="1"/>
      <c r="F61" s="5">
        <f t="shared" si="38"/>
        <v>1.1291438130317995E-2</v>
      </c>
      <c r="G61" s="1"/>
      <c r="H61" s="1">
        <f>SUM(OSRRefH22_11x_0)</f>
        <v>258.31</v>
      </c>
      <c r="I61" s="1"/>
      <c r="J61" s="5">
        <f t="shared" si="39"/>
        <v>7.589747567657938E-3</v>
      </c>
      <c r="K61" s="1"/>
      <c r="L61" s="1">
        <f t="shared" si="40"/>
        <v>113.75</v>
      </c>
      <c r="M61" s="1"/>
      <c r="N61" s="5">
        <f t="shared" si="41"/>
        <v>0.44036235530951184</v>
      </c>
      <c r="O61" s="13"/>
      <c r="P61" s="1">
        <f>SUM(OSRRefP22_11x_0)</f>
        <v>1106.3499999999999</v>
      </c>
      <c r="Q61" s="1"/>
      <c r="R61" s="5">
        <f t="shared" si="42"/>
        <v>8.2716526311122553E-3</v>
      </c>
      <c r="S61" s="1"/>
      <c r="T61" s="1">
        <f>SUM(OSRRefT22_11x_0)</f>
        <v>979.62</v>
      </c>
      <c r="U61" s="1"/>
      <c r="V61" s="5">
        <f t="shared" si="43"/>
        <v>7.3596225363028378E-3</v>
      </c>
      <c r="W61" s="1"/>
      <c r="X61" s="1">
        <f t="shared" si="44"/>
        <v>126.7299999999999</v>
      </c>
      <c r="Y61" s="1"/>
      <c r="Z61" s="5">
        <f t="shared" si="45"/>
        <v>0.12936648904677314</v>
      </c>
    </row>
    <row r="62" spans="1:26" s="24" customFormat="1" hidden="1" outlineLevel="2" x14ac:dyDescent="0.25">
      <c r="A62" s="26"/>
      <c r="B62" s="11" t="str">
        <f>CONCATENATE("          ", "6282", " - ", "JANITORIAL/EXTERMINATOR EXPENS")</f>
        <v xml:space="preserve">          6282 - JANITORIAL/EXTERMINATOR EXPENS</v>
      </c>
      <c r="C62" s="11"/>
      <c r="D62" s="6">
        <v>225.81</v>
      </c>
      <c r="E62" s="2"/>
      <c r="F62" s="7">
        <f t="shared" si="38"/>
        <v>6.8529797457590347E-3</v>
      </c>
      <c r="G62" s="2"/>
      <c r="H62" s="6">
        <v>225.81</v>
      </c>
      <c r="I62" s="2"/>
      <c r="J62" s="7">
        <f t="shared" si="39"/>
        <v>6.6348221062012269E-3</v>
      </c>
      <c r="K62" s="2"/>
      <c r="L62" s="6">
        <f t="shared" si="40"/>
        <v>0</v>
      </c>
      <c r="M62" s="2"/>
      <c r="N62" s="7">
        <f t="shared" si="41"/>
        <v>0</v>
      </c>
      <c r="O62" s="11"/>
      <c r="P62" s="6">
        <v>903.24</v>
      </c>
      <c r="Q62" s="2"/>
      <c r="R62" s="7">
        <f t="shared" si="42"/>
        <v>6.7530957857150397E-3</v>
      </c>
      <c r="S62" s="2"/>
      <c r="T62" s="6">
        <v>903.24</v>
      </c>
      <c r="U62" s="2"/>
      <c r="V62" s="7">
        <f t="shared" si="43"/>
        <v>6.7858000650151849E-3</v>
      </c>
      <c r="W62" s="2"/>
      <c r="X62" s="6">
        <f t="shared" si="44"/>
        <v>0</v>
      </c>
      <c r="Y62" s="2"/>
      <c r="Z62" s="7">
        <f t="shared" si="45"/>
        <v>0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6">
        <v>146.25</v>
      </c>
      <c r="E63" s="2"/>
      <c r="F63" s="7">
        <f t="shared" si="38"/>
        <v>4.4384583845589604E-3</v>
      </c>
      <c r="G63" s="2"/>
      <c r="H63" s="6">
        <v>32.5</v>
      </c>
      <c r="I63" s="2"/>
      <c r="J63" s="7">
        <f t="shared" si="39"/>
        <v>9.5492546145671087E-4</v>
      </c>
      <c r="K63" s="2"/>
      <c r="L63" s="6">
        <f t="shared" si="40"/>
        <v>113.75</v>
      </c>
      <c r="M63" s="2"/>
      <c r="N63" s="7">
        <f t="shared" si="41"/>
        <v>3.5</v>
      </c>
      <c r="O63" s="11"/>
      <c r="P63" s="6">
        <v>203.11</v>
      </c>
      <c r="Q63" s="2"/>
      <c r="R63" s="7">
        <f t="shared" si="42"/>
        <v>1.5185568453972163E-3</v>
      </c>
      <c r="S63" s="2"/>
      <c r="T63" s="6">
        <v>76.38</v>
      </c>
      <c r="U63" s="2"/>
      <c r="V63" s="7">
        <f t="shared" si="43"/>
        <v>5.7382247128765309E-4</v>
      </c>
      <c r="W63" s="2"/>
      <c r="X63" s="6">
        <f t="shared" si="44"/>
        <v>126.73000000000002</v>
      </c>
      <c r="Y63" s="2"/>
      <c r="Z63" s="7">
        <f t="shared" si="45"/>
        <v>1.6592039800995029</v>
      </c>
    </row>
    <row r="64" spans="1:26" s="27" customFormat="1" outlineLevel="1" collapsed="1" x14ac:dyDescent="0.25">
      <c r="A64" s="25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5870.53</v>
      </c>
      <c r="E64" s="1"/>
      <c r="F64" s="5">
        <f t="shared" ref="F64:F71" si="46">IF(D$12=0,0,D64/D$12)</f>
        <v>0.17816138872003359</v>
      </c>
      <c r="G64" s="1"/>
      <c r="H64" s="1">
        <f>SUM(OSRRefH22_12x_0)</f>
        <v>602.25</v>
      </c>
      <c r="I64" s="1"/>
      <c r="J64" s="5">
        <f t="shared" ref="J64:J71" si="47">IF(H$12=0,0,H64/H$12)</f>
        <v>1.7695503358840126E-2</v>
      </c>
      <c r="K64" s="1"/>
      <c r="L64" s="1">
        <f t="shared" ref="L64:L71" si="48">+D64-H64</f>
        <v>5268.28</v>
      </c>
      <c r="M64" s="1"/>
      <c r="N64" s="5">
        <f t="shared" ref="N64:N71" si="49">IF(H64=0,0,L64/H64)</f>
        <v>8.7476629306766291</v>
      </c>
      <c r="O64" s="13"/>
      <c r="P64" s="1">
        <f>SUM(OSRRefP22_12x_0)</f>
        <v>9964.02</v>
      </c>
      <c r="Q64" s="1"/>
      <c r="R64" s="5">
        <f t="shared" ref="R64:R71" si="50">IF(P$12=0,0,P64/P$12)</f>
        <v>7.449623740177623E-2</v>
      </c>
      <c r="S64" s="1"/>
      <c r="T64" s="1">
        <f>SUM(OSRRefT22_12x_0)</f>
        <v>2709.43</v>
      </c>
      <c r="U64" s="1"/>
      <c r="V64" s="5">
        <f t="shared" ref="V64:V71" si="51">IF(T$12=0,0,T64/T$12)</f>
        <v>2.035522150276127E-2</v>
      </c>
      <c r="W64" s="1"/>
      <c r="X64" s="1">
        <f t="shared" ref="X64:X71" si="52">+P64-T64</f>
        <v>7254.59</v>
      </c>
      <c r="Y64" s="1"/>
      <c r="Z64" s="5">
        <f t="shared" ref="Z64:Z71" si="53">IF(T64=0,0,X64/T64)</f>
        <v>2.6775336509893228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6">
        <v>3756.46</v>
      </c>
      <c r="E65" s="2"/>
      <c r="F65" s="7">
        <f t="shared" si="46"/>
        <v>0.11400267612485711</v>
      </c>
      <c r="G65" s="2"/>
      <c r="H65" s="6"/>
      <c r="I65" s="2"/>
      <c r="J65" s="7">
        <f t="shared" si="47"/>
        <v>0</v>
      </c>
      <c r="K65" s="2"/>
      <c r="L65" s="6">
        <f t="shared" si="48"/>
        <v>3756.46</v>
      </c>
      <c r="M65" s="2"/>
      <c r="N65" s="7">
        <f t="shared" si="49"/>
        <v>0</v>
      </c>
      <c r="O65" s="11"/>
      <c r="P65" s="6">
        <v>3756.46</v>
      </c>
      <c r="Q65" s="2"/>
      <c r="R65" s="7">
        <f t="shared" si="50"/>
        <v>2.8085264376253395E-2</v>
      </c>
      <c r="S65" s="2"/>
      <c r="T65" s="6"/>
      <c r="U65" s="2"/>
      <c r="V65" s="7">
        <f t="shared" si="51"/>
        <v>0</v>
      </c>
      <c r="W65" s="2"/>
      <c r="X65" s="6">
        <f t="shared" si="52"/>
        <v>3756.46</v>
      </c>
      <c r="Y65" s="2"/>
      <c r="Z65" s="7">
        <f t="shared" si="53"/>
        <v>0</v>
      </c>
    </row>
    <row r="66" spans="1:26" s="24" customFormat="1" hidden="1" outlineLevel="2" x14ac:dyDescent="0.25">
      <c r="A66" s="26"/>
      <c r="B66" s="11" t="str">
        <f>CONCATENATE("          ", "6237", " - ", "JANITORIAL SUPPLIES")</f>
        <v xml:space="preserve">          6237 - JANITORIAL SUPPLIES</v>
      </c>
      <c r="C66" s="11"/>
      <c r="D66" s="6"/>
      <c r="E66" s="2"/>
      <c r="F66" s="7">
        <f t="shared" si="46"/>
        <v>0</v>
      </c>
      <c r="G66" s="2"/>
      <c r="H66" s="6"/>
      <c r="I66" s="2"/>
      <c r="J66" s="7">
        <f t="shared" si="47"/>
        <v>0</v>
      </c>
      <c r="K66" s="2"/>
      <c r="L66" s="6">
        <f t="shared" si="48"/>
        <v>0</v>
      </c>
      <c r="M66" s="2"/>
      <c r="N66" s="7">
        <f t="shared" si="49"/>
        <v>0</v>
      </c>
      <c r="O66" s="11"/>
      <c r="P66" s="6">
        <v>240.56</v>
      </c>
      <c r="Q66" s="2"/>
      <c r="R66" s="7">
        <f t="shared" si="50"/>
        <v>1.7985526794778905E-3</v>
      </c>
      <c r="S66" s="2"/>
      <c r="T66" s="6">
        <v>24.08</v>
      </c>
      <c r="U66" s="2"/>
      <c r="V66" s="7">
        <f t="shared" si="51"/>
        <v>1.8090658691551043E-4</v>
      </c>
      <c r="W66" s="2"/>
      <c r="X66" s="6">
        <f t="shared" si="52"/>
        <v>216.48000000000002</v>
      </c>
      <c r="Y66" s="2"/>
      <c r="Z66" s="7">
        <f t="shared" si="53"/>
        <v>8.9900332225913644</v>
      </c>
    </row>
    <row r="67" spans="1:26" s="24" customFormat="1" hidden="1" outlineLevel="2" x14ac:dyDescent="0.25">
      <c r="A67" s="26"/>
      <c r="B67" s="11" t="str">
        <f>CONCATENATE("          ", "6239", " - ", "KITCHEN SUPPLIES")</f>
        <v xml:space="preserve">          6239 - KITCHEN SUPPLIES</v>
      </c>
      <c r="C67" s="11"/>
      <c r="D67" s="6">
        <v>2087.4499999999998</v>
      </c>
      <c r="E67" s="2"/>
      <c r="F67" s="7">
        <f t="shared" si="46"/>
        <v>6.3350837298103257E-2</v>
      </c>
      <c r="G67" s="2"/>
      <c r="H67" s="6">
        <v>416.88</v>
      </c>
      <c r="I67" s="2"/>
      <c r="J67" s="7">
        <f t="shared" si="47"/>
        <v>1.2248902349909958E-2</v>
      </c>
      <c r="K67" s="2"/>
      <c r="L67" s="6">
        <f t="shared" si="48"/>
        <v>1670.5699999999997</v>
      </c>
      <c r="M67" s="2"/>
      <c r="N67" s="7">
        <f t="shared" si="49"/>
        <v>4.007316254077911</v>
      </c>
      <c r="O67" s="11"/>
      <c r="P67" s="6">
        <v>3834</v>
      </c>
      <c r="Q67" s="2"/>
      <c r="R67" s="7">
        <f t="shared" si="50"/>
        <v>2.8664994068499469E-2</v>
      </c>
      <c r="S67" s="2"/>
      <c r="T67" s="6">
        <v>416.88</v>
      </c>
      <c r="U67" s="2"/>
      <c r="V67" s="7">
        <f t="shared" si="51"/>
        <v>3.1319077223147004E-3</v>
      </c>
      <c r="W67" s="2"/>
      <c r="X67" s="6">
        <f t="shared" si="52"/>
        <v>3417.12</v>
      </c>
      <c r="Y67" s="2"/>
      <c r="Z67" s="7">
        <f t="shared" si="53"/>
        <v>8.1968911917098453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>
        <v>5.12</v>
      </c>
      <c r="E68" s="2"/>
      <c r="F68" s="7">
        <f t="shared" si="46"/>
        <v>1.5538397900131197E-4</v>
      </c>
      <c r="G68" s="2"/>
      <c r="H68" s="6"/>
      <c r="I68" s="2"/>
      <c r="J68" s="7">
        <f t="shared" si="47"/>
        <v>0</v>
      </c>
      <c r="K68" s="2"/>
      <c r="L68" s="6">
        <f t="shared" si="48"/>
        <v>5.12</v>
      </c>
      <c r="M68" s="2"/>
      <c r="N68" s="7">
        <f t="shared" si="49"/>
        <v>0</v>
      </c>
      <c r="O68" s="11"/>
      <c r="P68" s="6">
        <v>513.91</v>
      </c>
      <c r="Q68" s="2"/>
      <c r="R68" s="7">
        <f t="shared" si="50"/>
        <v>3.8422605899172042E-3</v>
      </c>
      <c r="S68" s="2"/>
      <c r="T68" s="6">
        <v>1013.92</v>
      </c>
      <c r="U68" s="2"/>
      <c r="V68" s="7">
        <f t="shared" si="51"/>
        <v>7.6173092444092334E-3</v>
      </c>
      <c r="W68" s="2"/>
      <c r="X68" s="6">
        <f t="shared" si="52"/>
        <v>-500.01</v>
      </c>
      <c r="Y68" s="2"/>
      <c r="Z68" s="7">
        <f t="shared" si="53"/>
        <v>-0.49314541581189841</v>
      </c>
    </row>
    <row r="69" spans="1:26" s="24" customFormat="1" hidden="1" outlineLevel="2" x14ac:dyDescent="0.25">
      <c r="A69" s="26"/>
      <c r="B69" s="11" t="str">
        <f>CONCATENATE("          ", "6243", " - ", "PAPER SUPPLIES")</f>
        <v xml:space="preserve">          6243 - PAPER SUPPLIES</v>
      </c>
      <c r="C69" s="11"/>
      <c r="D69" s="6">
        <v>21.5</v>
      </c>
      <c r="E69" s="2"/>
      <c r="F69" s="7">
        <f t="shared" si="46"/>
        <v>6.5249131807191554E-4</v>
      </c>
      <c r="G69" s="2"/>
      <c r="H69" s="6">
        <v>185.37</v>
      </c>
      <c r="I69" s="2"/>
      <c r="J69" s="7">
        <f t="shared" si="47"/>
        <v>5.4466010089301697E-3</v>
      </c>
      <c r="K69" s="2"/>
      <c r="L69" s="6">
        <f t="shared" si="48"/>
        <v>-163.87</v>
      </c>
      <c r="M69" s="2"/>
      <c r="N69" s="7">
        <f t="shared" si="49"/>
        <v>-0.88401575227922535</v>
      </c>
      <c r="O69" s="11"/>
      <c r="P69" s="6">
        <v>1164.6500000000001</v>
      </c>
      <c r="Q69" s="2"/>
      <c r="R69" s="7">
        <f t="shared" si="50"/>
        <v>8.7075339963166177E-3</v>
      </c>
      <c r="S69" s="2"/>
      <c r="T69" s="6">
        <v>382.82</v>
      </c>
      <c r="U69" s="2"/>
      <c r="V69" s="7">
        <f t="shared" si="51"/>
        <v>2.876024069891848E-3</v>
      </c>
      <c r="W69" s="2"/>
      <c r="X69" s="6">
        <f t="shared" si="52"/>
        <v>781.83000000000015</v>
      </c>
      <c r="Y69" s="2"/>
      <c r="Z69" s="7">
        <f t="shared" si="53"/>
        <v>2.0422914163314356</v>
      </c>
    </row>
    <row r="70" spans="1:26" s="24" customFormat="1" hidden="1" outlineLevel="2" x14ac:dyDescent="0.25">
      <c r="A70" s="26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46"/>
        <v>0</v>
      </c>
      <c r="G70" s="2"/>
      <c r="H70" s="6"/>
      <c r="I70" s="2"/>
      <c r="J70" s="7">
        <f t="shared" si="47"/>
        <v>0</v>
      </c>
      <c r="K70" s="2"/>
      <c r="L70" s="6">
        <f t="shared" si="48"/>
        <v>0</v>
      </c>
      <c r="M70" s="2"/>
      <c r="N70" s="7">
        <f t="shared" si="49"/>
        <v>0</v>
      </c>
      <c r="O70" s="11"/>
      <c r="P70" s="6"/>
      <c r="Q70" s="2"/>
      <c r="R70" s="7">
        <f t="shared" si="50"/>
        <v>0</v>
      </c>
      <c r="S70" s="2"/>
      <c r="T70" s="6">
        <v>154.22</v>
      </c>
      <c r="U70" s="2"/>
      <c r="V70" s="7">
        <f t="shared" si="51"/>
        <v>1.1586135313168613E-3</v>
      </c>
      <c r="W70" s="2"/>
      <c r="X70" s="6">
        <f t="shared" si="52"/>
        <v>-154.22</v>
      </c>
      <c r="Y70" s="2"/>
      <c r="Z70" s="7">
        <f t="shared" si="53"/>
        <v>-1</v>
      </c>
    </row>
    <row r="71" spans="1:26" s="24" customFormat="1" hidden="1" outlineLevel="2" x14ac:dyDescent="0.25">
      <c r="A71" s="26"/>
      <c r="B71" s="11" t="str">
        <f>CONCATENATE("          ", "6248", " - ", "UNIFORMS")</f>
        <v xml:space="preserve">          6248 - UNIFORMS</v>
      </c>
      <c r="C71" s="11"/>
      <c r="D71" s="6"/>
      <c r="E71" s="2"/>
      <c r="F71" s="7">
        <f t="shared" si="46"/>
        <v>0</v>
      </c>
      <c r="G71" s="2"/>
      <c r="H71" s="6"/>
      <c r="I71" s="2"/>
      <c r="J71" s="7">
        <f t="shared" si="47"/>
        <v>0</v>
      </c>
      <c r="K71" s="2"/>
      <c r="L71" s="6">
        <f t="shared" si="48"/>
        <v>0</v>
      </c>
      <c r="M71" s="2"/>
      <c r="N71" s="7">
        <f t="shared" si="49"/>
        <v>0</v>
      </c>
      <c r="O71" s="11"/>
      <c r="P71" s="6">
        <v>454.44</v>
      </c>
      <c r="Q71" s="2"/>
      <c r="R71" s="7">
        <f t="shared" si="50"/>
        <v>3.3976316913116584E-3</v>
      </c>
      <c r="S71" s="2"/>
      <c r="T71" s="6">
        <v>717.51</v>
      </c>
      <c r="U71" s="2"/>
      <c r="V71" s="7">
        <f t="shared" si="51"/>
        <v>5.3904603479131181E-3</v>
      </c>
      <c r="W71" s="2"/>
      <c r="X71" s="6">
        <f t="shared" si="52"/>
        <v>-263.07</v>
      </c>
      <c r="Y71" s="2"/>
      <c r="Z71" s="7">
        <f t="shared" si="53"/>
        <v>-0.36664297361709242</v>
      </c>
    </row>
    <row r="72" spans="1:26" s="27" customFormat="1" outlineLevel="1" collapsed="1" x14ac:dyDescent="0.25">
      <c r="A72" s="25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SUM(OSRRefD22_13x_0)</f>
        <v>604.33000000000004</v>
      </c>
      <c r="E72" s="1"/>
      <c r="F72" s="5">
        <f t="shared" ref="F72:F77" si="54">IF(D$12=0,0,D72/D$12)</f>
        <v>1.8340468755832593E-2</v>
      </c>
      <c r="G72" s="1"/>
      <c r="H72" s="1">
        <f>SUM(OSRRefH22_13x_0)</f>
        <v>592.94000000000005</v>
      </c>
      <c r="I72" s="1"/>
      <c r="J72" s="5">
        <f t="shared" ref="J72:J77" si="55">IF(H$12=0,0,H72/H$12)</f>
        <v>1.7421953942035145E-2</v>
      </c>
      <c r="K72" s="1"/>
      <c r="L72" s="1">
        <f t="shared" ref="L72:L77" si="56">+D72-H72</f>
        <v>11.389999999999986</v>
      </c>
      <c r="M72" s="1"/>
      <c r="N72" s="5">
        <f t="shared" ref="N72:N77" si="57">IF(H72=0,0,L72/H72)</f>
        <v>1.9209363510641862E-2</v>
      </c>
      <c r="O72" s="13"/>
      <c r="P72" s="1">
        <f>SUM(OSRRefP22_13x_0)</f>
        <v>1237.24</v>
      </c>
      <c r="Q72" s="1"/>
      <c r="R72" s="5">
        <f t="shared" ref="R72:R77" si="58">IF(P$12=0,0,P72/P$12)</f>
        <v>9.2502548934038295E-3</v>
      </c>
      <c r="S72" s="1"/>
      <c r="T72" s="1">
        <f>SUM(OSRRefT22_13x_0)</f>
        <v>1445.19</v>
      </c>
      <c r="U72" s="1"/>
      <c r="V72" s="5">
        <f t="shared" ref="V72:V77" si="59">IF(T$12=0,0,T72/T$12)</f>
        <v>1.0857325180416384E-2</v>
      </c>
      <c r="W72" s="1"/>
      <c r="X72" s="1">
        <f t="shared" ref="X72:X77" si="60">+P72-T72</f>
        <v>-207.95000000000005</v>
      </c>
      <c r="Y72" s="1"/>
      <c r="Z72" s="5">
        <f t="shared" ref="Z72:Z77" si="61">IF(T72=0,0,X72/T72)</f>
        <v>-0.1438911146631239</v>
      </c>
    </row>
    <row r="73" spans="1:26" s="24" customFormat="1" hidden="1" outlineLevel="2" x14ac:dyDescent="0.25">
      <c r="A73" s="26"/>
      <c r="B73" s="11" t="str">
        <f>CONCATENATE("          ", "6309", " - ", "TELEPHONE")</f>
        <v xml:space="preserve">          6309 - TELEPHONE</v>
      </c>
      <c r="C73" s="11"/>
      <c r="D73" s="6">
        <v>604.33000000000004</v>
      </c>
      <c r="E73" s="2"/>
      <c r="F73" s="7">
        <f t="shared" si="54"/>
        <v>1.8340468755832593E-2</v>
      </c>
      <c r="G73" s="2"/>
      <c r="H73" s="6">
        <v>592.94000000000005</v>
      </c>
      <c r="I73" s="2"/>
      <c r="J73" s="7">
        <f t="shared" si="55"/>
        <v>1.7421953942035145E-2</v>
      </c>
      <c r="K73" s="2"/>
      <c r="L73" s="6">
        <f t="shared" si="56"/>
        <v>11.389999999999986</v>
      </c>
      <c r="M73" s="2"/>
      <c r="N73" s="7">
        <f t="shared" si="57"/>
        <v>1.9209363510641862E-2</v>
      </c>
      <c r="O73" s="11"/>
      <c r="P73" s="6">
        <v>1237.24</v>
      </c>
      <c r="Q73" s="2"/>
      <c r="R73" s="7">
        <f t="shared" si="58"/>
        <v>9.2502548934038295E-3</v>
      </c>
      <c r="S73" s="2"/>
      <c r="T73" s="6">
        <v>1445.19</v>
      </c>
      <c r="U73" s="2"/>
      <c r="V73" s="7">
        <f t="shared" si="59"/>
        <v>1.0857325180416384E-2</v>
      </c>
      <c r="W73" s="2"/>
      <c r="X73" s="6">
        <f t="shared" si="60"/>
        <v>-207.95000000000005</v>
      </c>
      <c r="Y73" s="2"/>
      <c r="Z73" s="7">
        <f t="shared" si="61"/>
        <v>-0.1438911146631239</v>
      </c>
    </row>
    <row r="74" spans="1:26" s="27" customFormat="1" outlineLevel="1" collapsed="1" x14ac:dyDescent="0.25">
      <c r="A74" s="25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SUM(OSRRefD22_14x_0)</f>
        <v>85</v>
      </c>
      <c r="E74" s="1"/>
      <c r="F74" s="5">
        <f t="shared" si="54"/>
        <v>2.5796168388889681E-3</v>
      </c>
      <c r="G74" s="1"/>
      <c r="H74" s="1">
        <f>SUM(OSRRefH22_14x_0)</f>
        <v>0</v>
      </c>
      <c r="I74" s="1"/>
      <c r="J74" s="5">
        <f t="shared" si="55"/>
        <v>0</v>
      </c>
      <c r="K74" s="1"/>
      <c r="L74" s="1">
        <f t="shared" si="56"/>
        <v>85</v>
      </c>
      <c r="M74" s="1"/>
      <c r="N74" s="5">
        <f t="shared" si="57"/>
        <v>0</v>
      </c>
      <c r="O74" s="13"/>
      <c r="P74" s="1">
        <f>SUM(OSRRefP22_14x_0)</f>
        <v>237.95</v>
      </c>
      <c r="Q74" s="1"/>
      <c r="R74" s="5">
        <f t="shared" si="58"/>
        <v>1.7790389511214001E-3</v>
      </c>
      <c r="S74" s="1"/>
      <c r="T74" s="1">
        <f>SUM(OSRRefT22_14x_0)</f>
        <v>98.83</v>
      </c>
      <c r="U74" s="1"/>
      <c r="V74" s="5">
        <f t="shared" si="59"/>
        <v>7.4248330501909868E-4</v>
      </c>
      <c r="W74" s="1"/>
      <c r="X74" s="1">
        <f t="shared" si="60"/>
        <v>139.12</v>
      </c>
      <c r="Y74" s="1"/>
      <c r="Z74" s="5">
        <f t="shared" si="61"/>
        <v>1.4076697359101489</v>
      </c>
    </row>
    <row r="75" spans="1:26" s="24" customFormat="1" hidden="1" outlineLevel="2" x14ac:dyDescent="0.25">
      <c r="A75" s="26"/>
      <c r="B75" s="11" t="str">
        <f>CONCATENATE("          ", "6376", " - ", "TRAINING")</f>
        <v xml:space="preserve">          6376 - TRAINING</v>
      </c>
      <c r="C75" s="11"/>
      <c r="D75" s="6">
        <v>85</v>
      </c>
      <c r="E75" s="2"/>
      <c r="F75" s="7">
        <f t="shared" si="54"/>
        <v>2.5796168388889681E-3</v>
      </c>
      <c r="G75" s="2"/>
      <c r="H75" s="6"/>
      <c r="I75" s="2"/>
      <c r="J75" s="7">
        <f t="shared" si="55"/>
        <v>0</v>
      </c>
      <c r="K75" s="2"/>
      <c r="L75" s="6">
        <f t="shared" si="56"/>
        <v>85</v>
      </c>
      <c r="M75" s="2"/>
      <c r="N75" s="7">
        <f t="shared" si="57"/>
        <v>0</v>
      </c>
      <c r="O75" s="11"/>
      <c r="P75" s="6">
        <v>237.95</v>
      </c>
      <c r="Q75" s="2"/>
      <c r="R75" s="7">
        <f t="shared" si="58"/>
        <v>1.7790389511214001E-3</v>
      </c>
      <c r="S75" s="2"/>
      <c r="T75" s="6">
        <v>98.83</v>
      </c>
      <c r="U75" s="2"/>
      <c r="V75" s="7">
        <f t="shared" si="59"/>
        <v>7.4248330501909868E-4</v>
      </c>
      <c r="W75" s="2"/>
      <c r="X75" s="6">
        <f t="shared" si="60"/>
        <v>139.12</v>
      </c>
      <c r="Y75" s="2"/>
      <c r="Z75" s="7">
        <f t="shared" si="61"/>
        <v>1.4076697359101489</v>
      </c>
    </row>
    <row r="76" spans="1:26" s="27" customFormat="1" outlineLevel="1" collapsed="1" x14ac:dyDescent="0.25">
      <c r="A76" s="25"/>
      <c r="B76" s="13" t="str">
        <f>CONCATENATE("     ","Travel                                            ")</f>
        <v xml:space="preserve">     Travel                                            </v>
      </c>
      <c r="C76" s="13"/>
      <c r="D76" s="1">
        <f>SUM(OSRRefD22_15x_0)</f>
        <v>0</v>
      </c>
      <c r="E76" s="1"/>
      <c r="F76" s="5">
        <f t="shared" si="54"/>
        <v>0</v>
      </c>
      <c r="G76" s="1"/>
      <c r="H76" s="1">
        <f>SUM(OSRRefH22_15x_0)</f>
        <v>0</v>
      </c>
      <c r="I76" s="1"/>
      <c r="J76" s="5">
        <f t="shared" si="55"/>
        <v>0</v>
      </c>
      <c r="K76" s="1"/>
      <c r="L76" s="1">
        <f t="shared" si="56"/>
        <v>0</v>
      </c>
      <c r="M76" s="1"/>
      <c r="N76" s="5">
        <f t="shared" si="57"/>
        <v>0</v>
      </c>
      <c r="O76" s="13"/>
      <c r="P76" s="1">
        <f>SUM(OSRRefP22_15x_0)</f>
        <v>0</v>
      </c>
      <c r="Q76" s="1"/>
      <c r="R76" s="5">
        <f t="shared" si="58"/>
        <v>0</v>
      </c>
      <c r="S76" s="1"/>
      <c r="T76" s="1">
        <f>SUM(OSRRefT22_15x_0)</f>
        <v>1258.9000000000001</v>
      </c>
      <c r="U76" s="1"/>
      <c r="V76" s="5">
        <f t="shared" si="59"/>
        <v>9.4577783333860514E-3</v>
      </c>
      <c r="W76" s="1"/>
      <c r="X76" s="1">
        <f t="shared" si="60"/>
        <v>-1258.9000000000001</v>
      </c>
      <c r="Y76" s="1"/>
      <c r="Z76" s="5">
        <f t="shared" si="61"/>
        <v>-1</v>
      </c>
    </row>
    <row r="77" spans="1:26" s="24" customFormat="1" hidden="1" outlineLevel="2" x14ac:dyDescent="0.25">
      <c r="A77" s="26"/>
      <c r="B77" s="11" t="str">
        <f>CONCATENATE("          ", "6294", " - ", "TRAVEL OPERATIONAL")</f>
        <v xml:space="preserve">          6294 - TRAVEL OPERATIONAL</v>
      </c>
      <c r="C77" s="11"/>
      <c r="D77" s="6"/>
      <c r="E77" s="2"/>
      <c r="F77" s="7">
        <f t="shared" si="54"/>
        <v>0</v>
      </c>
      <c r="G77" s="2"/>
      <c r="H77" s="6"/>
      <c r="I77" s="2"/>
      <c r="J77" s="7">
        <f t="shared" si="55"/>
        <v>0</v>
      </c>
      <c r="K77" s="2"/>
      <c r="L77" s="6">
        <f t="shared" si="56"/>
        <v>0</v>
      </c>
      <c r="M77" s="2"/>
      <c r="N77" s="7">
        <f t="shared" si="57"/>
        <v>0</v>
      </c>
      <c r="O77" s="11"/>
      <c r="P77" s="6"/>
      <c r="Q77" s="2"/>
      <c r="R77" s="7">
        <f t="shared" si="58"/>
        <v>0</v>
      </c>
      <c r="S77" s="2"/>
      <c r="T77" s="6">
        <v>1258.9000000000001</v>
      </c>
      <c r="U77" s="2"/>
      <c r="V77" s="7">
        <f t="shared" si="59"/>
        <v>9.4577783333860514E-3</v>
      </c>
      <c r="W77" s="2"/>
      <c r="X77" s="6">
        <f t="shared" si="60"/>
        <v>-1258.9000000000001</v>
      </c>
      <c r="Y77" s="2"/>
      <c r="Z77" s="7">
        <f t="shared" si="61"/>
        <v>-1</v>
      </c>
    </row>
    <row r="78" spans="1:26" s="55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collapsed="1" x14ac:dyDescent="0.25">
      <c r="A79" s="10"/>
      <c r="B79" s="29" t="s">
        <v>0</v>
      </c>
      <c r="C79" s="10"/>
      <c r="D79" s="4">
        <f>SUM(OSRRefD25x_0)</f>
        <v>0</v>
      </c>
      <c r="E79" s="4"/>
      <c r="F79" s="12">
        <f t="shared" ref="F79:F80" si="62">IF(D$12=0,0,D79/D$12)</f>
        <v>0</v>
      </c>
      <c r="G79" s="4"/>
      <c r="H79" s="4">
        <f>SUM(OSRRefH25x_0)</f>
        <v>0</v>
      </c>
      <c r="I79" s="4"/>
      <c r="J79" s="12">
        <f t="shared" ref="J79:J80" si="63">IF(H$12=0,0,H79/H$12)</f>
        <v>0</v>
      </c>
      <c r="K79" s="4"/>
      <c r="L79" s="4">
        <f t="shared" ref="L79:L80" si="64">+D79-H79</f>
        <v>0</v>
      </c>
      <c r="M79" s="4"/>
      <c r="N79" s="12">
        <f t="shared" ref="N79:N80" si="65">IF(H79=0,0,L79/H79)</f>
        <v>0</v>
      </c>
      <c r="O79" s="10"/>
      <c r="P79" s="4">
        <f>SUM(OSRRefP25x_0)</f>
        <v>29281.48</v>
      </c>
      <c r="Q79" s="4"/>
      <c r="R79" s="12">
        <f t="shared" ref="R79:R80" si="66">IF(P$12=0,0,P79/P$12)</f>
        <v>0.21892369601379391</v>
      </c>
      <c r="S79" s="4"/>
      <c r="T79" s="4">
        <f>SUM(OSRRefT25x_0)</f>
        <v>0</v>
      </c>
      <c r="U79" s="4"/>
      <c r="V79" s="12">
        <f t="shared" ref="V79:V80" si="67">IF(T$12=0,0,T79/T$12)</f>
        <v>0</v>
      </c>
      <c r="W79" s="4"/>
      <c r="X79" s="4">
        <f t="shared" ref="X79:X80" si="68">+P79-T79</f>
        <v>29281.48</v>
      </c>
      <c r="Y79" s="4"/>
      <c r="Z79" s="12">
        <f t="shared" ref="Z79:Z80" si="69">IF(T79=0,0,X79/T79)</f>
        <v>0</v>
      </c>
    </row>
    <row r="80" spans="1:26" s="24" customFormat="1" hidden="1" outlineLevel="1" x14ac:dyDescent="0.25">
      <c r="A80" s="44"/>
      <c r="B80" s="11" t="str">
        <f>CONCATENATE("          ", "9150", " - ", "MISC. INCOME")</f>
        <v xml:space="preserve">          9150 - MISC. INCOME</v>
      </c>
      <c r="C80" s="11"/>
      <c r="D80" s="2">
        <f>0</f>
        <v>0</v>
      </c>
      <c r="E80" s="2"/>
      <c r="F80" s="19">
        <f t="shared" si="62"/>
        <v>0</v>
      </c>
      <c r="G80" s="2"/>
      <c r="H80" s="2">
        <f>0</f>
        <v>0</v>
      </c>
      <c r="I80" s="2"/>
      <c r="J80" s="19">
        <f t="shared" si="63"/>
        <v>0</v>
      </c>
      <c r="K80" s="2"/>
      <c r="L80" s="2">
        <f t="shared" si="64"/>
        <v>0</v>
      </c>
      <c r="M80" s="2"/>
      <c r="N80" s="19">
        <f t="shared" si="65"/>
        <v>0</v>
      </c>
      <c r="O80" s="11"/>
      <c r="P80" s="2">
        <f>--29281.48</f>
        <v>29281.48</v>
      </c>
      <c r="Q80" s="2"/>
      <c r="R80" s="19">
        <f t="shared" si="66"/>
        <v>0.21892369601379391</v>
      </c>
      <c r="S80" s="2"/>
      <c r="T80" s="2">
        <f>0</f>
        <v>0</v>
      </c>
      <c r="U80" s="2"/>
      <c r="V80" s="19">
        <f t="shared" si="67"/>
        <v>0</v>
      </c>
      <c r="W80" s="2"/>
      <c r="X80" s="2">
        <f t="shared" si="68"/>
        <v>29281.48</v>
      </c>
      <c r="Y80" s="2"/>
      <c r="Z80" s="19">
        <f t="shared" si="69"/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3</v>
      </c>
      <c r="C82" s="28"/>
      <c r="D82" s="21">
        <f>+D23-D25+D79</f>
        <v>-9953.6000000000058</v>
      </c>
      <c r="E82" s="14"/>
      <c r="F82" s="22">
        <f>IF(D$12=0,0,D82/D$12)</f>
        <v>-0.30207616667723824</v>
      </c>
      <c r="G82" s="14"/>
      <c r="H82" s="21">
        <f>+H23-H25+H79</f>
        <v>-5951.3299999999945</v>
      </c>
      <c r="I82" s="14"/>
      <c r="J82" s="22">
        <f>IF(H$12=0,0,H82/H$12)</f>
        <v>-0.17486389373942038</v>
      </c>
      <c r="K82" s="16"/>
      <c r="L82" s="21">
        <f>+D82-H82</f>
        <v>-4002.2700000000114</v>
      </c>
      <c r="M82" s="16"/>
      <c r="N82" s="22">
        <f>IF(H82=0,0,L82/H82)</f>
        <v>0.67250009661706123</v>
      </c>
      <c r="O82" s="29"/>
      <c r="P82" s="21">
        <f>+P23-P25+P79</f>
        <v>12179.409999999978</v>
      </c>
      <c r="Q82" s="14"/>
      <c r="R82" s="22">
        <f>IF(P$12=0,0,P82/P$12)</f>
        <v>9.1059654514299038E-2</v>
      </c>
      <c r="S82" s="14"/>
      <c r="T82" s="21">
        <f>+T23-T25+T79</f>
        <v>10192.40999999996</v>
      </c>
      <c r="U82" s="14"/>
      <c r="V82" s="22">
        <f>IF(T$12=0,0,T82/T$12)</f>
        <v>7.6572844914597607E-2</v>
      </c>
      <c r="W82" s="16"/>
      <c r="X82" s="21">
        <f>+P82-T82</f>
        <v>1987.0000000000182</v>
      </c>
      <c r="Y82" s="16"/>
      <c r="Z82" s="22">
        <f>IF(T82=0,0,X82/T82)</f>
        <v>0.19494898654979795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2636.42</v>
      </c>
      <c r="E84" s="4"/>
      <c r="F84" s="12">
        <f>IF(D$12=0,0,D84/D$12)</f>
        <v>8.0011216780984162E-2</v>
      </c>
      <c r="G84" s="4"/>
      <c r="H84" s="4">
        <v>3422.17</v>
      </c>
      <c r="I84" s="4"/>
      <c r="J84" s="12">
        <f>IF(H$12=0,0,H84/H$12)</f>
        <v>0.10055130050564039</v>
      </c>
      <c r="K84" s="4"/>
      <c r="L84" s="4">
        <f>+D84-H84</f>
        <v>-785.75</v>
      </c>
      <c r="M84" s="4"/>
      <c r="N84" s="12">
        <f>IF(H84=0,0,L84/H84)</f>
        <v>-0.22960577645178351</v>
      </c>
      <c r="O84" s="10"/>
      <c r="P84" s="4">
        <v>13463.82</v>
      </c>
      <c r="Q84" s="4"/>
      <c r="R84" s="12">
        <f>IF(P$12=0,0,P84/P$12)</f>
        <v>0.100662577057732</v>
      </c>
      <c r="S84" s="4"/>
      <c r="T84" s="4">
        <v>12224.55</v>
      </c>
      <c r="U84" s="4"/>
      <c r="V84" s="12">
        <f>IF(T$12=0,0,T84/T$12)</f>
        <v>9.1839768151079859E-2</v>
      </c>
      <c r="W84" s="4"/>
      <c r="X84" s="4">
        <f>+P84-T84</f>
        <v>1239.2700000000004</v>
      </c>
      <c r="Y84" s="4"/>
      <c r="Z84" s="12">
        <f>IF(T84=0,0,X84/T84)</f>
        <v>0.10137551075499716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4</v>
      </c>
      <c r="C86" s="28"/>
      <c r="D86" s="31">
        <f>+D82-D84</f>
        <v>-12590.020000000006</v>
      </c>
      <c r="E86" s="14"/>
      <c r="F86" s="34">
        <f>IF(D$12=0,0,D86/D$12)</f>
        <v>-0.38208738345822241</v>
      </c>
      <c r="G86" s="14"/>
      <c r="H86" s="31">
        <f>+H82-H84</f>
        <v>-9373.4999999999945</v>
      </c>
      <c r="I86" s="14"/>
      <c r="J86" s="34">
        <f>IF(H$12=0,0,H86/H$12)</f>
        <v>-0.27541519424506072</v>
      </c>
      <c r="K86" s="16"/>
      <c r="L86" s="31">
        <f>D86-H86</f>
        <v>-3216.5200000000114</v>
      </c>
      <c r="M86" s="16"/>
      <c r="N86" s="34">
        <f>IF(H86=0,0,L86/H86)</f>
        <v>0.34315037072598426</v>
      </c>
      <c r="O86" s="29"/>
      <c r="P86" s="31">
        <f>+P82-P84</f>
        <v>-1284.4100000000217</v>
      </c>
      <c r="Q86" s="14"/>
      <c r="R86" s="34">
        <f>IF(P$12=0,0,P86/P$12)</f>
        <v>-9.6029225434329738E-3</v>
      </c>
      <c r="S86" s="14"/>
      <c r="T86" s="31">
        <f>+T82-T84</f>
        <v>-2032.1400000000394</v>
      </c>
      <c r="U86" s="14"/>
      <c r="V86" s="34">
        <f>IF(T$12=0,0,T86/T$12)</f>
        <v>-1.5266923236482247E-2</v>
      </c>
      <c r="W86" s="16"/>
      <c r="X86" s="31">
        <f>P86-T86</f>
        <v>747.73000000001775</v>
      </c>
      <c r="Y86" s="16"/>
      <c r="Z86" s="34">
        <f>IF(T86=0,0,X86/T86)</f>
        <v>-0.36795201118033366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5</v>
      </c>
      <c r="C89" s="28"/>
      <c r="D89" s="36">
        <f>SUM(D86:D88)</f>
        <v>-12590.020000000006</v>
      </c>
      <c r="E89" s="14"/>
      <c r="F89" s="33">
        <f>IF(D$12=0,0,D89/D$12)</f>
        <v>-0.38208738345822241</v>
      </c>
      <c r="G89" s="14"/>
      <c r="H89" s="36">
        <f>SUM(H86:H88)</f>
        <v>-9373.4999999999945</v>
      </c>
      <c r="I89" s="14"/>
      <c r="J89" s="33">
        <f>IF(H$12=0,0,H89/H$12)</f>
        <v>-0.27541519424506072</v>
      </c>
      <c r="K89" s="16"/>
      <c r="L89" s="36">
        <f>+D89-H89</f>
        <v>-3216.5200000000114</v>
      </c>
      <c r="M89" s="16"/>
      <c r="N89" s="33">
        <f>IF(H89=0,0,L89/H89)</f>
        <v>0.34315037072598426</v>
      </c>
      <c r="O89" s="29"/>
      <c r="P89" s="36">
        <f>SUM(P86:P88)</f>
        <v>-1284.4100000000217</v>
      </c>
      <c r="Q89" s="14"/>
      <c r="R89" s="33">
        <f>IF(P$12=0,0,P89/P$12)</f>
        <v>-9.6029225434329738E-3</v>
      </c>
      <c r="S89" s="14"/>
      <c r="T89" s="36">
        <f>SUM(T86:T88)</f>
        <v>-2032.1400000000394</v>
      </c>
      <c r="U89" s="14"/>
      <c r="V89" s="33">
        <f>IF(T$12=0,0,T89/T$12)</f>
        <v>-1.5266923236482247E-2</v>
      </c>
      <c r="W89" s="16"/>
      <c r="X89" s="36">
        <f>+P89-T89</f>
        <v>747.73000000001775</v>
      </c>
      <c r="Y89" s="16"/>
      <c r="Z89" s="33">
        <f>IF(T89=0,0,X89/T89)</f>
        <v>-0.36795201118033366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61">
        <v>43791.355741238425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6" t="s">
        <v>313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7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","100", " - ", "Corporate")</f>
        <v>Department 100 - Corporate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SUM(0)</f>
        <v>0</v>
      </c>
      <c r="E18" s="20"/>
      <c r="F18" s="35">
        <f>IF(D$12=0,0,D18/D$12)</f>
        <v>0</v>
      </c>
      <c r="G18" s="20"/>
      <c r="H18" s="20">
        <f>SUM(0)</f>
        <v>0</v>
      </c>
      <c r="I18" s="20"/>
      <c r="J18" s="35">
        <f>IF(H$12=0,0,H18/H$12)</f>
        <v>0</v>
      </c>
      <c r="K18" s="4"/>
      <c r="L18" s="20">
        <f>+D18-H18</f>
        <v>0</v>
      </c>
      <c r="M18" s="4"/>
      <c r="N18" s="35">
        <f>IF(H18=0,0,L18/H18)</f>
        <v>0</v>
      </c>
      <c r="O18" s="10"/>
      <c r="P18" s="20">
        <f>SUM(0)</f>
        <v>0</v>
      </c>
      <c r="Q18" s="20"/>
      <c r="R18" s="35">
        <f>IF(P$12=0,0,P18/P$12)</f>
        <v>0</v>
      </c>
      <c r="S18" s="20"/>
      <c r="T18" s="20">
        <f>SUM(0)</f>
        <v>0</v>
      </c>
      <c r="U18" s="20"/>
      <c r="V18" s="35">
        <f>IF(T$12=0,0,T18/T$12)</f>
        <v>0</v>
      </c>
      <c r="W18" s="4"/>
      <c r="X18" s="20">
        <f>+P18-T18</f>
        <v>0</v>
      </c>
      <c r="Y18" s="4"/>
      <c r="Z18" s="35">
        <f>IF(T18=0,0,X18/T18)</f>
        <v>0</v>
      </c>
    </row>
    <row r="19" spans="1:26" s="55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1">
        <f>+D16-D18+D20</f>
        <v>0</v>
      </c>
      <c r="E22" s="14"/>
      <c r="F22" s="22">
        <f>IF(D$12=0,0,D22/D$12)</f>
        <v>0</v>
      </c>
      <c r="G22" s="14"/>
      <c r="H22" s="21">
        <f>+H16-H18+H20</f>
        <v>0</v>
      </c>
      <c r="I22" s="14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9"/>
      <c r="P22" s="21">
        <f>+P16-P18+P20</f>
        <v>0</v>
      </c>
      <c r="Q22" s="14"/>
      <c r="R22" s="22">
        <f>IF(P$12=0,0,P22/P$12)</f>
        <v>0</v>
      </c>
      <c r="S22" s="14"/>
      <c r="T22" s="21">
        <f>+T16-T18+T20</f>
        <v>0</v>
      </c>
      <c r="U22" s="14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4">
        <f>IF(D$12=0,0,D26/D$12)</f>
        <v>0</v>
      </c>
      <c r="G26" s="14"/>
      <c r="H26" s="31">
        <f>+H22-H24</f>
        <v>0</v>
      </c>
      <c r="I26" s="14"/>
      <c r="J26" s="34">
        <f>IF(H$12=0,0,H26/H$12)</f>
        <v>0</v>
      </c>
      <c r="K26" s="16"/>
      <c r="L26" s="31">
        <f>D26-H26</f>
        <v>0</v>
      </c>
      <c r="M26" s="16"/>
      <c r="N26" s="34">
        <f>IF(H26=0,0,L26/H26)</f>
        <v>0</v>
      </c>
      <c r="O26" s="29"/>
      <c r="P26" s="31">
        <f>+P22-P24</f>
        <v>0</v>
      </c>
      <c r="Q26" s="14"/>
      <c r="R26" s="34">
        <f>IF(P$12=0,0,P26/P$12)</f>
        <v>0</v>
      </c>
      <c r="S26" s="14"/>
      <c r="T26" s="31">
        <f>+T22-T24</f>
        <v>0</v>
      </c>
      <c r="U26" s="14"/>
      <c r="V26" s="34">
        <f>IF(T$12=0,0,T26/T$12)</f>
        <v>0</v>
      </c>
      <c r="W26" s="16"/>
      <c r="X26" s="31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--215833.16</f>
        <v>215833.16</v>
      </c>
      <c r="E28" s="4"/>
      <c r="F28" s="12">
        <f t="shared" ref="F28:F29" si="0">IF(D$12=0,0,D28/D$12)</f>
        <v>0</v>
      </c>
      <c r="G28" s="4"/>
      <c r="H28" s="4">
        <f>-666188.97</f>
        <v>-666188.97</v>
      </c>
      <c r="I28" s="4"/>
      <c r="J28" s="12">
        <f t="shared" ref="J28:J29" si="1">IF(H$12=0,0,H28/H$12)</f>
        <v>0</v>
      </c>
      <c r="K28" s="4"/>
      <c r="L28" s="4">
        <f t="shared" ref="L28:L29" si="2">+D28-H28</f>
        <v>882022.13</v>
      </c>
      <c r="M28" s="4"/>
      <c r="N28" s="12">
        <f t="shared" ref="N28:N29" si="3">IF(H28=0,0,L28/H28)</f>
        <v>-1.3239818876016516</v>
      </c>
      <c r="O28" s="10"/>
      <c r="P28" s="4">
        <f>--118303.25</f>
        <v>118303.25</v>
      </c>
      <c r="Q28" s="4"/>
      <c r="R28" s="12">
        <f t="shared" ref="R28:R29" si="4">IF(P$12=0,0,P28/P$12)</f>
        <v>0</v>
      </c>
      <c r="S28" s="4"/>
      <c r="T28" s="4">
        <f>-511523.83</f>
        <v>-511523.83</v>
      </c>
      <c r="U28" s="4"/>
      <c r="V28" s="12">
        <f t="shared" ref="V28:V29" si="5">IF(T$12=0,0,T28/T$12)</f>
        <v>0</v>
      </c>
      <c r="W28" s="4"/>
      <c r="X28" s="4">
        <f t="shared" ref="X28:X29" si="6">+P28-T28</f>
        <v>629827.08000000007</v>
      </c>
      <c r="Y28" s="4"/>
      <c r="Z28" s="12">
        <f t="shared" ref="Z28:Z29" si="7">IF(T28=0,0,X28/T28)</f>
        <v>-1.2312761264709799</v>
      </c>
    </row>
    <row r="29" spans="1:26" s="23" customFormat="1" x14ac:dyDescent="0.25">
      <c r="A29" s="51"/>
      <c r="B29" s="10" t="s">
        <v>1</v>
      </c>
      <c r="C29" s="10"/>
      <c r="D29" s="4">
        <f>--13441.85</f>
        <v>13441.85</v>
      </c>
      <c r="E29" s="4"/>
      <c r="F29" s="12">
        <f t="shared" si="0"/>
        <v>0</v>
      </c>
      <c r="G29" s="4"/>
      <c r="H29" s="4">
        <f>--16823.03</f>
        <v>16823.03</v>
      </c>
      <c r="I29" s="4"/>
      <c r="J29" s="12">
        <f t="shared" si="1"/>
        <v>0</v>
      </c>
      <c r="K29" s="4"/>
      <c r="L29" s="4">
        <f t="shared" si="2"/>
        <v>-3381.1799999999985</v>
      </c>
      <c r="M29" s="4"/>
      <c r="N29" s="12">
        <f t="shared" si="3"/>
        <v>-0.20098519707805304</v>
      </c>
      <c r="O29" s="10"/>
      <c r="P29" s="4">
        <f>--65213.01</f>
        <v>65213.01</v>
      </c>
      <c r="Q29" s="4"/>
      <c r="R29" s="12">
        <f t="shared" si="4"/>
        <v>0</v>
      </c>
      <c r="S29" s="4"/>
      <c r="T29" s="4">
        <f>--59805.07</f>
        <v>59805.07</v>
      </c>
      <c r="U29" s="4"/>
      <c r="V29" s="12">
        <f t="shared" si="5"/>
        <v>0</v>
      </c>
      <c r="W29" s="4"/>
      <c r="X29" s="4">
        <f t="shared" si="6"/>
        <v>5407.9400000000023</v>
      </c>
      <c r="Y29" s="4"/>
      <c r="Z29" s="12">
        <f t="shared" si="7"/>
        <v>9.0426112702484962E-2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6">
        <f>SUM(D26:D30)</f>
        <v>229275.01</v>
      </c>
      <c r="E31" s="14"/>
      <c r="F31" s="33">
        <f>IF(D$12=0,0,D31/D$12)</f>
        <v>0</v>
      </c>
      <c r="G31" s="14"/>
      <c r="H31" s="36">
        <f>SUM(H26:H30)</f>
        <v>-649365.93999999994</v>
      </c>
      <c r="I31" s="14"/>
      <c r="J31" s="33">
        <f>IF(H$12=0,0,H31/H$12)</f>
        <v>0</v>
      </c>
      <c r="K31" s="16"/>
      <c r="L31" s="36">
        <f>+D31-H31</f>
        <v>878640.95</v>
      </c>
      <c r="M31" s="16"/>
      <c r="N31" s="33">
        <f>IF(H31=0,0,L31/H31)</f>
        <v>-1.3530752013263894</v>
      </c>
      <c r="O31" s="29"/>
      <c r="P31" s="36">
        <f>SUM(P26:P30)</f>
        <v>183516.26</v>
      </c>
      <c r="Q31" s="14"/>
      <c r="R31" s="33">
        <f>IF(P$12=0,0,P31/P$12)</f>
        <v>0</v>
      </c>
      <c r="S31" s="14"/>
      <c r="T31" s="36">
        <f>SUM(T26:T30)</f>
        <v>-451718.76</v>
      </c>
      <c r="U31" s="14"/>
      <c r="V31" s="33">
        <f>IF(T$12=0,0,T31/T$12)</f>
        <v>0</v>
      </c>
      <c r="W31" s="16"/>
      <c r="X31" s="36">
        <f>+P31-T31</f>
        <v>635235.02</v>
      </c>
      <c r="Y31" s="16"/>
      <c r="Z31" s="33">
        <f>IF(T31=0,0,X31/T31)</f>
        <v>-1.4062622061567689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61">
        <v>43791.355018483795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6" t="s">
        <v>313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","455", " - ", "Vending")</f>
        <v>Department 455 - Vending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9355.08</v>
      </c>
      <c r="E18" s="20"/>
      <c r="F18" s="35">
        <f t="shared" ref="F18:F26" si="0">IF(D$12=0,0,D18/D$12)</f>
        <v>0</v>
      </c>
      <c r="G18" s="20"/>
      <c r="H18" s="20">
        <f>SUM(OSRRefH22x_0)</f>
        <v>8270.92</v>
      </c>
      <c r="I18" s="20"/>
      <c r="J18" s="35">
        <f t="shared" ref="J18:J26" si="1">IF(H$12=0,0,H18/H$12)</f>
        <v>0</v>
      </c>
      <c r="K18" s="4"/>
      <c r="L18" s="20">
        <f t="shared" ref="L18:L26" si="2">+D18-H18</f>
        <v>1084.1599999999999</v>
      </c>
      <c r="M18" s="4"/>
      <c r="N18" s="35">
        <f t="shared" ref="N18:N26" si="3">IF(H18=0,0,L18/H18)</f>
        <v>0.13108094383696128</v>
      </c>
      <c r="O18" s="10"/>
      <c r="P18" s="20">
        <f>SUM(OSRRefP22x_0)</f>
        <v>38446.480000000003</v>
      </c>
      <c r="Q18" s="20"/>
      <c r="R18" s="35">
        <f t="shared" ref="R18:R26" si="4">IF(P$12=0,0,P18/P$12)</f>
        <v>0</v>
      </c>
      <c r="S18" s="20"/>
      <c r="T18" s="20">
        <f>SUM(OSRRefT22x_0)</f>
        <v>29183.75</v>
      </c>
      <c r="U18" s="20"/>
      <c r="V18" s="35">
        <f t="shared" ref="V18:V26" si="5">IF(T$12=0,0,T18/T$12)</f>
        <v>0</v>
      </c>
      <c r="W18" s="4"/>
      <c r="X18" s="20">
        <f t="shared" ref="X18:X26" si="6">+P18-T18</f>
        <v>9262.7300000000032</v>
      </c>
      <c r="Y18" s="4"/>
      <c r="Z18" s="35">
        <f t="shared" ref="Z18:Z26" si="7">IF(T18=0,0,X18/T18)</f>
        <v>0.31739341242986263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3820.58</v>
      </c>
      <c r="E19" s="1"/>
      <c r="F19" s="5">
        <f t="shared" si="0"/>
        <v>0</v>
      </c>
      <c r="G19" s="1"/>
      <c r="H19" s="1">
        <f>SUM(OSRRefH22_0x_0)</f>
        <v>4257.43</v>
      </c>
      <c r="I19" s="1"/>
      <c r="J19" s="5">
        <f t="shared" si="1"/>
        <v>0</v>
      </c>
      <c r="K19" s="1"/>
      <c r="L19" s="1">
        <f t="shared" si="2"/>
        <v>-436.85000000000036</v>
      </c>
      <c r="M19" s="1"/>
      <c r="N19" s="5">
        <f t="shared" si="3"/>
        <v>-0.10260885087952129</v>
      </c>
      <c r="O19" s="13"/>
      <c r="P19" s="1">
        <f>SUM(OSRRefP22_0x_0)</f>
        <v>19624.170000000002</v>
      </c>
      <c r="Q19" s="1"/>
      <c r="R19" s="5">
        <f t="shared" si="4"/>
        <v>0</v>
      </c>
      <c r="S19" s="1"/>
      <c r="T19" s="1">
        <f>SUM(OSRRefT22_0x_0)</f>
        <v>12958.11</v>
      </c>
      <c r="U19" s="1"/>
      <c r="V19" s="5">
        <f t="shared" si="5"/>
        <v>0</v>
      </c>
      <c r="W19" s="1"/>
      <c r="X19" s="1">
        <f t="shared" si="6"/>
        <v>6666.0600000000013</v>
      </c>
      <c r="Y19" s="1"/>
      <c r="Z19" s="5">
        <f t="shared" si="7"/>
        <v>0.5144315027422981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577.38</v>
      </c>
      <c r="E20" s="2"/>
      <c r="F20" s="7">
        <f t="shared" si="0"/>
        <v>0</v>
      </c>
      <c r="G20" s="2"/>
      <c r="H20" s="6">
        <v>509.61</v>
      </c>
      <c r="I20" s="2"/>
      <c r="J20" s="7">
        <f t="shared" si="1"/>
        <v>0</v>
      </c>
      <c r="K20" s="2"/>
      <c r="L20" s="6">
        <f t="shared" si="2"/>
        <v>67.769999999999982</v>
      </c>
      <c r="M20" s="2"/>
      <c r="N20" s="7">
        <f t="shared" si="3"/>
        <v>0.13298404662388882</v>
      </c>
      <c r="O20" s="11"/>
      <c r="P20" s="6">
        <v>1662.14</v>
      </c>
      <c r="Q20" s="2"/>
      <c r="R20" s="7">
        <f t="shared" si="4"/>
        <v>0</v>
      </c>
      <c r="S20" s="2"/>
      <c r="T20" s="6">
        <v>1528.83</v>
      </c>
      <c r="U20" s="2"/>
      <c r="V20" s="7">
        <f t="shared" si="5"/>
        <v>0</v>
      </c>
      <c r="W20" s="2"/>
      <c r="X20" s="6">
        <f t="shared" si="6"/>
        <v>133.31000000000017</v>
      </c>
      <c r="Y20" s="2"/>
      <c r="Z20" s="7">
        <f t="shared" si="7"/>
        <v>8.7197399318433164E-2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-289.72000000000003</v>
      </c>
      <c r="E21" s="2"/>
      <c r="F21" s="7">
        <f t="shared" si="0"/>
        <v>0</v>
      </c>
      <c r="G21" s="2"/>
      <c r="H21" s="6">
        <v>613.95000000000005</v>
      </c>
      <c r="I21" s="2"/>
      <c r="J21" s="7">
        <f t="shared" si="1"/>
        <v>0</v>
      </c>
      <c r="K21" s="2"/>
      <c r="L21" s="6">
        <f t="shared" si="2"/>
        <v>-903.67000000000007</v>
      </c>
      <c r="M21" s="2"/>
      <c r="N21" s="7">
        <f t="shared" si="3"/>
        <v>-1.4718951054646143</v>
      </c>
      <c r="O21" s="11"/>
      <c r="P21" s="6">
        <v>82.33</v>
      </c>
      <c r="Q21" s="2"/>
      <c r="R21" s="7">
        <f t="shared" si="4"/>
        <v>0</v>
      </c>
      <c r="S21" s="2"/>
      <c r="T21" s="6">
        <v>1000.26</v>
      </c>
      <c r="U21" s="2"/>
      <c r="V21" s="7">
        <f t="shared" si="5"/>
        <v>0</v>
      </c>
      <c r="W21" s="2"/>
      <c r="X21" s="6">
        <f t="shared" si="6"/>
        <v>-917.93</v>
      </c>
      <c r="Y21" s="2"/>
      <c r="Z21" s="7">
        <f t="shared" si="7"/>
        <v>-0.91769140023593865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931.95</v>
      </c>
      <c r="E22" s="2"/>
      <c r="F22" s="7">
        <f t="shared" si="0"/>
        <v>0</v>
      </c>
      <c r="G22" s="2"/>
      <c r="H22" s="6">
        <v>944.6</v>
      </c>
      <c r="I22" s="2"/>
      <c r="J22" s="7">
        <f t="shared" si="1"/>
        <v>0</v>
      </c>
      <c r="K22" s="2"/>
      <c r="L22" s="6">
        <f t="shared" si="2"/>
        <v>-12.649999999999977</v>
      </c>
      <c r="M22" s="2"/>
      <c r="N22" s="7">
        <f t="shared" si="3"/>
        <v>-1.3391911920389559E-2</v>
      </c>
      <c r="O22" s="11"/>
      <c r="P22" s="6">
        <v>3727.8</v>
      </c>
      <c r="Q22" s="2"/>
      <c r="R22" s="7">
        <f t="shared" si="4"/>
        <v>0</v>
      </c>
      <c r="S22" s="2"/>
      <c r="T22" s="6">
        <v>3171.91</v>
      </c>
      <c r="U22" s="2"/>
      <c r="V22" s="7">
        <f t="shared" si="5"/>
        <v>0</v>
      </c>
      <c r="W22" s="2"/>
      <c r="X22" s="6">
        <f t="shared" si="6"/>
        <v>555.89000000000033</v>
      </c>
      <c r="Y22" s="2"/>
      <c r="Z22" s="7">
        <f t="shared" si="7"/>
        <v>0.17525402675359653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38.590000000000003</v>
      </c>
      <c r="E23" s="2"/>
      <c r="F23" s="7">
        <f t="shared" si="0"/>
        <v>0</v>
      </c>
      <c r="G23" s="2"/>
      <c r="H23" s="6">
        <v>34.06</v>
      </c>
      <c r="I23" s="2"/>
      <c r="J23" s="7">
        <f t="shared" si="1"/>
        <v>0</v>
      </c>
      <c r="K23" s="2"/>
      <c r="L23" s="6">
        <f t="shared" si="2"/>
        <v>4.5300000000000011</v>
      </c>
      <c r="M23" s="2"/>
      <c r="N23" s="7">
        <f t="shared" si="3"/>
        <v>0.13300058719906049</v>
      </c>
      <c r="O23" s="11"/>
      <c r="P23" s="6">
        <v>75.45</v>
      </c>
      <c r="Q23" s="2"/>
      <c r="R23" s="7">
        <f t="shared" si="4"/>
        <v>0</v>
      </c>
      <c r="S23" s="2"/>
      <c r="T23" s="6">
        <v>74.31</v>
      </c>
      <c r="U23" s="2"/>
      <c r="V23" s="7">
        <f t="shared" si="5"/>
        <v>0</v>
      </c>
      <c r="W23" s="2"/>
      <c r="X23" s="6">
        <f t="shared" si="6"/>
        <v>1.1400000000000006</v>
      </c>
      <c r="Y23" s="2"/>
      <c r="Z23" s="7">
        <f t="shared" si="7"/>
        <v>1.5341138473960443E-2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1517.09</v>
      </c>
      <c r="E24" s="2"/>
      <c r="F24" s="7">
        <f t="shared" si="0"/>
        <v>0</v>
      </c>
      <c r="G24" s="2"/>
      <c r="H24" s="6">
        <v>1232.6300000000001</v>
      </c>
      <c r="I24" s="2"/>
      <c r="J24" s="7">
        <f t="shared" si="1"/>
        <v>0</v>
      </c>
      <c r="K24" s="2"/>
      <c r="L24" s="6">
        <f t="shared" si="2"/>
        <v>284.45999999999981</v>
      </c>
      <c r="M24" s="2"/>
      <c r="N24" s="7">
        <f t="shared" si="3"/>
        <v>0.23077484727777176</v>
      </c>
      <c r="O24" s="11"/>
      <c r="P24" s="6">
        <v>2966.4</v>
      </c>
      <c r="Q24" s="2"/>
      <c r="R24" s="7">
        <f t="shared" si="4"/>
        <v>0</v>
      </c>
      <c r="S24" s="2"/>
      <c r="T24" s="6">
        <v>2688.99</v>
      </c>
      <c r="U24" s="2"/>
      <c r="V24" s="7">
        <f t="shared" si="5"/>
        <v>0</v>
      </c>
      <c r="W24" s="2"/>
      <c r="X24" s="6">
        <f t="shared" si="6"/>
        <v>277.41000000000031</v>
      </c>
      <c r="Y24" s="2"/>
      <c r="Z24" s="7">
        <f t="shared" si="7"/>
        <v>0.10316512891457399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697.17</v>
      </c>
      <c r="E25" s="2"/>
      <c r="F25" s="7">
        <f t="shared" si="0"/>
        <v>0</v>
      </c>
      <c r="G25" s="2"/>
      <c r="H25" s="6">
        <v>615.33000000000004</v>
      </c>
      <c r="I25" s="2"/>
      <c r="J25" s="7">
        <f t="shared" si="1"/>
        <v>0</v>
      </c>
      <c r="K25" s="2"/>
      <c r="L25" s="6">
        <f t="shared" si="2"/>
        <v>81.839999999999918</v>
      </c>
      <c r="M25" s="2"/>
      <c r="N25" s="7">
        <f t="shared" si="3"/>
        <v>0.13300180391009689</v>
      </c>
      <c r="O25" s="11"/>
      <c r="P25" s="6">
        <v>3454.26</v>
      </c>
      <c r="Q25" s="2"/>
      <c r="R25" s="7">
        <f t="shared" si="4"/>
        <v>0</v>
      </c>
      <c r="S25" s="2"/>
      <c r="T25" s="6">
        <v>2201.6999999999998</v>
      </c>
      <c r="U25" s="2"/>
      <c r="V25" s="7">
        <f t="shared" si="5"/>
        <v>0</v>
      </c>
      <c r="W25" s="2"/>
      <c r="X25" s="6">
        <f t="shared" si="6"/>
        <v>1252.5600000000004</v>
      </c>
      <c r="Y25" s="2"/>
      <c r="Z25" s="7">
        <f t="shared" si="7"/>
        <v>0.56890584548303602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348.12</v>
      </c>
      <c r="E26" s="2"/>
      <c r="F26" s="7">
        <f t="shared" si="0"/>
        <v>0</v>
      </c>
      <c r="G26" s="2"/>
      <c r="H26" s="6">
        <v>307.25</v>
      </c>
      <c r="I26" s="2"/>
      <c r="J26" s="7">
        <f t="shared" si="1"/>
        <v>0</v>
      </c>
      <c r="K26" s="2"/>
      <c r="L26" s="6">
        <f t="shared" si="2"/>
        <v>40.870000000000005</v>
      </c>
      <c r="M26" s="2"/>
      <c r="N26" s="7">
        <f t="shared" si="3"/>
        <v>0.13301871440195281</v>
      </c>
      <c r="O26" s="11"/>
      <c r="P26" s="6">
        <v>7655.79</v>
      </c>
      <c r="Q26" s="2"/>
      <c r="R26" s="7">
        <f t="shared" si="4"/>
        <v>0</v>
      </c>
      <c r="S26" s="2"/>
      <c r="T26" s="6">
        <v>2292.11</v>
      </c>
      <c r="U26" s="2"/>
      <c r="V26" s="7">
        <f t="shared" si="5"/>
        <v>0</v>
      </c>
      <c r="W26" s="2"/>
      <c r="X26" s="6">
        <f t="shared" si="6"/>
        <v>5363.68</v>
      </c>
      <c r="Y26" s="2"/>
      <c r="Z26" s="7">
        <f t="shared" si="7"/>
        <v>2.3400622134190767</v>
      </c>
    </row>
    <row r="27" spans="1:26" s="27" customFormat="1" outlineLevel="1" collapsed="1" x14ac:dyDescent="0.25">
      <c r="A27" s="25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5534.5</v>
      </c>
      <c r="E27" s="1"/>
      <c r="F27" s="5">
        <f t="shared" ref="F27:F29" si="8">IF(D$12=0,0,D27/D$12)</f>
        <v>0</v>
      </c>
      <c r="G27" s="1"/>
      <c r="H27" s="1">
        <f>SUM(OSRRefH22_1x_0)</f>
        <v>3996.99</v>
      </c>
      <c r="I27" s="1"/>
      <c r="J27" s="5">
        <f t="shared" ref="J27:J29" si="9">IF(H$12=0,0,H27/H$12)</f>
        <v>0</v>
      </c>
      <c r="K27" s="1"/>
      <c r="L27" s="1">
        <f t="shared" ref="L27:L29" si="10">+D27-H27</f>
        <v>1537.5100000000002</v>
      </c>
      <c r="M27" s="1"/>
      <c r="N27" s="5">
        <f t="shared" ref="N27:N29" si="11">IF(H27=0,0,L27/H27)</f>
        <v>0.38466696188882143</v>
      </c>
      <c r="O27" s="13"/>
      <c r="P27" s="1">
        <f>SUM(OSRRefP22_1x_0)</f>
        <v>18822.310000000001</v>
      </c>
      <c r="Q27" s="1"/>
      <c r="R27" s="5">
        <f t="shared" ref="R27:R29" si="12">IF(P$12=0,0,P27/P$12)</f>
        <v>0</v>
      </c>
      <c r="S27" s="1"/>
      <c r="T27" s="1">
        <f>SUM(OSRRefT22_1x_0)</f>
        <v>16209.14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2613.1700000000019</v>
      </c>
      <c r="Y27" s="1"/>
      <c r="Z27" s="5">
        <f t="shared" ref="Z27:Z29" si="15">IF(T27=0,0,X27/T27)</f>
        <v>0.16121583254879668</v>
      </c>
    </row>
    <row r="28" spans="1:26" s="24" customFormat="1" hidden="1" outlineLevel="2" x14ac:dyDescent="0.25">
      <c r="A28" s="26"/>
      <c r="B28" s="11" t="str">
        <f>CONCATENATE("          ", "6001", " - ", "ADMINISTRATIVE SALARIES")</f>
        <v xml:space="preserve">          6001 - ADMINISTRATIVE SALARIES</v>
      </c>
      <c r="C28" s="11"/>
      <c r="D28" s="6">
        <v>5534.5</v>
      </c>
      <c r="E28" s="2"/>
      <c r="F28" s="7">
        <f t="shared" si="8"/>
        <v>0</v>
      </c>
      <c r="G28" s="2"/>
      <c r="H28" s="6">
        <v>3996.99</v>
      </c>
      <c r="I28" s="2"/>
      <c r="J28" s="7">
        <f t="shared" si="9"/>
        <v>0</v>
      </c>
      <c r="K28" s="2"/>
      <c r="L28" s="6">
        <f t="shared" si="10"/>
        <v>1537.5100000000002</v>
      </c>
      <c r="M28" s="2"/>
      <c r="N28" s="7">
        <f t="shared" si="11"/>
        <v>0.38466696188882143</v>
      </c>
      <c r="O28" s="11"/>
      <c r="P28" s="6">
        <v>18822.310000000001</v>
      </c>
      <c r="Q28" s="2"/>
      <c r="R28" s="7">
        <f t="shared" si="12"/>
        <v>0</v>
      </c>
      <c r="S28" s="2"/>
      <c r="T28" s="6">
        <v>16209.14</v>
      </c>
      <c r="U28" s="2"/>
      <c r="V28" s="7">
        <f t="shared" si="13"/>
        <v>0</v>
      </c>
      <c r="W28" s="2"/>
      <c r="X28" s="6">
        <f t="shared" si="14"/>
        <v>2613.1700000000019</v>
      </c>
      <c r="Y28" s="2"/>
      <c r="Z28" s="7">
        <f t="shared" si="15"/>
        <v>0.16121583254879668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0</v>
      </c>
      <c r="Q29" s="2"/>
      <c r="R29" s="7">
        <f t="shared" si="12"/>
        <v>0</v>
      </c>
      <c r="S29" s="2"/>
      <c r="T29" s="6"/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27" customFormat="1" outlineLevel="1" collapsed="1" x14ac:dyDescent="0.25">
      <c r="A30" s="25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ref="F30:F31" si="16">IF(D$12=0,0,D30/D$12)</f>
        <v>0</v>
      </c>
      <c r="G30" s="1"/>
      <c r="H30" s="1">
        <f>SUM(OSRRefH22_2x_0)</f>
        <v>16.5</v>
      </c>
      <c r="I30" s="1"/>
      <c r="J30" s="5">
        <f t="shared" ref="J30:J31" si="17">IF(H$12=0,0,H30/H$12)</f>
        <v>0</v>
      </c>
      <c r="K30" s="1"/>
      <c r="L30" s="1">
        <f t="shared" ref="L30:L31" si="18">+D30-H30</f>
        <v>-16.5</v>
      </c>
      <c r="M30" s="1"/>
      <c r="N30" s="5">
        <f t="shared" ref="N30:N31" si="19">IF(H30=0,0,L30/H30)</f>
        <v>-1</v>
      </c>
      <c r="O30" s="13"/>
      <c r="P30" s="1">
        <f>SUM(OSRRefP22_2x_0)</f>
        <v>0</v>
      </c>
      <c r="Q30" s="1"/>
      <c r="R30" s="5">
        <f t="shared" ref="R30:R31" si="20">IF(P$12=0,0,P30/P$12)</f>
        <v>0</v>
      </c>
      <c r="S30" s="1"/>
      <c r="T30" s="1">
        <f>SUM(OSRRefT22_2x_0)</f>
        <v>16.5</v>
      </c>
      <c r="U30" s="1"/>
      <c r="V30" s="5">
        <f t="shared" ref="V30:V31" si="21">IF(T$12=0,0,T30/T$12)</f>
        <v>0</v>
      </c>
      <c r="W30" s="1"/>
      <c r="X30" s="1">
        <f t="shared" ref="X30:X31" si="22">+P30-T30</f>
        <v>-16.5</v>
      </c>
      <c r="Y30" s="1"/>
      <c r="Z30" s="5">
        <f t="shared" ref="Z30:Z31" si="23">IF(T30=0,0,X30/T30)</f>
        <v>-1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16"/>
        <v>0</v>
      </c>
      <c r="G31" s="2"/>
      <c r="H31" s="6">
        <v>16.5</v>
      </c>
      <c r="I31" s="2"/>
      <c r="J31" s="7">
        <f t="shared" si="17"/>
        <v>0</v>
      </c>
      <c r="K31" s="2"/>
      <c r="L31" s="6">
        <f t="shared" si="18"/>
        <v>-16.5</v>
      </c>
      <c r="M31" s="2"/>
      <c r="N31" s="7">
        <f t="shared" si="19"/>
        <v>-1</v>
      </c>
      <c r="O31" s="11"/>
      <c r="P31" s="6"/>
      <c r="Q31" s="2"/>
      <c r="R31" s="7">
        <f t="shared" si="20"/>
        <v>0</v>
      </c>
      <c r="S31" s="2"/>
      <c r="T31" s="6">
        <v>16.5</v>
      </c>
      <c r="U31" s="2"/>
      <c r="V31" s="7">
        <f t="shared" si="21"/>
        <v>0</v>
      </c>
      <c r="W31" s="2"/>
      <c r="X31" s="6">
        <f t="shared" si="22"/>
        <v>-16.5</v>
      </c>
      <c r="Y31" s="2"/>
      <c r="Z31" s="7">
        <f t="shared" si="23"/>
        <v>-1</v>
      </c>
    </row>
    <row r="32" spans="1:26" s="55" customFormat="1" x14ac:dyDescent="0.25">
      <c r="A32" s="37"/>
      <c r="B32" s="37"/>
      <c r="C32" s="37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collapsed="1" x14ac:dyDescent="0.25">
      <c r="A33" s="10"/>
      <c r="B33" s="29" t="s">
        <v>0</v>
      </c>
      <c r="C33" s="10"/>
      <c r="D33" s="4">
        <f>SUM(OSRRefD25x_0)</f>
        <v>73093.899999999994</v>
      </c>
      <c r="E33" s="4"/>
      <c r="F33" s="12">
        <f t="shared" ref="F33:F35" si="24">IF(D$12=0,0,D33/D$12)</f>
        <v>0</v>
      </c>
      <c r="G33" s="4"/>
      <c r="H33" s="4">
        <f>SUM(OSRRefH25x_0)</f>
        <v>17918.93</v>
      </c>
      <c r="I33" s="4"/>
      <c r="J33" s="12">
        <f t="shared" ref="J33:J35" si="25">IF(H$12=0,0,H33/H$12)</f>
        <v>0</v>
      </c>
      <c r="K33" s="4"/>
      <c r="L33" s="4">
        <f t="shared" ref="L33:L35" si="26">+D33-H33</f>
        <v>55174.969999999994</v>
      </c>
      <c r="M33" s="4"/>
      <c r="N33" s="12">
        <f t="shared" ref="N33:N35" si="27">IF(H33=0,0,L33/H33)</f>
        <v>3.0791442346166873</v>
      </c>
      <c r="O33" s="10"/>
      <c r="P33" s="4">
        <f>SUM(OSRRefP25x_0)</f>
        <v>308217.02</v>
      </c>
      <c r="Q33" s="4"/>
      <c r="R33" s="12">
        <f t="shared" ref="R33:R35" si="28">IF(P$12=0,0,P33/P$12)</f>
        <v>0</v>
      </c>
      <c r="S33" s="4"/>
      <c r="T33" s="4">
        <f>SUM(OSRRefT25x_0)</f>
        <v>256117.13</v>
      </c>
      <c r="U33" s="4"/>
      <c r="V33" s="12">
        <f t="shared" ref="V33:V35" si="29">IF(T$12=0,0,T33/T$12)</f>
        <v>0</v>
      </c>
      <c r="W33" s="4"/>
      <c r="X33" s="4">
        <f t="shared" ref="X33:X35" si="30">+P33-T33</f>
        <v>52099.890000000014</v>
      </c>
      <c r="Y33" s="4"/>
      <c r="Z33" s="12">
        <f t="shared" ref="Z33:Z35" si="31">IF(T33=0,0,X33/T33)</f>
        <v>0.2034221217456248</v>
      </c>
    </row>
    <row r="34" spans="1:26" s="24" customFormat="1" hidden="1" outlineLevel="1" x14ac:dyDescent="0.25">
      <c r="A34" s="44"/>
      <c r="B34" s="11" t="str">
        <f>CONCATENATE("          ", "9160", " - ", "MISC. INCOME")</f>
        <v xml:space="preserve">          9160 - MISC. INCOME</v>
      </c>
      <c r="C34" s="11"/>
      <c r="D34" s="2">
        <f>--65384.61</f>
        <v>65384.61</v>
      </c>
      <c r="E34" s="2"/>
      <c r="F34" s="19">
        <f t="shared" si="24"/>
        <v>0</v>
      </c>
      <c r="G34" s="2"/>
      <c r="H34" s="2">
        <f>--9962.34</f>
        <v>9962.34</v>
      </c>
      <c r="I34" s="2"/>
      <c r="J34" s="19">
        <f t="shared" si="25"/>
        <v>0</v>
      </c>
      <c r="K34" s="2"/>
      <c r="L34" s="2">
        <f t="shared" si="26"/>
        <v>55422.270000000004</v>
      </c>
      <c r="M34" s="2"/>
      <c r="N34" s="19">
        <f t="shared" si="27"/>
        <v>5.5631779280771392</v>
      </c>
      <c r="O34" s="11"/>
      <c r="P34" s="2">
        <f>--95346.95</f>
        <v>95346.95</v>
      </c>
      <c r="Q34" s="2"/>
      <c r="R34" s="19">
        <f t="shared" si="28"/>
        <v>0</v>
      </c>
      <c r="S34" s="2"/>
      <c r="T34" s="2">
        <f>--44905.85</f>
        <v>44905.85</v>
      </c>
      <c r="U34" s="2"/>
      <c r="V34" s="19">
        <f t="shared" si="29"/>
        <v>0</v>
      </c>
      <c r="W34" s="2"/>
      <c r="X34" s="2">
        <f t="shared" si="30"/>
        <v>50441.1</v>
      </c>
      <c r="Y34" s="2"/>
      <c r="Z34" s="19">
        <f t="shared" si="31"/>
        <v>1.1232634500850112</v>
      </c>
    </row>
    <row r="35" spans="1:26" s="24" customFormat="1" hidden="1" outlineLevel="1" x14ac:dyDescent="0.25">
      <c r="A35" s="44"/>
      <c r="B35" s="11" t="str">
        <f>CONCATENATE("          ", "9165", " - ", "OTHER INCOME")</f>
        <v xml:space="preserve">          9165 - OTHER INCOME</v>
      </c>
      <c r="C35" s="11"/>
      <c r="D35" s="2">
        <f>--7709.29</f>
        <v>7709.29</v>
      </c>
      <c r="E35" s="2"/>
      <c r="F35" s="19">
        <f t="shared" si="24"/>
        <v>0</v>
      </c>
      <c r="G35" s="2"/>
      <c r="H35" s="2">
        <f>--7956.59</f>
        <v>7956.59</v>
      </c>
      <c r="I35" s="2"/>
      <c r="J35" s="19">
        <f t="shared" si="25"/>
        <v>0</v>
      </c>
      <c r="K35" s="2"/>
      <c r="L35" s="2">
        <f t="shared" si="26"/>
        <v>-247.30000000000018</v>
      </c>
      <c r="M35" s="2"/>
      <c r="N35" s="19">
        <f t="shared" si="27"/>
        <v>-3.1081154112502993E-2</v>
      </c>
      <c r="O35" s="11"/>
      <c r="P35" s="2">
        <f>--212870.07</f>
        <v>212870.07</v>
      </c>
      <c r="Q35" s="2"/>
      <c r="R35" s="19">
        <f t="shared" si="28"/>
        <v>0</v>
      </c>
      <c r="S35" s="2"/>
      <c r="T35" s="2">
        <f>--211211.28</f>
        <v>211211.28</v>
      </c>
      <c r="U35" s="2"/>
      <c r="V35" s="19">
        <f t="shared" si="29"/>
        <v>0</v>
      </c>
      <c r="W35" s="2"/>
      <c r="X35" s="2">
        <f t="shared" si="30"/>
        <v>1658.7900000000081</v>
      </c>
      <c r="Y35" s="2"/>
      <c r="Z35" s="19">
        <f t="shared" si="31"/>
        <v>7.853699859212103E-3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8" t="s">
        <v>3</v>
      </c>
      <c r="C37" s="28"/>
      <c r="D37" s="21">
        <f>+D16-D18+D33</f>
        <v>63738.819999999992</v>
      </c>
      <c r="E37" s="14"/>
      <c r="F37" s="22">
        <f>IF(D$12=0,0,D37/D$12)</f>
        <v>0</v>
      </c>
      <c r="G37" s="14"/>
      <c r="H37" s="21">
        <f>+H16-H18+H33</f>
        <v>9648.01</v>
      </c>
      <c r="I37" s="14"/>
      <c r="J37" s="22">
        <f>IF(H$12=0,0,H37/H$12)</f>
        <v>0</v>
      </c>
      <c r="K37" s="16"/>
      <c r="L37" s="21">
        <f>+D37-H37</f>
        <v>54090.80999999999</v>
      </c>
      <c r="M37" s="16"/>
      <c r="N37" s="22">
        <f>IF(H37=0,0,L37/H37)</f>
        <v>5.6064214278384856</v>
      </c>
      <c r="O37" s="29"/>
      <c r="P37" s="21">
        <f>+P16-P18+P33</f>
        <v>269770.54000000004</v>
      </c>
      <c r="Q37" s="14"/>
      <c r="R37" s="22">
        <f>IF(P$12=0,0,P37/P$12)</f>
        <v>0</v>
      </c>
      <c r="S37" s="14"/>
      <c r="T37" s="21">
        <f>+T16-T18+T33</f>
        <v>226933.38</v>
      </c>
      <c r="U37" s="14"/>
      <c r="V37" s="22">
        <f>IF(T$12=0,0,T37/T$12)</f>
        <v>0</v>
      </c>
      <c r="W37" s="16"/>
      <c r="X37" s="21">
        <f>+P37-T37</f>
        <v>42837.160000000033</v>
      </c>
      <c r="Y37" s="16"/>
      <c r="Z37" s="22">
        <f>IF(T37=0,0,X37/T37)</f>
        <v>0.18876535483673682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51"/>
      <c r="B39" s="10" t="s">
        <v>13</v>
      </c>
      <c r="C39" s="10"/>
      <c r="D39" s="4"/>
      <c r="E39" s="4"/>
      <c r="F39" s="12">
        <f>IF(D$12=0,0,D39/D$12)</f>
        <v>0</v>
      </c>
      <c r="G39" s="4"/>
      <c r="H39" s="4"/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/>
      <c r="Q39" s="4"/>
      <c r="R39" s="12">
        <f>IF(P$12=0,0,P39/P$12)</f>
        <v>0</v>
      </c>
      <c r="S39" s="4"/>
      <c r="T39" s="4"/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8" t="s">
        <v>4</v>
      </c>
      <c r="C41" s="28"/>
      <c r="D41" s="31">
        <f>+D37-D39</f>
        <v>63738.819999999992</v>
      </c>
      <c r="E41" s="14"/>
      <c r="F41" s="34">
        <f>IF(D$12=0,0,D41/D$12)</f>
        <v>0</v>
      </c>
      <c r="G41" s="14"/>
      <c r="H41" s="31">
        <f>+H37-H39</f>
        <v>9648.01</v>
      </c>
      <c r="I41" s="14"/>
      <c r="J41" s="34">
        <f>IF(H$12=0,0,H41/H$12)</f>
        <v>0</v>
      </c>
      <c r="K41" s="16"/>
      <c r="L41" s="31">
        <f>D41-H41</f>
        <v>54090.80999999999</v>
      </c>
      <c r="M41" s="16"/>
      <c r="N41" s="34">
        <f>IF(H41=0,0,L41/H41)</f>
        <v>5.6064214278384856</v>
      </c>
      <c r="O41" s="29"/>
      <c r="P41" s="31">
        <f>+P37-P39</f>
        <v>269770.54000000004</v>
      </c>
      <c r="Q41" s="14"/>
      <c r="R41" s="34">
        <f>IF(P$12=0,0,P41/P$12)</f>
        <v>0</v>
      </c>
      <c r="S41" s="14"/>
      <c r="T41" s="31">
        <f>+T37-T39</f>
        <v>226933.38</v>
      </c>
      <c r="U41" s="14"/>
      <c r="V41" s="34">
        <f>IF(T$12=0,0,T41/T$12)</f>
        <v>0</v>
      </c>
      <c r="W41" s="16"/>
      <c r="X41" s="31">
        <f>P41-T41</f>
        <v>42837.160000000033</v>
      </c>
      <c r="Y41" s="16"/>
      <c r="Z41" s="34">
        <f>IF(T41=0,0,X41/T41)</f>
        <v>0.18876535483673682</v>
      </c>
    </row>
    <row r="42" spans="1:26" ht="15.75" thickTop="1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8" t="s">
        <v>5</v>
      </c>
      <c r="C44" s="28"/>
      <c r="D44" s="36">
        <f>SUM(D41:D43)</f>
        <v>63738.819999999992</v>
      </c>
      <c r="E44" s="14"/>
      <c r="F44" s="33">
        <f>IF(D$12=0,0,D44/D$12)</f>
        <v>0</v>
      </c>
      <c r="G44" s="14"/>
      <c r="H44" s="36">
        <f>SUM(H41:H43)</f>
        <v>9648.01</v>
      </c>
      <c r="I44" s="14"/>
      <c r="J44" s="33">
        <f>IF(H$12=0,0,H44/H$12)</f>
        <v>0</v>
      </c>
      <c r="K44" s="16"/>
      <c r="L44" s="36">
        <f>+D44-H44</f>
        <v>54090.80999999999</v>
      </c>
      <c r="M44" s="16"/>
      <c r="N44" s="33">
        <f>IF(H44=0,0,L44/H44)</f>
        <v>5.6064214278384856</v>
      </c>
      <c r="O44" s="29"/>
      <c r="P44" s="36">
        <f>SUM(P41:P43)</f>
        <v>269770.54000000004</v>
      </c>
      <c r="Q44" s="14"/>
      <c r="R44" s="33">
        <f>IF(P$12=0,0,P44/P$12)</f>
        <v>0</v>
      </c>
      <c r="S44" s="14"/>
      <c r="T44" s="36">
        <f>SUM(T41:T43)</f>
        <v>226933.38</v>
      </c>
      <c r="U44" s="14"/>
      <c r="V44" s="33">
        <f>IF(T$12=0,0,T44/T$12)</f>
        <v>0</v>
      </c>
      <c r="W44" s="16"/>
      <c r="X44" s="36">
        <f>+P44-T44</f>
        <v>42837.160000000033</v>
      </c>
      <c r="Y44" s="16"/>
      <c r="Z44" s="33">
        <f>IF(T44=0,0,X44/T44)</f>
        <v>0.18876535483673682</v>
      </c>
    </row>
    <row r="45" spans="1:26" ht="15.75" thickTop="1" x14ac:dyDescent="0.25">
      <c r="A45" s="9"/>
      <c r="C45" s="9"/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  <row r="46" spans="1:26" x14ac:dyDescent="0.25">
      <c r="A46" s="9"/>
      <c r="B46" s="61">
        <v>43791.355848923609</v>
      </c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  <row r="47" spans="1:26" x14ac:dyDescent="0.25">
      <c r="A47" s="9"/>
      <c r="B47" s="56" t="s">
        <v>313</v>
      </c>
      <c r="D47" s="18"/>
      <c r="E47" s="18"/>
      <c r="G47" s="18"/>
      <c r="H47" s="18"/>
      <c r="I47" s="18"/>
      <c r="J47" s="42"/>
      <c r="K47" s="18"/>
      <c r="L47" s="18"/>
      <c r="M47" s="18"/>
      <c r="P47" s="18"/>
      <c r="Q47" s="18"/>
      <c r="R47" s="42"/>
      <c r="S47" s="18"/>
      <c r="T47" s="18"/>
      <c r="U47" s="18"/>
      <c r="V47" s="42"/>
      <c r="W47" s="18"/>
      <c r="X47" s="18"/>
    </row>
    <row r="48" spans="1:26" x14ac:dyDescent="0.25">
      <c r="A48" s="9"/>
      <c r="B48" s="57"/>
      <c r="D48" s="18"/>
      <c r="E48" s="18"/>
      <c r="G48" s="18"/>
      <c r="H48" s="18"/>
      <c r="I48" s="18"/>
      <c r="J48" s="42"/>
      <c r="K48" s="18"/>
      <c r="L48" s="18"/>
      <c r="M48" s="18"/>
      <c r="P48" s="18"/>
      <c r="Q48" s="18"/>
      <c r="R48" s="42"/>
      <c r="S48" s="18"/>
      <c r="T48" s="18"/>
      <c r="U48" s="18"/>
      <c r="V48" s="42"/>
      <c r="W48" s="18"/>
      <c r="X48" s="18"/>
    </row>
    <row r="49" spans="4:24" x14ac:dyDescent="0.25">
      <c r="D49" s="18"/>
      <c r="E49" s="18"/>
      <c r="G49" s="18"/>
      <c r="H49" s="18"/>
      <c r="I49" s="18"/>
      <c r="J49" s="42"/>
      <c r="K49" s="18"/>
      <c r="L49" s="18"/>
      <c r="M49" s="18"/>
      <c r="P49" s="18"/>
      <c r="Q49" s="18"/>
      <c r="R49" s="42"/>
      <c r="S49" s="18"/>
      <c r="T49" s="18"/>
      <c r="U49" s="18"/>
      <c r="V49" s="42"/>
      <c r="W49" s="18"/>
      <c r="X49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300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1670646.97</v>
      </c>
      <c r="E12" s="4"/>
      <c r="F12" s="12"/>
      <c r="G12" s="4"/>
      <c r="H12" s="4">
        <f>SUM(OSRRefH13x_0)</f>
        <v>1651229.85</v>
      </c>
      <c r="I12" s="4"/>
      <c r="J12" s="12"/>
      <c r="K12" s="4"/>
      <c r="L12" s="4">
        <f t="shared" ref="L12:L18" si="0">+D12-H12</f>
        <v>19417.119999999879</v>
      </c>
      <c r="M12" s="4"/>
      <c r="N12" s="12">
        <f t="shared" ref="N12:N18" si="1">IF(H12=0,0,L12/H12)</f>
        <v>1.1759186645033021E-2</v>
      </c>
      <c r="O12" s="10"/>
      <c r="P12" s="4">
        <f>SUM(OSRRefP13x_0)</f>
        <v>4145965.0300000003</v>
      </c>
      <c r="Q12" s="4"/>
      <c r="R12" s="12"/>
      <c r="S12" s="4"/>
      <c r="T12" s="4">
        <f>SUM(OSRRefT13x_0)</f>
        <v>4119405.5100000002</v>
      </c>
      <c r="U12" s="4"/>
      <c r="V12" s="12"/>
      <c r="W12" s="4"/>
      <c r="X12" s="4">
        <f t="shared" ref="X12:X18" si="2">+P12-T12</f>
        <v>26559.520000000019</v>
      </c>
      <c r="Y12" s="4"/>
      <c r="Z12" s="12">
        <f t="shared" ref="Z12:Z18" si="3">IF(T12=0,0,X12/T12)</f>
        <v>6.4474157582995557E-3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--6043.78</f>
        <v>6043.78</v>
      </c>
      <c r="E13" s="2"/>
      <c r="F13" s="19"/>
      <c r="G13" s="2"/>
      <c r="H13" s="2">
        <f>--2297.26</f>
        <v>2297.2600000000002</v>
      </c>
      <c r="I13" s="2"/>
      <c r="J13" s="19"/>
      <c r="K13" s="2"/>
      <c r="L13" s="2">
        <f t="shared" si="0"/>
        <v>3746.5199999999995</v>
      </c>
      <c r="M13" s="2"/>
      <c r="N13" s="19">
        <f t="shared" si="1"/>
        <v>1.6308645952134277</v>
      </c>
      <c r="O13" s="11"/>
      <c r="P13" s="2">
        <f>--9377.79</f>
        <v>9377.7900000000009</v>
      </c>
      <c r="Q13" s="2"/>
      <c r="R13" s="19"/>
      <c r="S13" s="2"/>
      <c r="T13" s="2">
        <f>--7056.09</f>
        <v>7056.09</v>
      </c>
      <c r="U13" s="2"/>
      <c r="V13" s="19"/>
      <c r="W13" s="2"/>
      <c r="X13" s="2">
        <f t="shared" si="2"/>
        <v>2321.7000000000007</v>
      </c>
      <c r="Y13" s="2"/>
      <c r="Z13" s="19">
        <f t="shared" si="3"/>
        <v>0.32903491877229468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--371.82</f>
        <v>371.82</v>
      </c>
      <c r="E14" s="2"/>
      <c r="F14" s="19"/>
      <c r="G14" s="2"/>
      <c r="H14" s="2">
        <f>--264.3</f>
        <v>264.3</v>
      </c>
      <c r="I14" s="2"/>
      <c r="J14" s="19"/>
      <c r="K14" s="2"/>
      <c r="L14" s="2">
        <f t="shared" si="0"/>
        <v>107.51999999999998</v>
      </c>
      <c r="M14" s="2"/>
      <c r="N14" s="19">
        <f t="shared" si="1"/>
        <v>0.40681044267877403</v>
      </c>
      <c r="O14" s="11"/>
      <c r="P14" s="2">
        <f>--651.14</f>
        <v>651.14</v>
      </c>
      <c r="Q14" s="2"/>
      <c r="R14" s="19"/>
      <c r="S14" s="2"/>
      <c r="T14" s="2">
        <f>--435.98</f>
        <v>435.98</v>
      </c>
      <c r="U14" s="2"/>
      <c r="V14" s="19"/>
      <c r="W14" s="2"/>
      <c r="X14" s="2">
        <f t="shared" si="2"/>
        <v>215.15999999999997</v>
      </c>
      <c r="Y14" s="2"/>
      <c r="Z14" s="19">
        <f t="shared" si="3"/>
        <v>0.4935088765539703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--1632556.89</f>
        <v>1632556.89</v>
      </c>
      <c r="E15" s="2"/>
      <c r="F15" s="19"/>
      <c r="G15" s="2"/>
      <c r="H15" s="2">
        <f>--1612822.67</f>
        <v>1612822.67</v>
      </c>
      <c r="I15" s="2"/>
      <c r="J15" s="19"/>
      <c r="K15" s="2"/>
      <c r="L15" s="2">
        <f t="shared" si="0"/>
        <v>19734.219999999972</v>
      </c>
      <c r="M15" s="2"/>
      <c r="N15" s="19">
        <f t="shared" si="1"/>
        <v>1.2235827513510815E-2</v>
      </c>
      <c r="O15" s="11"/>
      <c r="P15" s="2">
        <f>--3944004.93</f>
        <v>3944004.93</v>
      </c>
      <c r="Q15" s="2"/>
      <c r="R15" s="19"/>
      <c r="S15" s="2"/>
      <c r="T15" s="2">
        <f>--3944544.62</f>
        <v>3944544.62</v>
      </c>
      <c r="U15" s="2"/>
      <c r="V15" s="19"/>
      <c r="W15" s="2"/>
      <c r="X15" s="2">
        <f t="shared" si="2"/>
        <v>-539.68999999994412</v>
      </c>
      <c r="Y15" s="2"/>
      <c r="Z15" s="19">
        <f t="shared" si="3"/>
        <v>-1.3681934215259152E-4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--30502.48</f>
        <v>30502.48</v>
      </c>
      <c r="E16" s="2"/>
      <c r="F16" s="19"/>
      <c r="G16" s="2"/>
      <c r="H16" s="2">
        <f>--34340.06</f>
        <v>34340.06</v>
      </c>
      <c r="I16" s="2"/>
      <c r="J16" s="19"/>
      <c r="K16" s="2"/>
      <c r="L16" s="2">
        <f t="shared" si="0"/>
        <v>-3837.5799999999981</v>
      </c>
      <c r="M16" s="2"/>
      <c r="N16" s="19">
        <f t="shared" si="1"/>
        <v>-0.11175227999019216</v>
      </c>
      <c r="O16" s="11"/>
      <c r="P16" s="2">
        <f>--189788.06</f>
        <v>189788.06</v>
      </c>
      <c r="Q16" s="2"/>
      <c r="R16" s="19"/>
      <c r="S16" s="2"/>
      <c r="T16" s="2">
        <f>--163377.97</f>
        <v>163377.97</v>
      </c>
      <c r="U16" s="2"/>
      <c r="V16" s="19"/>
      <c r="W16" s="2"/>
      <c r="X16" s="2">
        <f t="shared" si="2"/>
        <v>26410.089999999997</v>
      </c>
      <c r="Y16" s="2"/>
      <c r="Z16" s="19">
        <f t="shared" si="3"/>
        <v>0.16165025186688264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--1172</f>
        <v>1172</v>
      </c>
      <c r="E17" s="2"/>
      <c r="F17" s="19"/>
      <c r="G17" s="2"/>
      <c r="H17" s="2">
        <f>--1505.56</f>
        <v>1505.56</v>
      </c>
      <c r="I17" s="2"/>
      <c r="J17" s="19"/>
      <c r="K17" s="2"/>
      <c r="L17" s="2">
        <f t="shared" si="0"/>
        <v>-333.55999999999995</v>
      </c>
      <c r="M17" s="2"/>
      <c r="N17" s="19">
        <f t="shared" si="1"/>
        <v>-0.22155211349929591</v>
      </c>
      <c r="O17" s="11"/>
      <c r="P17" s="2">
        <f>--2143.11</f>
        <v>2143.11</v>
      </c>
      <c r="Q17" s="2"/>
      <c r="R17" s="19"/>
      <c r="S17" s="2"/>
      <c r="T17" s="2">
        <f>--2935.95</f>
        <v>2935.95</v>
      </c>
      <c r="U17" s="2"/>
      <c r="V17" s="19"/>
      <c r="W17" s="2"/>
      <c r="X17" s="2">
        <f t="shared" si="2"/>
        <v>-792.83999999999969</v>
      </c>
      <c r="Y17" s="2"/>
      <c r="Z17" s="19">
        <f t="shared" si="3"/>
        <v>-0.2700454708016144</v>
      </c>
    </row>
    <row r="18" spans="1:26" s="24" customFormat="1" hidden="1" outlineLevel="1" x14ac:dyDescent="0.25">
      <c r="A18" s="44"/>
      <c r="B18" s="11" t="str">
        <f>CONCATENATE("          ", "4159", " - ", "NON-TAXABLE SALES-FOOD")</f>
        <v xml:space="preserve">          4159 - NON-TAXABLE SALES-FOOD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--1054.9</f>
        <v>1054.9000000000001</v>
      </c>
      <c r="U18" s="2"/>
      <c r="V18" s="19"/>
      <c r="W18" s="2"/>
      <c r="X18" s="2">
        <f t="shared" si="2"/>
        <v>-1054.9000000000001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400999.63</v>
      </c>
      <c r="E20" s="4"/>
      <c r="F20" s="12">
        <f t="shared" ref="F20:F22" si="4">IF(D$12=0,0,D20/D$12)</f>
        <v>0.24002655091159086</v>
      </c>
      <c r="G20" s="4"/>
      <c r="H20" s="4">
        <f>SUM(OSRRefH16x_0)</f>
        <v>393357.95</v>
      </c>
      <c r="I20" s="4"/>
      <c r="J20" s="12">
        <f t="shared" ref="J20:J22" si="5">IF(H$12=0,0,H20/H$12)</f>
        <v>0.2382211961587298</v>
      </c>
      <c r="K20" s="4"/>
      <c r="L20" s="4">
        <f t="shared" ref="L20:L22" si="6">+D20-H20</f>
        <v>7641.679999999993</v>
      </c>
      <c r="M20" s="4"/>
      <c r="N20" s="12">
        <f t="shared" ref="N20:N22" si="7">IF(H20=0,0,L20/H20)</f>
        <v>1.9426784179651112E-2</v>
      </c>
      <c r="O20" s="10"/>
      <c r="P20" s="4">
        <f>SUM(OSRRefP16x_0)</f>
        <v>1010070.9600000001</v>
      </c>
      <c r="Q20" s="4"/>
      <c r="R20" s="12">
        <f t="shared" ref="R20:R22" si="8">IF(P$12=0,0,P20/P$12)</f>
        <v>0.24362746735468727</v>
      </c>
      <c r="S20" s="4"/>
      <c r="T20" s="4">
        <f>SUM(OSRRefT16x_0)</f>
        <v>1008744.2999999999</v>
      </c>
      <c r="U20" s="4"/>
      <c r="V20" s="12">
        <f t="shared" ref="V20:V22" si="9">IF(T$12=0,0,T20/T$12)</f>
        <v>0.24487618360252178</v>
      </c>
      <c r="W20" s="4"/>
      <c r="X20" s="4">
        <f t="shared" ref="X20:X22" si="10">+P20-T20</f>
        <v>1326.660000000149</v>
      </c>
      <c r="Y20" s="4"/>
      <c r="Z20" s="12">
        <f t="shared" ref="Z20:Z22" si="11">IF(T20=0,0,X20/T20)</f>
        <v>1.3151598477435253E-3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406354.34</v>
      </c>
      <c r="E21" s="2"/>
      <c r="F21" s="19">
        <f t="shared" si="4"/>
        <v>0.24323172237878601</v>
      </c>
      <c r="G21" s="2"/>
      <c r="H21" s="2">
        <v>398280.68</v>
      </c>
      <c r="I21" s="2"/>
      <c r="J21" s="19">
        <f t="shared" si="5"/>
        <v>0.24120244677020583</v>
      </c>
      <c r="K21" s="2"/>
      <c r="L21" s="2">
        <f t="shared" si="6"/>
        <v>8073.6600000000326</v>
      </c>
      <c r="M21" s="2"/>
      <c r="N21" s="19">
        <f t="shared" si="7"/>
        <v>2.0271282051642657E-2</v>
      </c>
      <c r="O21" s="11"/>
      <c r="P21" s="2">
        <v>1036359.4700000001</v>
      </c>
      <c r="Q21" s="2"/>
      <c r="R21" s="19">
        <f t="shared" si="8"/>
        <v>0.24996821307004607</v>
      </c>
      <c r="S21" s="2"/>
      <c r="T21" s="2">
        <v>1041587.85</v>
      </c>
      <c r="U21" s="2"/>
      <c r="V21" s="19">
        <f t="shared" si="9"/>
        <v>0.2528490694765323</v>
      </c>
      <c r="W21" s="2"/>
      <c r="X21" s="2">
        <f t="shared" si="10"/>
        <v>-5228.3799999998882</v>
      </c>
      <c r="Y21" s="2"/>
      <c r="Z21" s="19">
        <f t="shared" si="11"/>
        <v>-5.019624604875996E-3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-5354.71</v>
      </c>
      <c r="E22" s="2"/>
      <c r="F22" s="19">
        <f t="shared" si="4"/>
        <v>-3.2051714671951313E-3</v>
      </c>
      <c r="G22" s="2"/>
      <c r="H22" s="2">
        <v>-4922.7299999999996</v>
      </c>
      <c r="I22" s="2"/>
      <c r="J22" s="19">
        <f t="shared" si="5"/>
        <v>-2.9812506114760455E-3</v>
      </c>
      <c r="K22" s="2"/>
      <c r="L22" s="2">
        <f t="shared" si="6"/>
        <v>-431.98000000000047</v>
      </c>
      <c r="M22" s="2"/>
      <c r="N22" s="19">
        <f t="shared" si="7"/>
        <v>8.7752121282296716E-2</v>
      </c>
      <c r="O22" s="11"/>
      <c r="P22" s="2">
        <v>-26288.510000000002</v>
      </c>
      <c r="Q22" s="2"/>
      <c r="R22" s="19">
        <f t="shared" si="8"/>
        <v>-6.34074571535882E-3</v>
      </c>
      <c r="S22" s="2"/>
      <c r="T22" s="2">
        <v>-32843.550000000003</v>
      </c>
      <c r="U22" s="2"/>
      <c r="V22" s="19">
        <f t="shared" si="9"/>
        <v>-7.9728858740104949E-3</v>
      </c>
      <c r="W22" s="2"/>
      <c r="X22" s="2">
        <f t="shared" si="10"/>
        <v>6555.0400000000009</v>
      </c>
      <c r="Y22" s="2"/>
      <c r="Z22" s="19">
        <f t="shared" si="11"/>
        <v>-0.19958378433512822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6</v>
      </c>
      <c r="C24" s="28"/>
      <c r="D24" s="21">
        <f>D12-D20</f>
        <v>1269647.3399999999</v>
      </c>
      <c r="E24" s="14"/>
      <c r="F24" s="22">
        <f>IF(D$12=0,0,D24/D$12)</f>
        <v>0.75997344908840903</v>
      </c>
      <c r="G24" s="14"/>
      <c r="H24" s="21">
        <f>H12-H20</f>
        <v>1257871.9000000001</v>
      </c>
      <c r="I24" s="14"/>
      <c r="J24" s="22">
        <f>IF(H$12=0,0,H24/H$12)</f>
        <v>0.76177880384127028</v>
      </c>
      <c r="K24" s="16"/>
      <c r="L24" s="21">
        <f>+D24-H24</f>
        <v>11775.439999999711</v>
      </c>
      <c r="M24" s="16"/>
      <c r="N24" s="22">
        <f>IF(H24=0,0,L24/H24)</f>
        <v>9.3613984063080739E-3</v>
      </c>
      <c r="O24" s="29"/>
      <c r="P24" s="21">
        <f>P12-P20</f>
        <v>3135894.0700000003</v>
      </c>
      <c r="Q24" s="14"/>
      <c r="R24" s="22">
        <f>IF(P$12=0,0,P24/P$12)</f>
        <v>0.75637253264531279</v>
      </c>
      <c r="S24" s="14"/>
      <c r="T24" s="21">
        <f>T12-T20</f>
        <v>3110661.2100000004</v>
      </c>
      <c r="U24" s="14"/>
      <c r="V24" s="22">
        <f>IF(T$12=0,0,T24/T$12)</f>
        <v>0.75512381639747828</v>
      </c>
      <c r="W24" s="16"/>
      <c r="X24" s="21">
        <f>+P24-T24</f>
        <v>25232.85999999987</v>
      </c>
      <c r="Y24" s="16"/>
      <c r="Z24" s="22">
        <f>IF(T24=0,0,X24/T24)</f>
        <v>8.1117351895740094E-3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9</v>
      </c>
      <c r="C26" s="10"/>
      <c r="D26" s="20">
        <f>SUM(OSRRefD22x_0)</f>
        <v>670705.33000000019</v>
      </c>
      <c r="E26" s="20"/>
      <c r="F26" s="35">
        <f t="shared" ref="F26:F36" si="12">IF(D$12=0,0,D26/D$12)</f>
        <v>0.40146442787969755</v>
      </c>
      <c r="G26" s="20"/>
      <c r="H26" s="20">
        <f>SUM(OSRRefH22x_0)</f>
        <v>657193.54999999993</v>
      </c>
      <c r="I26" s="20"/>
      <c r="J26" s="35">
        <f t="shared" ref="J26:J36" si="13">IF(H$12=0,0,H26/H$12)</f>
        <v>0.3980024646477896</v>
      </c>
      <c r="K26" s="4"/>
      <c r="L26" s="20">
        <f t="shared" ref="L26:L36" si="14">+D26-H26</f>
        <v>13511.780000000261</v>
      </c>
      <c r="M26" s="4"/>
      <c r="N26" s="35">
        <f t="shared" ref="N26:N36" si="15">IF(H26=0,0,L26/H26)</f>
        <v>2.0559818336622845E-2</v>
      </c>
      <c r="O26" s="10"/>
      <c r="P26" s="20">
        <f>SUM(OSRRefP22x_0)</f>
        <v>2015382.8599999994</v>
      </c>
      <c r="Q26" s="20"/>
      <c r="R26" s="35">
        <f t="shared" ref="R26:R36" si="16">IF(P$12=0,0,P26/P$12)</f>
        <v>0.4861070572030366</v>
      </c>
      <c r="S26" s="20"/>
      <c r="T26" s="20">
        <f>SUM(OSRRefT22x_0)</f>
        <v>1850685.8899999997</v>
      </c>
      <c r="U26" s="20"/>
      <c r="V26" s="35">
        <f t="shared" ref="V26:V36" si="17">IF(T$12=0,0,T26/T$12)</f>
        <v>0.44926042981381542</v>
      </c>
      <c r="W26" s="4"/>
      <c r="X26" s="20">
        <f t="shared" ref="X26:X36" si="18">+P26-T26</f>
        <v>164696.96999999974</v>
      </c>
      <c r="Y26" s="4"/>
      <c r="Z26" s="35">
        <f t="shared" ref="Z26:Z36" si="19">IF(T26=0,0,X26/T26)</f>
        <v>8.8992395138431504E-2</v>
      </c>
    </row>
    <row r="27" spans="1:26" s="27" customFormat="1" outlineLevel="1" collapsed="1" x14ac:dyDescent="0.25">
      <c r="A27" s="25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97986.090000000026</v>
      </c>
      <c r="E27" s="1"/>
      <c r="F27" s="5">
        <f t="shared" si="12"/>
        <v>5.8651583344385458E-2</v>
      </c>
      <c r="G27" s="1"/>
      <c r="H27" s="1">
        <f>SUM(OSRRefH22_0x_0)</f>
        <v>121757.28</v>
      </c>
      <c r="I27" s="1"/>
      <c r="J27" s="5">
        <f t="shared" si="13"/>
        <v>7.3737329784826736E-2</v>
      </c>
      <c r="K27" s="1"/>
      <c r="L27" s="1">
        <f t="shared" si="14"/>
        <v>-23771.189999999973</v>
      </c>
      <c r="M27" s="1"/>
      <c r="N27" s="5">
        <f t="shared" si="15"/>
        <v>-0.19523423979247873</v>
      </c>
      <c r="O27" s="13"/>
      <c r="P27" s="1">
        <f>SUM(OSRRefP22_0x_0)</f>
        <v>375221.4</v>
      </c>
      <c r="Q27" s="1"/>
      <c r="R27" s="5">
        <f t="shared" si="16"/>
        <v>9.0502789407270995E-2</v>
      </c>
      <c r="S27" s="1"/>
      <c r="T27" s="1">
        <f>SUM(OSRRefT22_0x_0)</f>
        <v>366190.73999999993</v>
      </c>
      <c r="U27" s="1"/>
      <c r="V27" s="5">
        <f t="shared" si="17"/>
        <v>8.8894074426773273E-2</v>
      </c>
      <c r="W27" s="1"/>
      <c r="X27" s="1">
        <f t="shared" si="18"/>
        <v>9030.6600000000908</v>
      </c>
      <c r="Y27" s="1"/>
      <c r="Z27" s="5">
        <f t="shared" si="19"/>
        <v>2.4661082363797875E-2</v>
      </c>
    </row>
    <row r="28" spans="1:26" s="24" customFormat="1" hidden="1" outlineLevel="2" x14ac:dyDescent="0.25">
      <c r="A28" s="26"/>
      <c r="B28" s="11" t="str">
        <f>CONCATENATE("          ", "6111", " - ", "F.I.C.A.")</f>
        <v xml:space="preserve">          6111 - F.I.C.A.</v>
      </c>
      <c r="C28" s="11"/>
      <c r="D28" s="6">
        <v>22320.400000000001</v>
      </c>
      <c r="E28" s="2"/>
      <c r="F28" s="7">
        <f t="shared" si="12"/>
        <v>1.336033309299331E-2</v>
      </c>
      <c r="G28" s="2"/>
      <c r="H28" s="6">
        <v>20613.34</v>
      </c>
      <c r="I28" s="2"/>
      <c r="J28" s="7">
        <f t="shared" si="13"/>
        <v>1.2483628490606561E-2</v>
      </c>
      <c r="K28" s="2"/>
      <c r="L28" s="6">
        <f t="shared" si="14"/>
        <v>1707.0600000000013</v>
      </c>
      <c r="M28" s="2"/>
      <c r="N28" s="7">
        <f t="shared" si="15"/>
        <v>8.2813362608873731E-2</v>
      </c>
      <c r="O28" s="11"/>
      <c r="P28" s="6">
        <v>61464.33</v>
      </c>
      <c r="Q28" s="2"/>
      <c r="R28" s="7">
        <f t="shared" si="16"/>
        <v>1.4825096100726156E-2</v>
      </c>
      <c r="S28" s="2"/>
      <c r="T28" s="6">
        <v>55966.34</v>
      </c>
      <c r="U28" s="2"/>
      <c r="V28" s="7">
        <f t="shared" si="17"/>
        <v>1.3586023484247851E-2</v>
      </c>
      <c r="W28" s="2"/>
      <c r="X28" s="6">
        <f t="shared" si="18"/>
        <v>5497.9900000000052</v>
      </c>
      <c r="Y28" s="2"/>
      <c r="Z28" s="7">
        <f t="shared" si="19"/>
        <v>9.8237440575889109E-2</v>
      </c>
    </row>
    <row r="29" spans="1:26" s="24" customFormat="1" hidden="1" outlineLevel="2" x14ac:dyDescent="0.25">
      <c r="A29" s="26"/>
      <c r="B29" s="11" t="str">
        <f>CONCATENATE("          ", "6112", " - ", "COMPENSATION INSURANCE")</f>
        <v xml:space="preserve">          6112 - COMPENSATION INSURANCE</v>
      </c>
      <c r="C29" s="11"/>
      <c r="D29" s="6">
        <v>-1828.23</v>
      </c>
      <c r="E29" s="2"/>
      <c r="F29" s="7">
        <f t="shared" si="12"/>
        <v>-1.0943245537984605E-3</v>
      </c>
      <c r="G29" s="2"/>
      <c r="H29" s="6">
        <v>19515.96</v>
      </c>
      <c r="I29" s="2"/>
      <c r="J29" s="7">
        <f t="shared" si="13"/>
        <v>1.1819045059050985E-2</v>
      </c>
      <c r="K29" s="2"/>
      <c r="L29" s="6">
        <f t="shared" si="14"/>
        <v>-21344.19</v>
      </c>
      <c r="M29" s="2"/>
      <c r="N29" s="7">
        <f t="shared" si="15"/>
        <v>-1.0936787121924825</v>
      </c>
      <c r="O29" s="11"/>
      <c r="P29" s="6">
        <v>23387.24</v>
      </c>
      <c r="Q29" s="2"/>
      <c r="R29" s="7">
        <f t="shared" si="16"/>
        <v>5.6409641255464231E-3</v>
      </c>
      <c r="S29" s="2"/>
      <c r="T29" s="6">
        <v>33405.82</v>
      </c>
      <c r="U29" s="2"/>
      <c r="V29" s="7">
        <f t="shared" si="17"/>
        <v>8.109378870059334E-3</v>
      </c>
      <c r="W29" s="2"/>
      <c r="X29" s="6">
        <f t="shared" si="18"/>
        <v>-10018.579999999998</v>
      </c>
      <c r="Y29" s="2"/>
      <c r="Z29" s="7">
        <f t="shared" si="19"/>
        <v>-0.29990522609533304</v>
      </c>
    </row>
    <row r="30" spans="1:26" s="24" customFormat="1" hidden="1" outlineLevel="2" x14ac:dyDescent="0.25">
      <c r="A30" s="26"/>
      <c r="B30" s="11" t="str">
        <f>CONCATENATE("          ", "6113", " - ", "GROUP INSURANCE")</f>
        <v xml:space="preserve">          6113 - GROUP INSURANCE</v>
      </c>
      <c r="C30" s="11"/>
      <c r="D30" s="6">
        <v>45068.950000000004</v>
      </c>
      <c r="E30" s="2"/>
      <c r="F30" s="7">
        <f t="shared" si="12"/>
        <v>2.6976944147571767E-2</v>
      </c>
      <c r="G30" s="2"/>
      <c r="H30" s="6">
        <v>51297.08</v>
      </c>
      <c r="I30" s="2"/>
      <c r="J30" s="7">
        <f t="shared" si="13"/>
        <v>3.1065983939183268E-2</v>
      </c>
      <c r="K30" s="2"/>
      <c r="L30" s="6">
        <f t="shared" si="14"/>
        <v>-6228.1299999999974</v>
      </c>
      <c r="M30" s="2"/>
      <c r="N30" s="7">
        <f t="shared" si="15"/>
        <v>-0.12141295371978282</v>
      </c>
      <c r="O30" s="11"/>
      <c r="P30" s="6">
        <v>180781.84</v>
      </c>
      <c r="Q30" s="2"/>
      <c r="R30" s="7">
        <f t="shared" si="16"/>
        <v>4.3604284814722616E-2</v>
      </c>
      <c r="S30" s="2"/>
      <c r="T30" s="6">
        <v>170865.21</v>
      </c>
      <c r="U30" s="2"/>
      <c r="V30" s="7">
        <f t="shared" si="17"/>
        <v>4.1478123380963287E-2</v>
      </c>
      <c r="W30" s="2"/>
      <c r="X30" s="6">
        <f t="shared" si="18"/>
        <v>9916.6300000000047</v>
      </c>
      <c r="Y30" s="2"/>
      <c r="Z30" s="7">
        <f t="shared" si="19"/>
        <v>5.8037736295176792E-2</v>
      </c>
    </row>
    <row r="31" spans="1:26" s="24" customFormat="1" hidden="1" outlineLevel="2" x14ac:dyDescent="0.25">
      <c r="A31" s="26"/>
      <c r="B31" s="11" t="str">
        <f>CONCATENATE("          ", "6114", " - ", "STATE UNEMPLOYMENT INSURANCE")</f>
        <v xml:space="preserve">          6114 - STATE UNEMPLOYMENT INSURANCE</v>
      </c>
      <c r="C31" s="11"/>
      <c r="D31" s="6">
        <v>852.72</v>
      </c>
      <c r="E31" s="2"/>
      <c r="F31" s="7">
        <f t="shared" si="12"/>
        <v>5.1041304076348344E-4</v>
      </c>
      <c r="G31" s="2"/>
      <c r="H31" s="6">
        <v>801.54</v>
      </c>
      <c r="I31" s="2"/>
      <c r="J31" s="7">
        <f t="shared" si="13"/>
        <v>4.8542000376264994E-4</v>
      </c>
      <c r="K31" s="2"/>
      <c r="L31" s="6">
        <f t="shared" si="14"/>
        <v>51.180000000000064</v>
      </c>
      <c r="M31" s="2"/>
      <c r="N31" s="7">
        <f t="shared" si="15"/>
        <v>6.3852084736881587E-2</v>
      </c>
      <c r="O31" s="11"/>
      <c r="P31" s="6">
        <v>2548.9499999999998</v>
      </c>
      <c r="Q31" s="2"/>
      <c r="R31" s="7">
        <f t="shared" si="16"/>
        <v>6.1480258071544796E-4</v>
      </c>
      <c r="S31" s="2"/>
      <c r="T31" s="6">
        <v>2493.8000000000002</v>
      </c>
      <c r="U31" s="2"/>
      <c r="V31" s="7">
        <f t="shared" si="17"/>
        <v>6.0537861444963695E-4</v>
      </c>
      <c r="W31" s="2"/>
      <c r="X31" s="6">
        <f t="shared" si="18"/>
        <v>55.149999999999636</v>
      </c>
      <c r="Y31" s="2"/>
      <c r="Z31" s="7">
        <f t="shared" si="19"/>
        <v>2.2114844815141404E-2</v>
      </c>
    </row>
    <row r="32" spans="1:26" s="24" customFormat="1" hidden="1" outlineLevel="2" x14ac:dyDescent="0.25">
      <c r="A32" s="26"/>
      <c r="B32" s="11" t="str">
        <f>CONCATENATE("          ", "6115", " - ", "P.E.R.S.")</f>
        <v xml:space="preserve">          6115 - P.E.R.S.</v>
      </c>
      <c r="C32" s="11"/>
      <c r="D32" s="6">
        <v>5810.19</v>
      </c>
      <c r="E32" s="2"/>
      <c r="F32" s="7">
        <f t="shared" si="12"/>
        <v>3.4778083606735897E-3</v>
      </c>
      <c r="G32" s="2"/>
      <c r="H32" s="6">
        <v>5821.2</v>
      </c>
      <c r="I32" s="2"/>
      <c r="J32" s="7">
        <f t="shared" si="13"/>
        <v>3.5253723156712553E-3</v>
      </c>
      <c r="K32" s="2"/>
      <c r="L32" s="6">
        <f t="shared" si="14"/>
        <v>-11.010000000000218</v>
      </c>
      <c r="M32" s="2"/>
      <c r="N32" s="7">
        <f t="shared" si="15"/>
        <v>-1.8913626056483576E-3</v>
      </c>
      <c r="O32" s="11"/>
      <c r="P32" s="6">
        <v>17950.59</v>
      </c>
      <c r="Q32" s="2"/>
      <c r="R32" s="7">
        <f t="shared" si="16"/>
        <v>4.3296530168755428E-3</v>
      </c>
      <c r="S32" s="2"/>
      <c r="T32" s="6">
        <v>17720.929999999997</v>
      </c>
      <c r="U32" s="2"/>
      <c r="V32" s="7">
        <f t="shared" si="17"/>
        <v>4.3018173270346471E-3</v>
      </c>
      <c r="W32" s="2"/>
      <c r="X32" s="6">
        <f t="shared" si="18"/>
        <v>229.66000000000349</v>
      </c>
      <c r="Y32" s="2"/>
      <c r="Z32" s="7">
        <f t="shared" si="19"/>
        <v>1.2959816443042411E-2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6">
        <v>1660.24</v>
      </c>
      <c r="E33" s="2"/>
      <c r="F33" s="7">
        <f t="shared" si="12"/>
        <v>9.9377069471475485E-4</v>
      </c>
      <c r="G33" s="2"/>
      <c r="H33" s="6">
        <v>1489.4</v>
      </c>
      <c r="I33" s="2"/>
      <c r="J33" s="7">
        <f t="shared" si="13"/>
        <v>9.0199435287582766E-4</v>
      </c>
      <c r="K33" s="2"/>
      <c r="L33" s="6">
        <f t="shared" si="14"/>
        <v>170.83999999999992</v>
      </c>
      <c r="M33" s="2"/>
      <c r="N33" s="7">
        <f t="shared" si="15"/>
        <v>0.11470390761380415</v>
      </c>
      <c r="O33" s="11"/>
      <c r="P33" s="6">
        <v>6493.02</v>
      </c>
      <c r="Q33" s="2"/>
      <c r="R33" s="7">
        <f t="shared" si="16"/>
        <v>1.5661058289244663E-3</v>
      </c>
      <c r="S33" s="2"/>
      <c r="T33" s="6">
        <v>6345.95</v>
      </c>
      <c r="U33" s="2"/>
      <c r="V33" s="7">
        <f t="shared" si="17"/>
        <v>1.5405014108455662E-3</v>
      </c>
      <c r="W33" s="2"/>
      <c r="X33" s="6">
        <f t="shared" si="18"/>
        <v>147.07000000000062</v>
      </c>
      <c r="Y33" s="2"/>
      <c r="Z33" s="7">
        <f t="shared" si="19"/>
        <v>2.3175411088962351E-2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11742.66</v>
      </c>
      <c r="E34" s="2"/>
      <c r="F34" s="7">
        <f t="shared" si="12"/>
        <v>7.0288099226612786E-3</v>
      </c>
      <c r="G34" s="2"/>
      <c r="H34" s="6">
        <v>10818.6</v>
      </c>
      <c r="I34" s="2"/>
      <c r="J34" s="7">
        <f t="shared" si="13"/>
        <v>6.5518437666324892E-3</v>
      </c>
      <c r="K34" s="2"/>
      <c r="L34" s="6">
        <f t="shared" si="14"/>
        <v>924.05999999999949</v>
      </c>
      <c r="M34" s="2"/>
      <c r="N34" s="7">
        <f t="shared" si="15"/>
        <v>8.5414009206366756E-2</v>
      </c>
      <c r="O34" s="11"/>
      <c r="P34" s="6">
        <v>37704.839999999997</v>
      </c>
      <c r="Q34" s="2"/>
      <c r="R34" s="7">
        <f t="shared" si="16"/>
        <v>9.0943458826038374E-3</v>
      </c>
      <c r="S34" s="2"/>
      <c r="T34" s="6">
        <v>35707.61</v>
      </c>
      <c r="U34" s="2"/>
      <c r="V34" s="7">
        <f t="shared" si="17"/>
        <v>8.668146389890127E-3</v>
      </c>
      <c r="W34" s="2"/>
      <c r="X34" s="6">
        <f t="shared" si="18"/>
        <v>1997.2299999999959</v>
      </c>
      <c r="Y34" s="2"/>
      <c r="Z34" s="7">
        <f t="shared" si="19"/>
        <v>5.5932894976728938E-2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7887.78</v>
      </c>
      <c r="E35" s="2"/>
      <c r="F35" s="7">
        <f t="shared" si="12"/>
        <v>4.7213924555227849E-3</v>
      </c>
      <c r="G35" s="2"/>
      <c r="H35" s="6">
        <v>7274.58</v>
      </c>
      <c r="I35" s="2"/>
      <c r="J35" s="7">
        <f t="shared" si="13"/>
        <v>4.4055526249116676E-3</v>
      </c>
      <c r="K35" s="2"/>
      <c r="L35" s="6">
        <f t="shared" si="14"/>
        <v>613.19999999999982</v>
      </c>
      <c r="M35" s="2"/>
      <c r="N35" s="7">
        <f t="shared" si="15"/>
        <v>8.4293526224194365E-2</v>
      </c>
      <c r="O35" s="11"/>
      <c r="P35" s="6">
        <v>30711.11</v>
      </c>
      <c r="Q35" s="2"/>
      <c r="R35" s="7">
        <f t="shared" si="16"/>
        <v>7.407469618719866E-3</v>
      </c>
      <c r="S35" s="2"/>
      <c r="T35" s="6">
        <v>29491.41</v>
      </c>
      <c r="U35" s="2"/>
      <c r="V35" s="7">
        <f t="shared" si="17"/>
        <v>7.1591422423474878E-3</v>
      </c>
      <c r="W35" s="2"/>
      <c r="X35" s="6">
        <f t="shared" si="18"/>
        <v>1219.7000000000007</v>
      </c>
      <c r="Y35" s="2"/>
      <c r="Z35" s="7">
        <f t="shared" si="19"/>
        <v>4.1357805544055055E-2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4471.38</v>
      </c>
      <c r="E36" s="2"/>
      <c r="F36" s="7">
        <f t="shared" si="12"/>
        <v>2.6764361832829352E-3</v>
      </c>
      <c r="G36" s="2"/>
      <c r="H36" s="6">
        <v>4125.58</v>
      </c>
      <c r="I36" s="2"/>
      <c r="J36" s="7">
        <f t="shared" si="13"/>
        <v>2.4984892321320376E-3</v>
      </c>
      <c r="K36" s="2"/>
      <c r="L36" s="6">
        <f t="shared" si="14"/>
        <v>345.80000000000018</v>
      </c>
      <c r="M36" s="2"/>
      <c r="N36" s="7">
        <f t="shared" si="15"/>
        <v>8.3818517638732049E-2</v>
      </c>
      <c r="O36" s="11"/>
      <c r="P36" s="6">
        <v>14179.48</v>
      </c>
      <c r="Q36" s="2"/>
      <c r="R36" s="7">
        <f t="shared" si="16"/>
        <v>3.4200674384366426E-3</v>
      </c>
      <c r="S36" s="2"/>
      <c r="T36" s="6">
        <v>14193.67</v>
      </c>
      <c r="U36" s="2"/>
      <c r="V36" s="7">
        <f t="shared" si="17"/>
        <v>3.4455627069353506E-3</v>
      </c>
      <c r="W36" s="2"/>
      <c r="X36" s="6">
        <f t="shared" si="18"/>
        <v>-14.190000000000509</v>
      </c>
      <c r="Y36" s="2"/>
      <c r="Z36" s="7">
        <f t="shared" si="19"/>
        <v>-9.9974143403365793E-4</v>
      </c>
    </row>
    <row r="37" spans="1:26" s="27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361091.98000000004</v>
      </c>
      <c r="E37" s="1"/>
      <c r="F37" s="5">
        <f t="shared" ref="F37:F44" si="20">IF(D$12=0,0,D37/D$12)</f>
        <v>0.21613900870990119</v>
      </c>
      <c r="G37" s="1"/>
      <c r="H37" s="1">
        <f>SUM(OSRRefH22_1x_0)</f>
        <v>332498.92000000004</v>
      </c>
      <c r="I37" s="1"/>
      <c r="J37" s="5">
        <f t="shared" ref="J37:J44" si="21">IF(H$12=0,0,H37/H$12)</f>
        <v>0.20136440726286534</v>
      </c>
      <c r="K37" s="1"/>
      <c r="L37" s="1">
        <f t="shared" ref="L37:L44" si="22">+D37-H37</f>
        <v>28593.059999999998</v>
      </c>
      <c r="M37" s="1"/>
      <c r="N37" s="5">
        <f t="shared" ref="N37:N44" si="23">IF(H37=0,0,L37/H37)</f>
        <v>8.5994444733835509E-2</v>
      </c>
      <c r="O37" s="13"/>
      <c r="P37" s="1">
        <f>SUM(OSRRefP22_1x_0)</f>
        <v>1049822.1400000001</v>
      </c>
      <c r="Q37" s="1"/>
      <c r="R37" s="5">
        <f t="shared" ref="R37:R44" si="24">IF(P$12=0,0,P37/P$12)</f>
        <v>0.25321538710614744</v>
      </c>
      <c r="S37" s="1"/>
      <c r="T37" s="1">
        <f>SUM(OSRRefT22_1x_0)</f>
        <v>942136.14</v>
      </c>
      <c r="U37" s="1"/>
      <c r="V37" s="5">
        <f t="shared" ref="V37:V44" si="25">IF(T$12=0,0,T37/T$12)</f>
        <v>0.22870682133937331</v>
      </c>
      <c r="W37" s="1"/>
      <c r="X37" s="1">
        <f t="shared" ref="X37:X44" si="26">+P37-T37</f>
        <v>107686.00000000012</v>
      </c>
      <c r="Y37" s="1"/>
      <c r="Z37" s="5">
        <f t="shared" ref="Z37:Z44" si="27">IF(T37=0,0,X37/T37)</f>
        <v>0.11429982932190683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6">
        <v>8959.81</v>
      </c>
      <c r="E38" s="2"/>
      <c r="F38" s="7">
        <f t="shared" si="20"/>
        <v>5.3630779936709189E-3</v>
      </c>
      <c r="G38" s="2"/>
      <c r="H38" s="6">
        <v>9489.31</v>
      </c>
      <c r="I38" s="2"/>
      <c r="J38" s="7">
        <f t="shared" si="21"/>
        <v>5.7468135038862087E-3</v>
      </c>
      <c r="K38" s="2"/>
      <c r="L38" s="6">
        <f t="shared" si="22"/>
        <v>-529.5</v>
      </c>
      <c r="M38" s="2"/>
      <c r="N38" s="7">
        <f t="shared" si="23"/>
        <v>-5.5799631374673191E-2</v>
      </c>
      <c r="O38" s="11"/>
      <c r="P38" s="6">
        <v>30136.659999999996</v>
      </c>
      <c r="Q38" s="2"/>
      <c r="R38" s="7">
        <f t="shared" si="24"/>
        <v>7.2689132160866279E-3</v>
      </c>
      <c r="S38" s="2"/>
      <c r="T38" s="6">
        <v>33608.15</v>
      </c>
      <c r="U38" s="2"/>
      <c r="V38" s="7">
        <f t="shared" si="25"/>
        <v>8.1584951805339506E-3</v>
      </c>
      <c r="W38" s="2"/>
      <c r="X38" s="6">
        <f t="shared" si="26"/>
        <v>-3471.4900000000052</v>
      </c>
      <c r="Y38" s="2"/>
      <c r="Z38" s="7">
        <f t="shared" si="27"/>
        <v>-0.10329310003674719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6">
        <v>43549.16</v>
      </c>
      <c r="E39" s="2"/>
      <c r="F39" s="7">
        <f t="shared" si="20"/>
        <v>2.606724268024142E-2</v>
      </c>
      <c r="G39" s="2"/>
      <c r="H39" s="6">
        <v>44017.83</v>
      </c>
      <c r="I39" s="2"/>
      <c r="J39" s="7">
        <f t="shared" si="21"/>
        <v>2.6657603119275005E-2</v>
      </c>
      <c r="K39" s="2"/>
      <c r="L39" s="6">
        <f t="shared" si="22"/>
        <v>-468.66999999999825</v>
      </c>
      <c r="M39" s="2"/>
      <c r="N39" s="7">
        <f t="shared" si="23"/>
        <v>-1.0647276342336691E-2</v>
      </c>
      <c r="O39" s="11"/>
      <c r="P39" s="6">
        <v>164138.48000000001</v>
      </c>
      <c r="Q39" s="2"/>
      <c r="R39" s="7">
        <f t="shared" si="24"/>
        <v>3.9589933540756371E-2</v>
      </c>
      <c r="S39" s="2"/>
      <c r="T39" s="6">
        <v>154329.17000000001</v>
      </c>
      <c r="U39" s="2"/>
      <c r="V39" s="7">
        <f t="shared" si="25"/>
        <v>3.7463942218206141E-2</v>
      </c>
      <c r="W39" s="2"/>
      <c r="X39" s="6">
        <f t="shared" si="26"/>
        <v>9809.3099999999977</v>
      </c>
      <c r="Y39" s="2"/>
      <c r="Z39" s="7">
        <f t="shared" si="27"/>
        <v>6.3560958696272374E-2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6">
        <v>95873.61</v>
      </c>
      <c r="E40" s="2"/>
      <c r="F40" s="7">
        <f t="shared" si="20"/>
        <v>5.7387115124627436E-2</v>
      </c>
      <c r="G40" s="2"/>
      <c r="H40" s="6">
        <v>86744.8</v>
      </c>
      <c r="I40" s="2"/>
      <c r="J40" s="7">
        <f t="shared" si="21"/>
        <v>5.2533449537627966E-2</v>
      </c>
      <c r="K40" s="2"/>
      <c r="L40" s="6">
        <f t="shared" si="22"/>
        <v>9128.8099999999977</v>
      </c>
      <c r="M40" s="2"/>
      <c r="N40" s="7">
        <f t="shared" si="23"/>
        <v>0.10523754738036167</v>
      </c>
      <c r="O40" s="11"/>
      <c r="P40" s="6">
        <v>242795.09</v>
      </c>
      <c r="Q40" s="2"/>
      <c r="R40" s="7">
        <f t="shared" si="24"/>
        <v>5.8561779523740941E-2</v>
      </c>
      <c r="S40" s="2"/>
      <c r="T40" s="6">
        <v>247097.58</v>
      </c>
      <c r="U40" s="2"/>
      <c r="V40" s="7">
        <f t="shared" si="25"/>
        <v>5.9983796059931954E-2</v>
      </c>
      <c r="W40" s="2"/>
      <c r="X40" s="6">
        <f t="shared" si="26"/>
        <v>-4302.4899999999907</v>
      </c>
      <c r="Y40" s="2"/>
      <c r="Z40" s="7">
        <f t="shared" si="27"/>
        <v>-1.7412109013775007E-2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6">
        <v>77454.960000000006</v>
      </c>
      <c r="E41" s="2"/>
      <c r="F41" s="7">
        <f t="shared" si="20"/>
        <v>4.6362254498327676E-2</v>
      </c>
      <c r="G41" s="2"/>
      <c r="H41" s="6">
        <v>63822.850000000006</v>
      </c>
      <c r="I41" s="2"/>
      <c r="J41" s="7">
        <f t="shared" si="21"/>
        <v>3.8651705575695597E-2</v>
      </c>
      <c r="K41" s="2"/>
      <c r="L41" s="6">
        <f t="shared" si="22"/>
        <v>13632.11</v>
      </c>
      <c r="M41" s="2"/>
      <c r="N41" s="7">
        <f t="shared" si="23"/>
        <v>0.21359293732573834</v>
      </c>
      <c r="O41" s="11"/>
      <c r="P41" s="6">
        <v>196022.29</v>
      </c>
      <c r="Q41" s="2"/>
      <c r="R41" s="7">
        <f t="shared" si="24"/>
        <v>4.7280256485906731E-2</v>
      </c>
      <c r="S41" s="2"/>
      <c r="T41" s="6">
        <v>154253.66</v>
      </c>
      <c r="U41" s="2"/>
      <c r="V41" s="7">
        <f t="shared" si="25"/>
        <v>3.7445611903354471E-2</v>
      </c>
      <c r="W41" s="2"/>
      <c r="X41" s="6">
        <f t="shared" si="26"/>
        <v>41768.630000000005</v>
      </c>
      <c r="Y41" s="2"/>
      <c r="Z41" s="7">
        <f t="shared" si="27"/>
        <v>0.27077885866695162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6">
        <v>6584.06</v>
      </c>
      <c r="E42" s="2"/>
      <c r="F42" s="7">
        <f t="shared" si="20"/>
        <v>3.9410241171418765E-3</v>
      </c>
      <c r="G42" s="2"/>
      <c r="H42" s="6">
        <v>1527.51</v>
      </c>
      <c r="I42" s="2"/>
      <c r="J42" s="7">
        <f t="shared" si="21"/>
        <v>9.2507411975383067E-4</v>
      </c>
      <c r="K42" s="2"/>
      <c r="L42" s="6">
        <f t="shared" si="22"/>
        <v>5056.55</v>
      </c>
      <c r="M42" s="2"/>
      <c r="N42" s="7">
        <f t="shared" si="23"/>
        <v>3.3103220273517033</v>
      </c>
      <c r="O42" s="11"/>
      <c r="P42" s="6">
        <v>23526.289999999997</v>
      </c>
      <c r="Q42" s="2"/>
      <c r="R42" s="7">
        <f t="shared" si="24"/>
        <v>5.6745027586496541E-3</v>
      </c>
      <c r="S42" s="2"/>
      <c r="T42" s="6">
        <v>5938.57</v>
      </c>
      <c r="U42" s="2"/>
      <c r="V42" s="7">
        <f t="shared" si="25"/>
        <v>1.4416085004459781E-3</v>
      </c>
      <c r="W42" s="2"/>
      <c r="X42" s="6">
        <f t="shared" si="26"/>
        <v>17587.719999999998</v>
      </c>
      <c r="Y42" s="2"/>
      <c r="Z42" s="7">
        <f t="shared" si="27"/>
        <v>2.9616086027444313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6">
        <v>92482.880000000005</v>
      </c>
      <c r="E43" s="2"/>
      <c r="F43" s="7">
        <f t="shared" si="20"/>
        <v>5.5357524157243113E-2</v>
      </c>
      <c r="G43" s="2"/>
      <c r="H43" s="6">
        <v>89220.24</v>
      </c>
      <c r="I43" s="2"/>
      <c r="J43" s="7">
        <f t="shared" si="21"/>
        <v>5.4032598792954231E-2</v>
      </c>
      <c r="K43" s="2"/>
      <c r="L43" s="6">
        <f t="shared" si="22"/>
        <v>3262.6399999999994</v>
      </c>
      <c r="M43" s="2"/>
      <c r="N43" s="7">
        <f t="shared" si="23"/>
        <v>3.656838403483334E-2</v>
      </c>
      <c r="O43" s="11"/>
      <c r="P43" s="6">
        <v>313152.82999999996</v>
      </c>
      <c r="Q43" s="2"/>
      <c r="R43" s="7">
        <f t="shared" si="24"/>
        <v>7.5531951604521835E-2</v>
      </c>
      <c r="S43" s="2"/>
      <c r="T43" s="6">
        <v>276304.12</v>
      </c>
      <c r="U43" s="2"/>
      <c r="V43" s="7">
        <f t="shared" si="25"/>
        <v>6.7073785120028151E-2</v>
      </c>
      <c r="W43" s="2"/>
      <c r="X43" s="6">
        <f t="shared" si="26"/>
        <v>36848.709999999963</v>
      </c>
      <c r="Y43" s="2"/>
      <c r="Z43" s="7">
        <f t="shared" si="27"/>
        <v>0.13336286842194015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6">
        <v>36187.5</v>
      </c>
      <c r="E44" s="2"/>
      <c r="F44" s="7">
        <f t="shared" si="20"/>
        <v>2.1660770138648741E-2</v>
      </c>
      <c r="G44" s="2"/>
      <c r="H44" s="6">
        <v>37676.380000000005</v>
      </c>
      <c r="I44" s="2"/>
      <c r="J44" s="7">
        <f t="shared" si="21"/>
        <v>2.2817162613672472E-2</v>
      </c>
      <c r="K44" s="2"/>
      <c r="L44" s="6">
        <f t="shared" si="22"/>
        <v>-1488.8800000000047</v>
      </c>
      <c r="M44" s="2"/>
      <c r="N44" s="7">
        <f t="shared" si="23"/>
        <v>-3.9517596966587673E-2</v>
      </c>
      <c r="O44" s="11"/>
      <c r="P44" s="6">
        <v>80050.5</v>
      </c>
      <c r="Q44" s="2"/>
      <c r="R44" s="7">
        <f t="shared" si="24"/>
        <v>1.9308049976485209E-2</v>
      </c>
      <c r="S44" s="2"/>
      <c r="T44" s="6">
        <v>70604.89</v>
      </c>
      <c r="U44" s="2"/>
      <c r="V44" s="7">
        <f t="shared" si="25"/>
        <v>1.7139582356872653E-2</v>
      </c>
      <c r="W44" s="2"/>
      <c r="X44" s="6">
        <f t="shared" si="26"/>
        <v>9445.61</v>
      </c>
      <c r="Y44" s="2"/>
      <c r="Z44" s="7">
        <f t="shared" si="27"/>
        <v>0.13378124376371101</v>
      </c>
    </row>
    <row r="45" spans="1:26" s="27" customFormat="1" outlineLevel="1" collapsed="1" x14ac:dyDescent="0.25">
      <c r="A45" s="25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779.1</v>
      </c>
      <c r="E45" s="1"/>
      <c r="F45" s="5">
        <f t="shared" ref="F45:F68" si="28">IF(D$12=0,0,D45/D$12)</f>
        <v>4.6634628020784068E-4</v>
      </c>
      <c r="G45" s="1"/>
      <c r="H45" s="1">
        <f>SUM(OSRRefH22_2x_0)</f>
        <v>581.77</v>
      </c>
      <c r="I45" s="1"/>
      <c r="J45" s="5">
        <f t="shared" ref="J45:J68" si="29">IF(H$12=0,0,H45/H$12)</f>
        <v>3.5232526834468259E-4</v>
      </c>
      <c r="K45" s="1"/>
      <c r="L45" s="1">
        <f t="shared" ref="L45:L68" si="30">+D45-H45</f>
        <v>197.33000000000004</v>
      </c>
      <c r="M45" s="1"/>
      <c r="N45" s="5">
        <f t="shared" ref="N45:N68" si="31">IF(H45=0,0,L45/H45)</f>
        <v>0.33918902659126465</v>
      </c>
      <c r="O45" s="13"/>
      <c r="P45" s="1">
        <f>SUM(OSRRefP22_2x_0)</f>
        <v>7661.47</v>
      </c>
      <c r="Q45" s="1"/>
      <c r="R45" s="5">
        <f t="shared" ref="R45:R68" si="32">IF(P$12=0,0,P45/P$12)</f>
        <v>1.847934062289956E-3</v>
      </c>
      <c r="S45" s="1"/>
      <c r="T45" s="1">
        <f>SUM(OSRRefT22_2x_0)</f>
        <v>10241.31</v>
      </c>
      <c r="U45" s="1"/>
      <c r="V45" s="5">
        <f t="shared" ref="V45:V68" si="33">IF(T$12=0,0,T45/T$12)</f>
        <v>2.4861135848701621E-3</v>
      </c>
      <c r="W45" s="1"/>
      <c r="X45" s="1">
        <f t="shared" ref="X45:X68" si="34">+P45-T45</f>
        <v>-2579.8399999999992</v>
      </c>
      <c r="Y45" s="1"/>
      <c r="Z45" s="5">
        <f t="shared" ref="Z45:Z68" si="35">IF(T45=0,0,X45/T45)</f>
        <v>-0.25190527383703837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6">
        <v>779.1</v>
      </c>
      <c r="E46" s="2"/>
      <c r="F46" s="7">
        <f t="shared" si="28"/>
        <v>4.6634628020784068E-4</v>
      </c>
      <c r="G46" s="2"/>
      <c r="H46" s="6">
        <v>581.77</v>
      </c>
      <c r="I46" s="2"/>
      <c r="J46" s="7">
        <f t="shared" si="29"/>
        <v>3.5232526834468259E-4</v>
      </c>
      <c r="K46" s="2"/>
      <c r="L46" s="6">
        <f t="shared" si="30"/>
        <v>197.33000000000004</v>
      </c>
      <c r="M46" s="2"/>
      <c r="N46" s="7">
        <f t="shared" si="31"/>
        <v>0.33918902659126465</v>
      </c>
      <c r="O46" s="11"/>
      <c r="P46" s="6">
        <v>7661.47</v>
      </c>
      <c r="Q46" s="2"/>
      <c r="R46" s="7">
        <f t="shared" si="32"/>
        <v>1.847934062289956E-3</v>
      </c>
      <c r="S46" s="2"/>
      <c r="T46" s="6">
        <v>10241.31</v>
      </c>
      <c r="U46" s="2"/>
      <c r="V46" s="7">
        <f t="shared" si="33"/>
        <v>2.4861135848701621E-3</v>
      </c>
      <c r="W46" s="2"/>
      <c r="X46" s="6">
        <f t="shared" si="34"/>
        <v>-2579.8399999999992</v>
      </c>
      <c r="Y46" s="2"/>
      <c r="Z46" s="7">
        <f t="shared" si="35"/>
        <v>-0.25190527383703837</v>
      </c>
    </row>
    <row r="47" spans="1:26" s="27" customFormat="1" outlineLevel="1" collapsed="1" x14ac:dyDescent="0.25">
      <c r="A47" s="25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12.74</v>
      </c>
      <c r="E47" s="1"/>
      <c r="F47" s="5">
        <f t="shared" si="28"/>
        <v>7.6257882298137474E-6</v>
      </c>
      <c r="G47" s="1"/>
      <c r="H47" s="1">
        <f>SUM(OSRRefH22_3x_0)</f>
        <v>0.88</v>
      </c>
      <c r="I47" s="1"/>
      <c r="J47" s="5">
        <f t="shared" si="29"/>
        <v>5.3293610214229105E-7</v>
      </c>
      <c r="K47" s="1"/>
      <c r="L47" s="1">
        <f t="shared" si="30"/>
        <v>11.86</v>
      </c>
      <c r="M47" s="1"/>
      <c r="N47" s="5">
        <f t="shared" si="31"/>
        <v>13.477272727272727</v>
      </c>
      <c r="O47" s="13"/>
      <c r="P47" s="1">
        <f>SUM(OSRRefP22_3x_0)</f>
        <v>29.71</v>
      </c>
      <c r="Q47" s="1"/>
      <c r="R47" s="5">
        <f t="shared" si="32"/>
        <v>7.1660035202950077E-6</v>
      </c>
      <c r="S47" s="1"/>
      <c r="T47" s="1">
        <f>SUM(OSRRefT22_3x_0)</f>
        <v>32.770000000000003</v>
      </c>
      <c r="U47" s="1"/>
      <c r="V47" s="5">
        <f t="shared" si="33"/>
        <v>7.9550313559686427E-6</v>
      </c>
      <c r="W47" s="1"/>
      <c r="X47" s="1">
        <f t="shared" si="34"/>
        <v>-3.0600000000000023</v>
      </c>
      <c r="Y47" s="1"/>
      <c r="Z47" s="5">
        <f t="shared" si="35"/>
        <v>-9.3378089716203899E-2</v>
      </c>
    </row>
    <row r="48" spans="1:26" s="24" customFormat="1" hidden="1" outlineLevel="2" x14ac:dyDescent="0.25">
      <c r="A48" s="26"/>
      <c r="B48" s="11" t="str">
        <f>CONCATENATE("          ", "6272", " - ", "CASH (OVER/SHORT)")</f>
        <v xml:space="preserve">          6272 - CASH (OVER/SHORT)</v>
      </c>
      <c r="C48" s="11"/>
      <c r="D48" s="6">
        <v>12.74</v>
      </c>
      <c r="E48" s="2"/>
      <c r="F48" s="7">
        <f t="shared" si="28"/>
        <v>7.6257882298137474E-6</v>
      </c>
      <c r="G48" s="2"/>
      <c r="H48" s="6">
        <v>0.88</v>
      </c>
      <c r="I48" s="2"/>
      <c r="J48" s="7">
        <f t="shared" si="29"/>
        <v>5.3293610214229105E-7</v>
      </c>
      <c r="K48" s="2"/>
      <c r="L48" s="6">
        <f t="shared" si="30"/>
        <v>11.86</v>
      </c>
      <c r="M48" s="2"/>
      <c r="N48" s="7">
        <f t="shared" si="31"/>
        <v>13.477272727272727</v>
      </c>
      <c r="O48" s="11"/>
      <c r="P48" s="6">
        <v>29.71</v>
      </c>
      <c r="Q48" s="2"/>
      <c r="R48" s="7">
        <f t="shared" si="32"/>
        <v>7.1660035202950077E-6</v>
      </c>
      <c r="S48" s="2"/>
      <c r="T48" s="6">
        <v>32.770000000000003</v>
      </c>
      <c r="U48" s="2"/>
      <c r="V48" s="7">
        <f t="shared" si="33"/>
        <v>7.9550313559686427E-6</v>
      </c>
      <c r="W48" s="2"/>
      <c r="X48" s="6">
        <f t="shared" si="34"/>
        <v>-3.0600000000000023</v>
      </c>
      <c r="Y48" s="2"/>
      <c r="Z48" s="7">
        <f t="shared" si="35"/>
        <v>-9.3378089716203899E-2</v>
      </c>
    </row>
    <row r="49" spans="1:26" s="27" customFormat="1" outlineLevel="1" collapsed="1" x14ac:dyDescent="0.25">
      <c r="A49" s="25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758.13</v>
      </c>
      <c r="E49" s="1"/>
      <c r="F49" s="5">
        <f t="shared" si="28"/>
        <v>4.5379425672438745E-4</v>
      </c>
      <c r="G49" s="1"/>
      <c r="H49" s="1">
        <f>SUM(OSRRefH22_4x_0)</f>
        <v>615.62</v>
      </c>
      <c r="I49" s="1"/>
      <c r="J49" s="5">
        <f t="shared" si="29"/>
        <v>3.7282514000095139E-4</v>
      </c>
      <c r="K49" s="1"/>
      <c r="L49" s="1">
        <f t="shared" si="30"/>
        <v>142.51</v>
      </c>
      <c r="M49" s="1"/>
      <c r="N49" s="5">
        <f t="shared" si="31"/>
        <v>0.23149020499658879</v>
      </c>
      <c r="O49" s="13"/>
      <c r="P49" s="1">
        <f>SUM(OSRRefP22_4x_0)</f>
        <v>1744.13</v>
      </c>
      <c r="Q49" s="1"/>
      <c r="R49" s="5">
        <f t="shared" si="32"/>
        <v>4.2068130999165713E-4</v>
      </c>
      <c r="S49" s="1"/>
      <c r="T49" s="1">
        <f>SUM(OSRRefT22_4x_0)</f>
        <v>1795.8</v>
      </c>
      <c r="U49" s="1"/>
      <c r="V49" s="5">
        <f t="shared" si="33"/>
        <v>4.359366893209792E-4</v>
      </c>
      <c r="W49" s="1"/>
      <c r="X49" s="1">
        <f t="shared" si="34"/>
        <v>-51.669999999999845</v>
      </c>
      <c r="Y49" s="1"/>
      <c r="Z49" s="5">
        <f t="shared" si="35"/>
        <v>-2.8772691836507321E-2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6">
        <v>758.13</v>
      </c>
      <c r="E50" s="2"/>
      <c r="F50" s="7">
        <f t="shared" si="28"/>
        <v>4.5379425672438745E-4</v>
      </c>
      <c r="G50" s="2"/>
      <c r="H50" s="6">
        <v>615.62</v>
      </c>
      <c r="I50" s="2"/>
      <c r="J50" s="7">
        <f t="shared" si="29"/>
        <v>3.7282514000095139E-4</v>
      </c>
      <c r="K50" s="2"/>
      <c r="L50" s="6">
        <f t="shared" si="30"/>
        <v>142.51</v>
      </c>
      <c r="M50" s="2"/>
      <c r="N50" s="7">
        <f t="shared" si="31"/>
        <v>0.23149020499658879</v>
      </c>
      <c r="O50" s="11"/>
      <c r="P50" s="6">
        <v>1744.13</v>
      </c>
      <c r="Q50" s="2"/>
      <c r="R50" s="7">
        <f t="shared" si="32"/>
        <v>4.2068130999165713E-4</v>
      </c>
      <c r="S50" s="2"/>
      <c r="T50" s="6">
        <v>1795.8</v>
      </c>
      <c r="U50" s="2"/>
      <c r="V50" s="7">
        <f t="shared" si="33"/>
        <v>4.359366893209792E-4</v>
      </c>
      <c r="W50" s="2"/>
      <c r="X50" s="6">
        <f t="shared" si="34"/>
        <v>-51.669999999999845</v>
      </c>
      <c r="Y50" s="2"/>
      <c r="Z50" s="7">
        <f t="shared" si="35"/>
        <v>-2.8772691836507321E-2</v>
      </c>
    </row>
    <row r="51" spans="1:26" s="27" customFormat="1" outlineLevel="1" collapsed="1" x14ac:dyDescent="0.25">
      <c r="A51" s="25"/>
      <c r="B51" s="13" t="str">
        <f>CONCATENATE("     ","Donations                                         ")</f>
        <v xml:space="preserve">     Donations                                         </v>
      </c>
      <c r="C51" s="13"/>
      <c r="D51" s="1">
        <f>SUM(OSRRefD22_5x_0)</f>
        <v>23519</v>
      </c>
      <c r="E51" s="1"/>
      <c r="F51" s="5">
        <f t="shared" si="28"/>
        <v>1.4077779699920684E-2</v>
      </c>
      <c r="G51" s="1"/>
      <c r="H51" s="1">
        <f>SUM(OSRRefH22_5x_0)</f>
        <v>21794.04</v>
      </c>
      <c r="I51" s="1"/>
      <c r="J51" s="5">
        <f t="shared" si="29"/>
        <v>1.3198671281287702E-2</v>
      </c>
      <c r="K51" s="1"/>
      <c r="L51" s="1">
        <f t="shared" si="30"/>
        <v>1724.9599999999991</v>
      </c>
      <c r="M51" s="1"/>
      <c r="N51" s="5">
        <f t="shared" si="31"/>
        <v>7.9148244198872675E-2</v>
      </c>
      <c r="O51" s="13"/>
      <c r="P51" s="1">
        <f>SUM(OSRRefP22_5x_0)</f>
        <v>50115.75</v>
      </c>
      <c r="Q51" s="1"/>
      <c r="R51" s="5">
        <f t="shared" si="32"/>
        <v>1.2087837122929133E-2</v>
      </c>
      <c r="S51" s="1"/>
      <c r="T51" s="1">
        <f>SUM(OSRRefT22_5x_0)</f>
        <v>44527.33</v>
      </c>
      <c r="U51" s="1"/>
      <c r="V51" s="5">
        <f t="shared" si="33"/>
        <v>1.0809164063093171E-2</v>
      </c>
      <c r="W51" s="1"/>
      <c r="X51" s="1">
        <f t="shared" si="34"/>
        <v>5588.4199999999983</v>
      </c>
      <c r="Y51" s="1"/>
      <c r="Z51" s="5">
        <f t="shared" si="35"/>
        <v>0.12550539185709086</v>
      </c>
    </row>
    <row r="52" spans="1:26" s="24" customFormat="1" hidden="1" outlineLevel="2" x14ac:dyDescent="0.25">
      <c r="A52" s="26"/>
      <c r="B52" s="11" t="str">
        <f>CONCATENATE("          ", "6399", " - ", "DONATION-ON CAMPUS")</f>
        <v xml:space="preserve">          6399 - DONATION-ON CAMPUS</v>
      </c>
      <c r="C52" s="11"/>
      <c r="D52" s="6">
        <v>23519</v>
      </c>
      <c r="E52" s="2"/>
      <c r="F52" s="7">
        <f t="shared" si="28"/>
        <v>1.4077779699920684E-2</v>
      </c>
      <c r="G52" s="2"/>
      <c r="H52" s="6">
        <v>21794.04</v>
      </c>
      <c r="I52" s="2"/>
      <c r="J52" s="7">
        <f t="shared" si="29"/>
        <v>1.3198671281287702E-2</v>
      </c>
      <c r="K52" s="2"/>
      <c r="L52" s="6">
        <f t="shared" si="30"/>
        <v>1724.9599999999991</v>
      </c>
      <c r="M52" s="2"/>
      <c r="N52" s="7">
        <f t="shared" si="31"/>
        <v>7.9148244198872675E-2</v>
      </c>
      <c r="O52" s="11"/>
      <c r="P52" s="6">
        <v>50115.75</v>
      </c>
      <c r="Q52" s="2"/>
      <c r="R52" s="7">
        <f t="shared" si="32"/>
        <v>1.2087837122929133E-2</v>
      </c>
      <c r="S52" s="2"/>
      <c r="T52" s="6">
        <v>44527.33</v>
      </c>
      <c r="U52" s="2"/>
      <c r="V52" s="7">
        <f t="shared" si="33"/>
        <v>1.0809164063093171E-2</v>
      </c>
      <c r="W52" s="2"/>
      <c r="X52" s="6">
        <f t="shared" si="34"/>
        <v>5588.4199999999983</v>
      </c>
      <c r="Y52" s="2"/>
      <c r="Z52" s="7">
        <f t="shared" si="35"/>
        <v>0.12550539185709086</v>
      </c>
    </row>
    <row r="53" spans="1:26" s="27" customFormat="1" outlineLevel="1" collapsed="1" x14ac:dyDescent="0.25">
      <c r="A53" s="25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34.36</v>
      </c>
      <c r="E53" s="1"/>
      <c r="F53" s="5">
        <f t="shared" si="28"/>
        <v>2.0566882541318708E-5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34.36</v>
      </c>
      <c r="M53" s="1"/>
      <c r="N53" s="5">
        <f t="shared" si="31"/>
        <v>0</v>
      </c>
      <c r="O53" s="13"/>
      <c r="P53" s="1">
        <f>SUM(OSRRefP22_6x_0)</f>
        <v>882.66</v>
      </c>
      <c r="Q53" s="1"/>
      <c r="R53" s="5">
        <f t="shared" si="32"/>
        <v>2.1289615170729019E-4</v>
      </c>
      <c r="S53" s="1"/>
      <c r="T53" s="1">
        <f>SUM(OSRRefT22_6x_0)</f>
        <v>143.11000000000001</v>
      </c>
      <c r="U53" s="1"/>
      <c r="V53" s="5">
        <f t="shared" si="33"/>
        <v>3.4740449720862759E-5</v>
      </c>
      <c r="W53" s="1"/>
      <c r="X53" s="1">
        <f t="shared" si="34"/>
        <v>739.55</v>
      </c>
      <c r="Y53" s="1"/>
      <c r="Z53" s="5">
        <f t="shared" si="35"/>
        <v>5.1677031653972465</v>
      </c>
    </row>
    <row r="54" spans="1:26" s="24" customFormat="1" hidden="1" outlineLevel="2" x14ac:dyDescent="0.25">
      <c r="A54" s="26"/>
      <c r="B54" s="11" t="str">
        <f>CONCATENATE("          ", "6277", " - ", "EMPLOYEE APPRECIATION")</f>
        <v xml:space="preserve">          6277 - EMPLOYEE APPRECIATION</v>
      </c>
      <c r="C54" s="11"/>
      <c r="D54" s="6">
        <v>34.36</v>
      </c>
      <c r="E54" s="2"/>
      <c r="F54" s="7">
        <f t="shared" si="28"/>
        <v>2.0566882541318708E-5</v>
      </c>
      <c r="G54" s="2"/>
      <c r="H54" s="6"/>
      <c r="I54" s="2"/>
      <c r="J54" s="7">
        <f t="shared" si="29"/>
        <v>0</v>
      </c>
      <c r="K54" s="2"/>
      <c r="L54" s="6">
        <f t="shared" si="30"/>
        <v>34.36</v>
      </c>
      <c r="M54" s="2"/>
      <c r="N54" s="7">
        <f t="shared" si="31"/>
        <v>0</v>
      </c>
      <c r="O54" s="11"/>
      <c r="P54" s="6">
        <v>882.66</v>
      </c>
      <c r="Q54" s="2"/>
      <c r="R54" s="7">
        <f t="shared" si="32"/>
        <v>2.1289615170729019E-4</v>
      </c>
      <c r="S54" s="2"/>
      <c r="T54" s="6">
        <v>143.11000000000001</v>
      </c>
      <c r="U54" s="2"/>
      <c r="V54" s="7">
        <f t="shared" si="33"/>
        <v>3.4740449720862759E-5</v>
      </c>
      <c r="W54" s="2"/>
      <c r="X54" s="6">
        <f t="shared" si="34"/>
        <v>739.55</v>
      </c>
      <c r="Y54" s="2"/>
      <c r="Z54" s="7">
        <f t="shared" si="35"/>
        <v>5.1677031653972465</v>
      </c>
    </row>
    <row r="55" spans="1:26" s="27" customFormat="1" outlineLevel="1" collapsed="1" x14ac:dyDescent="0.25">
      <c r="A55" s="25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SUM(OSRRefD22_7x_0)</f>
        <v>3593.65</v>
      </c>
      <c r="E55" s="1"/>
      <c r="F55" s="5">
        <f t="shared" si="28"/>
        <v>2.1510528941970307E-3</v>
      </c>
      <c r="G55" s="1"/>
      <c r="H55" s="1">
        <f>SUM(OSRRefH22_7x_0)</f>
        <v>569.71</v>
      </c>
      <c r="I55" s="1"/>
      <c r="J55" s="5">
        <f t="shared" si="29"/>
        <v>3.4502162130850528E-4</v>
      </c>
      <c r="K55" s="1"/>
      <c r="L55" s="1">
        <f t="shared" si="30"/>
        <v>3023.94</v>
      </c>
      <c r="M55" s="1"/>
      <c r="N55" s="5">
        <f t="shared" si="31"/>
        <v>5.3078583840901512</v>
      </c>
      <c r="O55" s="13"/>
      <c r="P55" s="1">
        <f>SUM(OSRRefP22_7x_0)</f>
        <v>4838.87</v>
      </c>
      <c r="Q55" s="1"/>
      <c r="R55" s="5">
        <f t="shared" si="32"/>
        <v>1.1671275481066948E-3</v>
      </c>
      <c r="S55" s="1"/>
      <c r="T55" s="1">
        <f>SUM(OSRRefT22_7x_0)</f>
        <v>2001.22</v>
      </c>
      <c r="U55" s="1"/>
      <c r="V55" s="5">
        <f t="shared" si="33"/>
        <v>4.8580310803147904E-4</v>
      </c>
      <c r="W55" s="1"/>
      <c r="X55" s="1">
        <f t="shared" si="34"/>
        <v>2837.6499999999996</v>
      </c>
      <c r="Y55" s="1"/>
      <c r="Z55" s="5">
        <f t="shared" si="35"/>
        <v>1.4179600443729323</v>
      </c>
    </row>
    <row r="56" spans="1:26" s="24" customFormat="1" hidden="1" outlineLevel="2" x14ac:dyDescent="0.25">
      <c r="A56" s="26"/>
      <c r="B56" s="11" t="str">
        <f>CONCATENATE("          ", "6351", " - ", "EQUIPMENT RENTAL")</f>
        <v xml:space="preserve">          6351 - EQUIPMENT RENTAL</v>
      </c>
      <c r="C56" s="11"/>
      <c r="D56" s="6">
        <v>3593.65</v>
      </c>
      <c r="E56" s="2"/>
      <c r="F56" s="7">
        <f t="shared" si="28"/>
        <v>2.1510528941970307E-3</v>
      </c>
      <c r="G56" s="2"/>
      <c r="H56" s="6">
        <v>569.71</v>
      </c>
      <c r="I56" s="2"/>
      <c r="J56" s="7">
        <f t="shared" si="29"/>
        <v>3.4502162130850528E-4</v>
      </c>
      <c r="K56" s="2"/>
      <c r="L56" s="6">
        <f t="shared" si="30"/>
        <v>3023.94</v>
      </c>
      <c r="M56" s="2"/>
      <c r="N56" s="7">
        <f t="shared" si="31"/>
        <v>5.3078583840901512</v>
      </c>
      <c r="O56" s="11"/>
      <c r="P56" s="6">
        <v>4838.87</v>
      </c>
      <c r="Q56" s="2"/>
      <c r="R56" s="7">
        <f t="shared" si="32"/>
        <v>1.1671275481066948E-3</v>
      </c>
      <c r="S56" s="2"/>
      <c r="T56" s="6">
        <v>2001.22</v>
      </c>
      <c r="U56" s="2"/>
      <c r="V56" s="7">
        <f t="shared" si="33"/>
        <v>4.8580310803147904E-4</v>
      </c>
      <c r="W56" s="2"/>
      <c r="X56" s="6">
        <f t="shared" si="34"/>
        <v>2837.6499999999996</v>
      </c>
      <c r="Y56" s="2"/>
      <c r="Z56" s="7">
        <f t="shared" si="35"/>
        <v>1.4179600443729323</v>
      </c>
    </row>
    <row r="57" spans="1:26" s="27" customFormat="1" outlineLevel="1" collapsed="1" x14ac:dyDescent="0.25">
      <c r="A57" s="25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3.7</v>
      </c>
      <c r="U57" s="1"/>
      <c r="V57" s="5">
        <f t="shared" si="33"/>
        <v>8.981878552665236E-7</v>
      </c>
      <c r="W57" s="1"/>
      <c r="X57" s="1">
        <f t="shared" si="34"/>
        <v>-3.7</v>
      </c>
      <c r="Y57" s="1"/>
      <c r="Z57" s="5">
        <f t="shared" si="35"/>
        <v>-1</v>
      </c>
    </row>
    <row r="58" spans="1:26" s="24" customFormat="1" hidden="1" outlineLevel="2" x14ac:dyDescent="0.25">
      <c r="A58" s="26"/>
      <c r="B58" s="11" t="str">
        <f>CONCATENATE("          ", "6307", " - ", "POSTAGE")</f>
        <v xml:space="preserve">          6307 - POSTAGE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3.7</v>
      </c>
      <c r="U58" s="2"/>
      <c r="V58" s="7">
        <f t="shared" si="33"/>
        <v>8.981878552665236E-7</v>
      </c>
      <c r="W58" s="2"/>
      <c r="X58" s="6">
        <f t="shared" si="34"/>
        <v>-3.7</v>
      </c>
      <c r="Y58" s="2"/>
      <c r="Z58" s="7">
        <f t="shared" si="35"/>
        <v>-1</v>
      </c>
    </row>
    <row r="59" spans="1:26" s="27" customFormat="1" outlineLevel="1" collapsed="1" x14ac:dyDescent="0.25">
      <c r="A59" s="25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SUM(OSRRefD22_9x_0)</f>
        <v>635.52</v>
      </c>
      <c r="E59" s="1"/>
      <c r="F59" s="5">
        <f t="shared" si="28"/>
        <v>3.8040352714373879E-4</v>
      </c>
      <c r="G59" s="1"/>
      <c r="H59" s="1">
        <f>SUM(OSRRefH22_9x_0)</f>
        <v>379.41</v>
      </c>
      <c r="I59" s="1"/>
      <c r="J59" s="5">
        <f t="shared" si="29"/>
        <v>2.2977418922023486E-4</v>
      </c>
      <c r="K59" s="1"/>
      <c r="L59" s="1">
        <f t="shared" si="30"/>
        <v>256.10999999999996</v>
      </c>
      <c r="M59" s="1"/>
      <c r="N59" s="5">
        <f t="shared" si="31"/>
        <v>0.67502174428718253</v>
      </c>
      <c r="O59" s="13"/>
      <c r="P59" s="1">
        <f>SUM(OSRRefP22_9x_0)</f>
        <v>6830.38</v>
      </c>
      <c r="Q59" s="1"/>
      <c r="R59" s="5">
        <f t="shared" si="32"/>
        <v>1.6474765104326024E-3</v>
      </c>
      <c r="S59" s="1"/>
      <c r="T59" s="1">
        <f>SUM(OSRRefT22_9x_0)</f>
        <v>7413.63</v>
      </c>
      <c r="U59" s="1"/>
      <c r="V59" s="5">
        <f t="shared" si="33"/>
        <v>1.7996844403890696E-3</v>
      </c>
      <c r="W59" s="1"/>
      <c r="X59" s="1">
        <f t="shared" si="34"/>
        <v>-583.25</v>
      </c>
      <c r="Y59" s="1"/>
      <c r="Z59" s="5">
        <f t="shared" si="35"/>
        <v>-7.8672661031100821E-2</v>
      </c>
    </row>
    <row r="60" spans="1:26" s="24" customFormat="1" hidden="1" outlineLevel="2" x14ac:dyDescent="0.25">
      <c r="A60" s="26"/>
      <c r="B60" s="11" t="str">
        <f>CONCATENATE("          ", "6279", " - ", "GENERAL EXPENSE")</f>
        <v xml:space="preserve">          6279 - GENERAL EXPENSE</v>
      </c>
      <c r="C60" s="11"/>
      <c r="D60" s="6">
        <v>635.52</v>
      </c>
      <c r="E60" s="2"/>
      <c r="F60" s="7">
        <f t="shared" si="28"/>
        <v>3.8040352714373879E-4</v>
      </c>
      <c r="G60" s="2"/>
      <c r="H60" s="6">
        <v>379.41</v>
      </c>
      <c r="I60" s="2"/>
      <c r="J60" s="7">
        <f t="shared" si="29"/>
        <v>2.2977418922023486E-4</v>
      </c>
      <c r="K60" s="2"/>
      <c r="L60" s="6">
        <f t="shared" si="30"/>
        <v>256.10999999999996</v>
      </c>
      <c r="M60" s="2"/>
      <c r="N60" s="7">
        <f t="shared" si="31"/>
        <v>0.67502174428718253</v>
      </c>
      <c r="O60" s="11"/>
      <c r="P60" s="6">
        <v>6830.38</v>
      </c>
      <c r="Q60" s="2"/>
      <c r="R60" s="7">
        <f t="shared" si="32"/>
        <v>1.6474765104326024E-3</v>
      </c>
      <c r="S60" s="2"/>
      <c r="T60" s="6">
        <v>7413.63</v>
      </c>
      <c r="U60" s="2"/>
      <c r="V60" s="7">
        <f t="shared" si="33"/>
        <v>1.7996844403890696E-3</v>
      </c>
      <c r="W60" s="2"/>
      <c r="X60" s="6">
        <f t="shared" si="34"/>
        <v>-583.25</v>
      </c>
      <c r="Y60" s="2"/>
      <c r="Z60" s="7">
        <f t="shared" si="35"/>
        <v>-7.8672661031100821E-2</v>
      </c>
    </row>
    <row r="61" spans="1:26" s="27" customFormat="1" outlineLevel="1" collapsed="1" x14ac:dyDescent="0.25">
      <c r="A61" s="25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SUM(OSRRefD22_10x_0)</f>
        <v>5.9</v>
      </c>
      <c r="E61" s="1"/>
      <c r="F61" s="5">
        <f t="shared" si="28"/>
        <v>3.5315659777002442E-6</v>
      </c>
      <c r="G61" s="1"/>
      <c r="H61" s="1">
        <f>SUM(OSRRefH22_10x_0)</f>
        <v>4.93</v>
      </c>
      <c r="I61" s="1"/>
      <c r="J61" s="5">
        <f t="shared" si="29"/>
        <v>2.9856533904107896E-6</v>
      </c>
      <c r="K61" s="1"/>
      <c r="L61" s="1">
        <f t="shared" si="30"/>
        <v>0.97000000000000064</v>
      </c>
      <c r="M61" s="1"/>
      <c r="N61" s="5">
        <f t="shared" si="31"/>
        <v>0.19675456389452348</v>
      </c>
      <c r="O61" s="13"/>
      <c r="P61" s="1">
        <f>SUM(OSRRefP22_10x_0)</f>
        <v>23.6</v>
      </c>
      <c r="Q61" s="1"/>
      <c r="R61" s="5">
        <f t="shared" si="32"/>
        <v>5.6922814903723388E-6</v>
      </c>
      <c r="S61" s="1"/>
      <c r="T61" s="1">
        <f>SUM(OSRRefT22_10x_0)</f>
        <v>19.72</v>
      </c>
      <c r="U61" s="1"/>
      <c r="V61" s="5">
        <f t="shared" si="33"/>
        <v>4.7870985150961739E-6</v>
      </c>
      <c r="W61" s="1"/>
      <c r="X61" s="1">
        <f t="shared" si="34"/>
        <v>3.8800000000000026</v>
      </c>
      <c r="Y61" s="1"/>
      <c r="Z61" s="5">
        <f t="shared" si="35"/>
        <v>0.19675456389452348</v>
      </c>
    </row>
    <row r="62" spans="1:26" s="24" customFormat="1" hidden="1" outlineLevel="2" x14ac:dyDescent="0.25">
      <c r="A62" s="26"/>
      <c r="B62" s="11" t="str">
        <f>CONCATENATE("          ", "6314", " - ", "LIABILITY INSURANCE")</f>
        <v xml:space="preserve">          6314 - LIABILITY INSURANCE</v>
      </c>
      <c r="C62" s="11"/>
      <c r="D62" s="6">
        <v>5.9</v>
      </c>
      <c r="E62" s="2"/>
      <c r="F62" s="7">
        <f t="shared" si="28"/>
        <v>3.5315659777002442E-6</v>
      </c>
      <c r="G62" s="2"/>
      <c r="H62" s="6">
        <v>4.93</v>
      </c>
      <c r="I62" s="2"/>
      <c r="J62" s="7">
        <f t="shared" si="29"/>
        <v>2.9856533904107896E-6</v>
      </c>
      <c r="K62" s="2"/>
      <c r="L62" s="6">
        <f t="shared" si="30"/>
        <v>0.97000000000000064</v>
      </c>
      <c r="M62" s="2"/>
      <c r="N62" s="7">
        <f t="shared" si="31"/>
        <v>0.19675456389452348</v>
      </c>
      <c r="O62" s="11"/>
      <c r="P62" s="6">
        <v>23.6</v>
      </c>
      <c r="Q62" s="2"/>
      <c r="R62" s="7">
        <f t="shared" si="32"/>
        <v>5.6922814903723388E-6</v>
      </c>
      <c r="S62" s="2"/>
      <c r="T62" s="6">
        <v>19.72</v>
      </c>
      <c r="U62" s="2"/>
      <c r="V62" s="7">
        <f t="shared" si="33"/>
        <v>4.7870985150961739E-6</v>
      </c>
      <c r="W62" s="2"/>
      <c r="X62" s="6">
        <f t="shared" si="34"/>
        <v>3.8800000000000026</v>
      </c>
      <c r="Y62" s="2"/>
      <c r="Z62" s="7">
        <f t="shared" si="35"/>
        <v>0.19675456389452348</v>
      </c>
    </row>
    <row r="63" spans="1:26" s="27" customFormat="1" outlineLevel="1" collapsed="1" x14ac:dyDescent="0.25">
      <c r="A63" s="25"/>
      <c r="B63" s="13" t="str">
        <f>CONCATENATE("     ","R/H Commissions                                   ")</f>
        <v xml:space="preserve">     R/H Commissions                                   </v>
      </c>
      <c r="C63" s="13"/>
      <c r="D63" s="1">
        <f>SUM(OSRRefD22_11x_0)</f>
        <v>130766.15000000001</v>
      </c>
      <c r="E63" s="1"/>
      <c r="F63" s="5">
        <f t="shared" si="28"/>
        <v>7.8272760402516406E-2</v>
      </c>
      <c r="G63" s="1"/>
      <c r="H63" s="1">
        <f>SUM(OSRRefH22_11x_0)</f>
        <v>130376.94999999998</v>
      </c>
      <c r="I63" s="1"/>
      <c r="J63" s="5">
        <f t="shared" si="29"/>
        <v>7.8957481297954962E-2</v>
      </c>
      <c r="K63" s="1"/>
      <c r="L63" s="1">
        <f t="shared" si="30"/>
        <v>389.20000000002619</v>
      </c>
      <c r="M63" s="1"/>
      <c r="N63" s="5">
        <f t="shared" si="31"/>
        <v>2.985190250270667E-3</v>
      </c>
      <c r="O63" s="13"/>
      <c r="P63" s="1">
        <f>SUM(OSRRefP22_11x_0)</f>
        <v>318687.43</v>
      </c>
      <c r="Q63" s="1"/>
      <c r="R63" s="5">
        <f t="shared" si="32"/>
        <v>7.6866888093361452E-2</v>
      </c>
      <c r="S63" s="1"/>
      <c r="T63" s="1">
        <f>SUM(OSRRefT22_11x_0)</f>
        <v>313281.75</v>
      </c>
      <c r="U63" s="1"/>
      <c r="V63" s="5">
        <f t="shared" si="33"/>
        <v>7.6050233277471138E-2</v>
      </c>
      <c r="W63" s="1"/>
      <c r="X63" s="1">
        <f t="shared" si="34"/>
        <v>5405.679999999993</v>
      </c>
      <c r="Y63" s="1"/>
      <c r="Z63" s="5">
        <f t="shared" si="35"/>
        <v>1.7255010864820543E-2</v>
      </c>
    </row>
    <row r="64" spans="1:26" s="24" customFormat="1" hidden="1" outlineLevel="2" x14ac:dyDescent="0.25">
      <c r="A64" s="26"/>
      <c r="B64" s="11" t="str">
        <f>CONCATENATE("          ", "6387", " - ", "COMMISSION DUE HOUSING")</f>
        <v xml:space="preserve">          6387 - COMMISSION DUE HOUSING</v>
      </c>
      <c r="C64" s="11"/>
      <c r="D64" s="6">
        <v>130766.15000000001</v>
      </c>
      <c r="E64" s="2"/>
      <c r="F64" s="7">
        <f t="shared" si="28"/>
        <v>7.8272760402516406E-2</v>
      </c>
      <c r="G64" s="2"/>
      <c r="H64" s="6">
        <v>130376.94999999998</v>
      </c>
      <c r="I64" s="2"/>
      <c r="J64" s="7">
        <f t="shared" si="29"/>
        <v>7.8957481297954962E-2</v>
      </c>
      <c r="K64" s="2"/>
      <c r="L64" s="6">
        <f t="shared" si="30"/>
        <v>389.20000000002619</v>
      </c>
      <c r="M64" s="2"/>
      <c r="N64" s="7">
        <f t="shared" si="31"/>
        <v>2.985190250270667E-3</v>
      </c>
      <c r="O64" s="11"/>
      <c r="P64" s="6">
        <v>318687.43</v>
      </c>
      <c r="Q64" s="2"/>
      <c r="R64" s="7">
        <f t="shared" si="32"/>
        <v>7.6866888093361452E-2</v>
      </c>
      <c r="S64" s="2"/>
      <c r="T64" s="6">
        <v>313281.75</v>
      </c>
      <c r="U64" s="2"/>
      <c r="V64" s="7">
        <f t="shared" si="33"/>
        <v>7.6050233277471138E-2</v>
      </c>
      <c r="W64" s="2"/>
      <c r="X64" s="6">
        <f t="shared" si="34"/>
        <v>5405.679999999993</v>
      </c>
      <c r="Y64" s="2"/>
      <c r="Z64" s="7">
        <f t="shared" si="35"/>
        <v>1.7255010864820543E-2</v>
      </c>
    </row>
    <row r="65" spans="1:26" s="27" customFormat="1" outlineLevel="1" collapsed="1" x14ac:dyDescent="0.25">
      <c r="A65" s="25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SUM(OSRRefD22_12x_0)</f>
        <v>364.43</v>
      </c>
      <c r="E65" s="1"/>
      <c r="F65" s="5">
        <f t="shared" si="28"/>
        <v>2.1813704902598304E-4</v>
      </c>
      <c r="G65" s="1"/>
      <c r="H65" s="1">
        <f>SUM(OSRRefH22_12x_0)</f>
        <v>1630.45</v>
      </c>
      <c r="I65" s="1"/>
      <c r="J65" s="5">
        <f t="shared" si="29"/>
        <v>9.8741553152033919E-4</v>
      </c>
      <c r="K65" s="1"/>
      <c r="L65" s="1">
        <f t="shared" si="30"/>
        <v>-1266.02</v>
      </c>
      <c r="M65" s="1"/>
      <c r="N65" s="5">
        <f t="shared" si="31"/>
        <v>-0.77648501947315152</v>
      </c>
      <c r="O65" s="13"/>
      <c r="P65" s="1">
        <f>SUM(OSRRefP22_12x_0)</f>
        <v>6848.3600000000006</v>
      </c>
      <c r="Q65" s="1"/>
      <c r="R65" s="5">
        <f t="shared" si="32"/>
        <v>1.6518132570934878E-3</v>
      </c>
      <c r="S65" s="1"/>
      <c r="T65" s="1">
        <f>SUM(OSRRefT22_12x_0)</f>
        <v>-4227.2800000000007</v>
      </c>
      <c r="U65" s="1"/>
      <c r="V65" s="5">
        <f t="shared" si="33"/>
        <v>-1.0261869072462353E-3</v>
      </c>
      <c r="W65" s="1"/>
      <c r="X65" s="1">
        <f t="shared" si="34"/>
        <v>11075.640000000001</v>
      </c>
      <c r="Y65" s="1"/>
      <c r="Z65" s="5">
        <f t="shared" si="35"/>
        <v>-2.620039363373138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28"/>
        <v>0</v>
      </c>
      <c r="G66" s="2"/>
      <c r="H66" s="6">
        <v>1620.68</v>
      </c>
      <c r="I66" s="2"/>
      <c r="J66" s="7">
        <f t="shared" si="29"/>
        <v>9.8149872956814583E-4</v>
      </c>
      <c r="K66" s="2"/>
      <c r="L66" s="6">
        <f t="shared" si="30"/>
        <v>-1620.68</v>
      </c>
      <c r="M66" s="2"/>
      <c r="N66" s="7">
        <f t="shared" si="31"/>
        <v>-1</v>
      </c>
      <c r="O66" s="11"/>
      <c r="P66" s="6">
        <v>6340.43</v>
      </c>
      <c r="Q66" s="2"/>
      <c r="R66" s="7">
        <f t="shared" si="32"/>
        <v>1.5293013699153174E-3</v>
      </c>
      <c r="S66" s="2"/>
      <c r="T66" s="6">
        <v>-6290.82</v>
      </c>
      <c r="U66" s="2"/>
      <c r="V66" s="7">
        <f t="shared" si="33"/>
        <v>-1.5271184118020951E-3</v>
      </c>
      <c r="W66" s="2"/>
      <c r="X66" s="6">
        <f t="shared" si="34"/>
        <v>12631.25</v>
      </c>
      <c r="Y66" s="2"/>
      <c r="Z66" s="7">
        <f t="shared" si="35"/>
        <v>-2.0078860943406425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6">
        <v>212.65</v>
      </c>
      <c r="E67" s="2"/>
      <c r="F67" s="7">
        <f t="shared" si="28"/>
        <v>1.2728601782338253E-4</v>
      </c>
      <c r="G67" s="2"/>
      <c r="H67" s="6">
        <v>9.77</v>
      </c>
      <c r="I67" s="2"/>
      <c r="J67" s="7">
        <f t="shared" si="29"/>
        <v>5.9168019521933905E-6</v>
      </c>
      <c r="K67" s="2"/>
      <c r="L67" s="6">
        <f t="shared" si="30"/>
        <v>202.88</v>
      </c>
      <c r="M67" s="2"/>
      <c r="N67" s="7">
        <f t="shared" si="31"/>
        <v>20.765609007164791</v>
      </c>
      <c r="O67" s="11"/>
      <c r="P67" s="6">
        <v>250.66</v>
      </c>
      <c r="Q67" s="2"/>
      <c r="R67" s="7">
        <f t="shared" si="32"/>
        <v>6.0458782982064848E-5</v>
      </c>
      <c r="S67" s="2"/>
      <c r="T67" s="6">
        <v>254.94</v>
      </c>
      <c r="U67" s="2"/>
      <c r="V67" s="7">
        <f t="shared" si="33"/>
        <v>6.1887570762607437E-5</v>
      </c>
      <c r="W67" s="2"/>
      <c r="X67" s="6">
        <f t="shared" si="34"/>
        <v>-4.2800000000000011</v>
      </c>
      <c r="Y67" s="2"/>
      <c r="Z67" s="7">
        <f t="shared" si="35"/>
        <v>-1.6788263905232609E-2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151.78</v>
      </c>
      <c r="E68" s="2"/>
      <c r="F68" s="7">
        <f t="shared" si="28"/>
        <v>9.0851031202600509E-5</v>
      </c>
      <c r="G68" s="2"/>
      <c r="H68" s="6"/>
      <c r="I68" s="2"/>
      <c r="J68" s="7">
        <f t="shared" si="29"/>
        <v>0</v>
      </c>
      <c r="K68" s="2"/>
      <c r="L68" s="6">
        <f t="shared" si="30"/>
        <v>151.78</v>
      </c>
      <c r="M68" s="2"/>
      <c r="N68" s="7">
        <f t="shared" si="31"/>
        <v>0</v>
      </c>
      <c r="O68" s="11"/>
      <c r="P68" s="6">
        <v>257.27</v>
      </c>
      <c r="Q68" s="2"/>
      <c r="R68" s="7">
        <f t="shared" si="32"/>
        <v>6.2053104196105571E-5</v>
      </c>
      <c r="S68" s="2"/>
      <c r="T68" s="6">
        <v>1808.6</v>
      </c>
      <c r="U68" s="2"/>
      <c r="V68" s="7">
        <f t="shared" si="33"/>
        <v>4.3904393379325254E-4</v>
      </c>
      <c r="W68" s="2"/>
      <c r="X68" s="6">
        <f t="shared" si="34"/>
        <v>-1551.33</v>
      </c>
      <c r="Y68" s="2"/>
      <c r="Z68" s="7">
        <f t="shared" si="35"/>
        <v>-0.8577518522614177</v>
      </c>
    </row>
    <row r="69" spans="1:26" s="27" customFormat="1" outlineLevel="1" collapsed="1" x14ac:dyDescent="0.25">
      <c r="A69" s="25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SUM(OSRRefD22_13x_0)</f>
        <v>18883.71</v>
      </c>
      <c r="E69" s="1"/>
      <c r="F69" s="5">
        <f t="shared" ref="F69:F72" si="36">IF(D$12=0,0,D69/D$12)</f>
        <v>1.1303231825213199E-2</v>
      </c>
      <c r="G69" s="1"/>
      <c r="H69" s="1">
        <f>SUM(OSRRefH22_13x_0)</f>
        <v>17380.259999999998</v>
      </c>
      <c r="I69" s="1"/>
      <c r="J69" s="5">
        <f t="shared" ref="J69:J72" si="37">IF(H$12=0,0,H69/H$12)</f>
        <v>1.0525645475704063E-2</v>
      </c>
      <c r="K69" s="1"/>
      <c r="L69" s="1">
        <f t="shared" ref="L69:L72" si="38">+D69-H69</f>
        <v>1503.4500000000007</v>
      </c>
      <c r="M69" s="1"/>
      <c r="N69" s="5">
        <f t="shared" ref="N69:N72" si="39">IF(H69=0,0,L69/H69)</f>
        <v>8.6503308926333719E-2</v>
      </c>
      <c r="O69" s="13"/>
      <c r="P69" s="1">
        <f>SUM(OSRRefP22_13x_0)</f>
        <v>78089.78</v>
      </c>
      <c r="Q69" s="1"/>
      <c r="R69" s="5">
        <f t="shared" ref="R69:R72" si="40">IF(P$12=0,0,P69/P$12)</f>
        <v>1.883512751191729E-2</v>
      </c>
      <c r="S69" s="1"/>
      <c r="T69" s="1">
        <f>SUM(OSRRefT22_13x_0)</f>
        <v>56038.61</v>
      </c>
      <c r="U69" s="1"/>
      <c r="V69" s="5">
        <f t="shared" ref="V69:V72" si="41">IF(T$12=0,0,T69/T$12)</f>
        <v>1.3603567277842477E-2</v>
      </c>
      <c r="W69" s="1"/>
      <c r="X69" s="1">
        <f t="shared" ref="X69:X72" si="42">+P69-T69</f>
        <v>22051.17</v>
      </c>
      <c r="Y69" s="1"/>
      <c r="Z69" s="5">
        <f t="shared" ref="Z69:Z72" si="43">IF(T69=0,0,X69/T69)</f>
        <v>0.39349958894412262</v>
      </c>
    </row>
    <row r="70" spans="1:26" s="24" customFormat="1" hidden="1" outlineLevel="2" x14ac:dyDescent="0.25">
      <c r="A70" s="26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1508.3</v>
      </c>
      <c r="E70" s="2"/>
      <c r="F70" s="7">
        <f t="shared" si="36"/>
        <v>9.0282389223140299E-4</v>
      </c>
      <c r="G70" s="2"/>
      <c r="H70" s="6">
        <v>1508.3</v>
      </c>
      <c r="I70" s="2"/>
      <c r="J70" s="7">
        <f t="shared" si="37"/>
        <v>9.1344036688774724E-4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6303.2</v>
      </c>
      <c r="Q70" s="2"/>
      <c r="R70" s="7">
        <f t="shared" si="40"/>
        <v>1.5203215546658866E-3</v>
      </c>
      <c r="S70" s="2"/>
      <c r="T70" s="6">
        <v>6033.2</v>
      </c>
      <c r="U70" s="2"/>
      <c r="V70" s="7">
        <f t="shared" si="41"/>
        <v>1.4645802617281054E-3</v>
      </c>
      <c r="W70" s="2"/>
      <c r="X70" s="6">
        <f t="shared" si="42"/>
        <v>270</v>
      </c>
      <c r="Y70" s="2"/>
      <c r="Z70" s="7">
        <f t="shared" si="43"/>
        <v>4.4752370218126371E-2</v>
      </c>
    </row>
    <row r="71" spans="1:26" s="24" customFormat="1" hidden="1" outlineLevel="2" x14ac:dyDescent="0.25">
      <c r="A71" s="26"/>
      <c r="B71" s="11" t="str">
        <f>CONCATENATE("          ", "6285", " - ", "JANITORIAL SERVICES")</f>
        <v xml:space="preserve">          6285 - JANITORIAL SERVICES</v>
      </c>
      <c r="C71" s="11"/>
      <c r="D71" s="6">
        <v>11438.01</v>
      </c>
      <c r="E71" s="2"/>
      <c r="F71" s="7">
        <f t="shared" si="36"/>
        <v>6.8464554184059605E-3</v>
      </c>
      <c r="G71" s="2"/>
      <c r="H71" s="6">
        <v>10617.57</v>
      </c>
      <c r="I71" s="2"/>
      <c r="J71" s="7">
        <f t="shared" si="37"/>
        <v>6.4300981477533239E-3</v>
      </c>
      <c r="K71" s="2"/>
      <c r="L71" s="6">
        <f t="shared" si="38"/>
        <v>820.44000000000051</v>
      </c>
      <c r="M71" s="2"/>
      <c r="N71" s="7">
        <f t="shared" si="39"/>
        <v>7.7271918150763355E-2</v>
      </c>
      <c r="O71" s="11"/>
      <c r="P71" s="6">
        <v>51209</v>
      </c>
      <c r="Q71" s="2"/>
      <c r="R71" s="7">
        <f t="shared" si="40"/>
        <v>1.2351527239003266E-2</v>
      </c>
      <c r="S71" s="2"/>
      <c r="T71" s="6">
        <v>34079.19</v>
      </c>
      <c r="U71" s="2"/>
      <c r="V71" s="7">
        <f t="shared" si="41"/>
        <v>8.2728417771136108E-3</v>
      </c>
      <c r="W71" s="2"/>
      <c r="X71" s="6">
        <f t="shared" si="42"/>
        <v>17129.809999999998</v>
      </c>
      <c r="Y71" s="2"/>
      <c r="Z71" s="7">
        <f t="shared" si="43"/>
        <v>0.50264721667387036</v>
      </c>
    </row>
    <row r="72" spans="1:26" s="24" customFormat="1" hidden="1" outlineLevel="2" x14ac:dyDescent="0.25">
      <c r="A72" s="26"/>
      <c r="B72" s="11" t="str">
        <f>CONCATENATE("          ", "6286", " - ", "LAUNDRY EXPENSE")</f>
        <v xml:space="preserve">          6286 - LAUNDRY EXPENSE</v>
      </c>
      <c r="C72" s="11"/>
      <c r="D72" s="6">
        <v>5937.4</v>
      </c>
      <c r="E72" s="2"/>
      <c r="F72" s="7">
        <f t="shared" si="36"/>
        <v>3.553952514575835E-3</v>
      </c>
      <c r="G72" s="2"/>
      <c r="H72" s="6">
        <v>5254.39</v>
      </c>
      <c r="I72" s="2"/>
      <c r="J72" s="7">
        <f t="shared" si="37"/>
        <v>3.1821069610629919E-3</v>
      </c>
      <c r="K72" s="2"/>
      <c r="L72" s="6">
        <f t="shared" si="38"/>
        <v>683.00999999999931</v>
      </c>
      <c r="M72" s="2"/>
      <c r="N72" s="7">
        <f t="shared" si="39"/>
        <v>0.12998844775511512</v>
      </c>
      <c r="O72" s="11"/>
      <c r="P72" s="6">
        <v>20577.580000000002</v>
      </c>
      <c r="Q72" s="2"/>
      <c r="R72" s="7">
        <f t="shared" si="40"/>
        <v>4.963278718248137E-3</v>
      </c>
      <c r="S72" s="2"/>
      <c r="T72" s="6">
        <v>15926.22</v>
      </c>
      <c r="U72" s="2"/>
      <c r="V72" s="7">
        <f t="shared" si="41"/>
        <v>3.8661452390007602E-3</v>
      </c>
      <c r="W72" s="2"/>
      <c r="X72" s="6">
        <f t="shared" si="42"/>
        <v>4651.3600000000024</v>
      </c>
      <c r="Y72" s="2"/>
      <c r="Z72" s="7">
        <f t="shared" si="43"/>
        <v>0.2920567466730965</v>
      </c>
    </row>
    <row r="73" spans="1:26" s="27" customFormat="1" outlineLevel="1" collapsed="1" x14ac:dyDescent="0.25">
      <c r="A73" s="25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SUM(OSRRefD22_14x_0)</f>
        <v>31094.059999999998</v>
      </c>
      <c r="E73" s="1"/>
      <c r="F73" s="5">
        <f t="shared" ref="F73:F81" si="44">IF(D$12=0,0,D73/D$12)</f>
        <v>1.8611987187215261E-2</v>
      </c>
      <c r="G73" s="1"/>
      <c r="H73" s="1">
        <f>SUM(OSRRefH22_14x_0)</f>
        <v>28433.41</v>
      </c>
      <c r="I73" s="1"/>
      <c r="J73" s="5">
        <f t="shared" ref="J73:J81" si="45">IF(H$12=0,0,H73/H$12)</f>
        <v>1.7219534881833681E-2</v>
      </c>
      <c r="K73" s="1"/>
      <c r="L73" s="1">
        <f t="shared" ref="L73:L81" si="46">+D73-H73</f>
        <v>2660.6499999999978</v>
      </c>
      <c r="M73" s="1"/>
      <c r="N73" s="5">
        <f t="shared" ref="N73:N81" si="47">IF(H73=0,0,L73/H73)</f>
        <v>9.3574776996498063E-2</v>
      </c>
      <c r="O73" s="13"/>
      <c r="P73" s="1">
        <f>SUM(OSRRefP22_14x_0)</f>
        <v>106662.84</v>
      </c>
      <c r="Q73" s="1"/>
      <c r="R73" s="5">
        <f t="shared" ref="R73:R81" si="48">IF(P$12=0,0,P73/P$12)</f>
        <v>2.5726902959429927E-2</v>
      </c>
      <c r="S73" s="1"/>
      <c r="T73" s="1">
        <f>SUM(OSRRefT22_14x_0)</f>
        <v>100979.85</v>
      </c>
      <c r="U73" s="1"/>
      <c r="V73" s="5">
        <f t="shared" ref="V73:V81" si="49">IF(T$12=0,0,T73/T$12)</f>
        <v>2.4513209431523044E-2</v>
      </c>
      <c r="W73" s="1"/>
      <c r="X73" s="1">
        <f t="shared" ref="X73:X81" si="50">+P73-T73</f>
        <v>5682.9899999999907</v>
      </c>
      <c r="Y73" s="1"/>
      <c r="Z73" s="5">
        <f t="shared" ref="Z73:Z81" si="51">IF(T73=0,0,X73/T73)</f>
        <v>5.6278455553261275E-2</v>
      </c>
    </row>
    <row r="74" spans="1:26" s="24" customFormat="1" hidden="1" outlineLevel="2" x14ac:dyDescent="0.25">
      <c r="A74" s="26"/>
      <c r="B74" s="11" t="str">
        <f>CONCATENATE("          ", "6234", " - ", "EXPENDABLE SUPPLIES &amp; EQUIPMEN")</f>
        <v xml:space="preserve">          6234 - EXPENDABLE SUPPLIES &amp; EQUIPMEN</v>
      </c>
      <c r="C74" s="11"/>
      <c r="D74" s="6">
        <v>100</v>
      </c>
      <c r="E74" s="2"/>
      <c r="F74" s="7">
        <f t="shared" si="44"/>
        <v>5.9857050469495661E-5</v>
      </c>
      <c r="G74" s="2"/>
      <c r="H74" s="6">
        <v>30.98</v>
      </c>
      <c r="I74" s="2"/>
      <c r="J74" s="7">
        <f t="shared" si="45"/>
        <v>1.8761773232236566E-5</v>
      </c>
      <c r="K74" s="2"/>
      <c r="L74" s="6">
        <f t="shared" si="46"/>
        <v>69.02</v>
      </c>
      <c r="M74" s="2"/>
      <c r="N74" s="7">
        <f t="shared" si="47"/>
        <v>2.2278889606197545</v>
      </c>
      <c r="O74" s="11"/>
      <c r="P74" s="6">
        <v>100</v>
      </c>
      <c r="Q74" s="2"/>
      <c r="R74" s="7">
        <f t="shared" si="48"/>
        <v>2.4119836823611606E-5</v>
      </c>
      <c r="S74" s="2"/>
      <c r="T74" s="6">
        <v>30.98</v>
      </c>
      <c r="U74" s="2"/>
      <c r="V74" s="7">
        <f t="shared" si="49"/>
        <v>7.5205026367991621E-6</v>
      </c>
      <c r="W74" s="2"/>
      <c r="X74" s="6">
        <f t="shared" si="50"/>
        <v>69.02</v>
      </c>
      <c r="Y74" s="2"/>
      <c r="Z74" s="7">
        <f t="shared" si="51"/>
        <v>2.2278889606197545</v>
      </c>
    </row>
    <row r="75" spans="1:26" s="24" customFormat="1" hidden="1" outlineLevel="2" x14ac:dyDescent="0.25">
      <c r="A75" s="26"/>
      <c r="B75" s="11" t="str">
        <f>CONCATENATE("          ", "6237", " - ", "JANITORIAL SUPPLIES")</f>
        <v xml:space="preserve">          6237 - JANITORIAL SUPPLIES</v>
      </c>
      <c r="C75" s="11"/>
      <c r="D75" s="6">
        <v>14057.36</v>
      </c>
      <c r="E75" s="2"/>
      <c r="F75" s="7">
        <f t="shared" si="44"/>
        <v>8.4143210698786955E-3</v>
      </c>
      <c r="G75" s="2"/>
      <c r="H75" s="6">
        <v>14091.26</v>
      </c>
      <c r="I75" s="2"/>
      <c r="J75" s="7">
        <f t="shared" si="45"/>
        <v>8.5337967939472497E-3</v>
      </c>
      <c r="K75" s="2"/>
      <c r="L75" s="6">
        <f t="shared" si="46"/>
        <v>-33.899999999999636</v>
      </c>
      <c r="M75" s="2"/>
      <c r="N75" s="7">
        <f t="shared" si="47"/>
        <v>-2.4057465407635397E-3</v>
      </c>
      <c r="O75" s="11"/>
      <c r="P75" s="6">
        <v>37146.400000000001</v>
      </c>
      <c r="Q75" s="2"/>
      <c r="R75" s="7">
        <f t="shared" si="48"/>
        <v>8.959651065846062E-3</v>
      </c>
      <c r="S75" s="2"/>
      <c r="T75" s="6">
        <v>41495.24</v>
      </c>
      <c r="U75" s="2"/>
      <c r="V75" s="7">
        <f t="shared" si="49"/>
        <v>1.0073113680910718E-2</v>
      </c>
      <c r="W75" s="2"/>
      <c r="X75" s="6">
        <f t="shared" si="50"/>
        <v>-4348.8399999999965</v>
      </c>
      <c r="Y75" s="2"/>
      <c r="Z75" s="7">
        <f t="shared" si="51"/>
        <v>-0.10480334611873547</v>
      </c>
    </row>
    <row r="76" spans="1:26" s="24" customFormat="1" hidden="1" outlineLevel="2" x14ac:dyDescent="0.25">
      <c r="A76" s="26"/>
      <c r="B76" s="11" t="str">
        <f>CONCATENATE("          ", "6239", " - ", "KITCHEN SUPPLIES")</f>
        <v xml:space="preserve">          6239 - KITCHEN SUPPLIES</v>
      </c>
      <c r="C76" s="11"/>
      <c r="D76" s="6">
        <v>3787.67</v>
      </c>
      <c r="E76" s="2"/>
      <c r="F76" s="7">
        <f t="shared" si="44"/>
        <v>2.2671875435179463E-3</v>
      </c>
      <c r="G76" s="2"/>
      <c r="H76" s="6">
        <v>2889.49</v>
      </c>
      <c r="I76" s="2"/>
      <c r="J76" s="7">
        <f t="shared" si="45"/>
        <v>1.7499017474762824E-3</v>
      </c>
      <c r="K76" s="2"/>
      <c r="L76" s="6">
        <f t="shared" si="46"/>
        <v>898.18000000000029</v>
      </c>
      <c r="M76" s="2"/>
      <c r="N76" s="7">
        <f t="shared" si="47"/>
        <v>0.31084378212072039</v>
      </c>
      <c r="O76" s="11"/>
      <c r="P76" s="6">
        <v>18968.439999999999</v>
      </c>
      <c r="Q76" s="2"/>
      <c r="R76" s="7">
        <f t="shared" si="48"/>
        <v>4.5751567759846727E-3</v>
      </c>
      <c r="S76" s="2"/>
      <c r="T76" s="6">
        <v>11411</v>
      </c>
      <c r="U76" s="2"/>
      <c r="V76" s="7">
        <f t="shared" si="49"/>
        <v>2.7700598963368381E-3</v>
      </c>
      <c r="W76" s="2"/>
      <c r="X76" s="6">
        <f t="shared" si="50"/>
        <v>7557.4399999999987</v>
      </c>
      <c r="Y76" s="2"/>
      <c r="Z76" s="7">
        <f t="shared" si="51"/>
        <v>0.66229427745158165</v>
      </c>
    </row>
    <row r="77" spans="1:26" s="24" customFormat="1" hidden="1" outlineLevel="2" x14ac:dyDescent="0.25">
      <c r="A77" s="26"/>
      <c r="B77" s="11" t="str">
        <f>CONCATENATE("          ", "6241", " - ", "OFFICE EXPENSE")</f>
        <v xml:space="preserve">          6241 - OFFICE EXPENSE</v>
      </c>
      <c r="C77" s="11"/>
      <c r="D77" s="6">
        <v>882.69</v>
      </c>
      <c r="E77" s="2"/>
      <c r="F77" s="7">
        <f t="shared" si="44"/>
        <v>5.2835219878919132E-4</v>
      </c>
      <c r="G77" s="2"/>
      <c r="H77" s="6">
        <v>1347.39</v>
      </c>
      <c r="I77" s="2"/>
      <c r="J77" s="7">
        <f t="shared" si="45"/>
        <v>8.1599178939261547E-4</v>
      </c>
      <c r="K77" s="2"/>
      <c r="L77" s="6">
        <f t="shared" si="46"/>
        <v>-464.70000000000005</v>
      </c>
      <c r="M77" s="2"/>
      <c r="N77" s="7">
        <f t="shared" si="47"/>
        <v>-0.3448890076369871</v>
      </c>
      <c r="O77" s="11"/>
      <c r="P77" s="6">
        <v>24549.11</v>
      </c>
      <c r="Q77" s="2"/>
      <c r="R77" s="7">
        <f t="shared" si="48"/>
        <v>5.9212052736489192E-3</v>
      </c>
      <c r="S77" s="2"/>
      <c r="T77" s="6">
        <v>6377.18</v>
      </c>
      <c r="U77" s="2"/>
      <c r="V77" s="7">
        <f t="shared" si="49"/>
        <v>1.5480826018509646E-3</v>
      </c>
      <c r="W77" s="2"/>
      <c r="X77" s="6">
        <f t="shared" si="50"/>
        <v>18171.93</v>
      </c>
      <c r="Y77" s="2"/>
      <c r="Z77" s="7">
        <f t="shared" si="51"/>
        <v>2.8495243979313738</v>
      </c>
    </row>
    <row r="78" spans="1:26" s="24" customFormat="1" hidden="1" outlineLevel="2" x14ac:dyDescent="0.25">
      <c r="A78" s="26"/>
      <c r="B78" s="11" t="str">
        <f>CONCATENATE("          ", "6243", " - ", "PAPER SUPPLIES")</f>
        <v xml:space="preserve">          6243 - PAPER SUPPLIES</v>
      </c>
      <c r="C78" s="11"/>
      <c r="D78" s="6">
        <v>12127.52</v>
      </c>
      <c r="E78" s="2"/>
      <c r="F78" s="7">
        <f t="shared" si="44"/>
        <v>7.2591757670981806E-3</v>
      </c>
      <c r="G78" s="2"/>
      <c r="H78" s="6">
        <v>9703.7800000000007</v>
      </c>
      <c r="I78" s="2"/>
      <c r="J78" s="7">
        <f t="shared" si="45"/>
        <v>5.8766985105071839E-3</v>
      </c>
      <c r="K78" s="2"/>
      <c r="L78" s="6">
        <f t="shared" si="46"/>
        <v>2423.7399999999998</v>
      </c>
      <c r="M78" s="2"/>
      <c r="N78" s="7">
        <f t="shared" si="47"/>
        <v>0.24977276896219819</v>
      </c>
      <c r="O78" s="11"/>
      <c r="P78" s="6">
        <v>28486.47</v>
      </c>
      <c r="Q78" s="2"/>
      <c r="R78" s="7">
        <f t="shared" si="48"/>
        <v>6.870890080807073E-3</v>
      </c>
      <c r="S78" s="2"/>
      <c r="T78" s="6">
        <v>30044.030000000002</v>
      </c>
      <c r="U78" s="2"/>
      <c r="V78" s="7">
        <f t="shared" si="49"/>
        <v>7.2932926673684043E-3</v>
      </c>
      <c r="W78" s="2"/>
      <c r="X78" s="6">
        <f t="shared" si="50"/>
        <v>-1557.5600000000013</v>
      </c>
      <c r="Y78" s="2"/>
      <c r="Z78" s="7">
        <f t="shared" si="51"/>
        <v>-5.1842579041493475E-2</v>
      </c>
    </row>
    <row r="79" spans="1:26" s="24" customFormat="1" hidden="1" outlineLevel="2" x14ac:dyDescent="0.25">
      <c r="A79" s="26"/>
      <c r="B79" s="11" t="str">
        <f>CONCATENATE("          ", "6245", " - ", "PRINTING")</f>
        <v xml:space="preserve">          6245 - PRINTING</v>
      </c>
      <c r="C79" s="11"/>
      <c r="D79" s="6">
        <v>28.44</v>
      </c>
      <c r="E79" s="2"/>
      <c r="F79" s="7">
        <f t="shared" si="44"/>
        <v>1.7023345153524566E-5</v>
      </c>
      <c r="G79" s="2"/>
      <c r="H79" s="6">
        <v>145.09</v>
      </c>
      <c r="I79" s="2"/>
      <c r="J79" s="7">
        <f t="shared" si="45"/>
        <v>8.7867839840710245E-5</v>
      </c>
      <c r="K79" s="2"/>
      <c r="L79" s="6">
        <f t="shared" si="46"/>
        <v>-116.65</v>
      </c>
      <c r="M79" s="2"/>
      <c r="N79" s="7">
        <f t="shared" si="47"/>
        <v>-0.80398373423392377</v>
      </c>
      <c r="O79" s="11"/>
      <c r="P79" s="6">
        <v>1351.44</v>
      </c>
      <c r="Q79" s="2"/>
      <c r="R79" s="7">
        <f t="shared" si="48"/>
        <v>3.2596512276901669E-4</v>
      </c>
      <c r="S79" s="2"/>
      <c r="T79" s="6">
        <v>1828.87</v>
      </c>
      <c r="U79" s="2"/>
      <c r="V79" s="7">
        <f t="shared" si="49"/>
        <v>4.4396454671926673E-4</v>
      </c>
      <c r="W79" s="2"/>
      <c r="X79" s="6">
        <f t="shared" si="50"/>
        <v>-477.42999999999984</v>
      </c>
      <c r="Y79" s="2"/>
      <c r="Z79" s="7">
        <f t="shared" si="51"/>
        <v>-0.26105190636841319</v>
      </c>
    </row>
    <row r="80" spans="1:26" s="24" customFormat="1" hidden="1" outlineLevel="2" x14ac:dyDescent="0.25">
      <c r="A80" s="26"/>
      <c r="B80" s="11" t="str">
        <f>CONCATENATE("          ", "6247", " - ", "STORE SUPPLIES")</f>
        <v xml:space="preserve">          6247 - STORE SUPPLIES</v>
      </c>
      <c r="C80" s="11"/>
      <c r="D80" s="6">
        <v>110.38</v>
      </c>
      <c r="E80" s="2"/>
      <c r="F80" s="7">
        <f t="shared" si="44"/>
        <v>6.6070212308229302E-5</v>
      </c>
      <c r="G80" s="2"/>
      <c r="H80" s="6">
        <v>-430.75</v>
      </c>
      <c r="I80" s="2"/>
      <c r="J80" s="7">
        <f t="shared" si="45"/>
        <v>-2.6086616590658166E-4</v>
      </c>
      <c r="K80" s="2"/>
      <c r="L80" s="6">
        <f t="shared" si="46"/>
        <v>541.13</v>
      </c>
      <c r="M80" s="2"/>
      <c r="N80" s="7">
        <f t="shared" si="47"/>
        <v>-1.256250725478816</v>
      </c>
      <c r="O80" s="11"/>
      <c r="P80" s="6">
        <v>516.73</v>
      </c>
      <c r="Q80" s="2"/>
      <c r="R80" s="7">
        <f t="shared" si="48"/>
        <v>1.2463443281864826E-4</v>
      </c>
      <c r="S80" s="2"/>
      <c r="T80" s="6">
        <v>-370.04</v>
      </c>
      <c r="U80" s="2"/>
      <c r="V80" s="7">
        <f t="shared" si="49"/>
        <v>-8.9828495665628219E-5</v>
      </c>
      <c r="W80" s="2"/>
      <c r="X80" s="6">
        <f t="shared" si="50"/>
        <v>886.77</v>
      </c>
      <c r="Y80" s="2"/>
      <c r="Z80" s="7">
        <f t="shared" si="51"/>
        <v>-2.3964166036104202</v>
      </c>
    </row>
    <row r="81" spans="1:26" s="24" customFormat="1" hidden="1" outlineLevel="2" x14ac:dyDescent="0.25">
      <c r="A81" s="26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44"/>
        <v>0</v>
      </c>
      <c r="G81" s="2"/>
      <c r="H81" s="6">
        <v>656.17</v>
      </c>
      <c r="I81" s="2"/>
      <c r="J81" s="7">
        <f t="shared" si="45"/>
        <v>3.9738259334398532E-4</v>
      </c>
      <c r="K81" s="2"/>
      <c r="L81" s="6">
        <f t="shared" si="46"/>
        <v>-656.17</v>
      </c>
      <c r="M81" s="2"/>
      <c r="N81" s="7">
        <f t="shared" si="47"/>
        <v>-1</v>
      </c>
      <c r="O81" s="11"/>
      <c r="P81" s="6">
        <v>-4455.75</v>
      </c>
      <c r="Q81" s="2"/>
      <c r="R81" s="7">
        <f t="shared" si="48"/>
        <v>-1.0747196292680741E-3</v>
      </c>
      <c r="S81" s="2"/>
      <c r="T81" s="6">
        <v>10162.59</v>
      </c>
      <c r="U81" s="2"/>
      <c r="V81" s="7">
        <f t="shared" si="49"/>
        <v>2.467004031365681E-3</v>
      </c>
      <c r="W81" s="2"/>
      <c r="X81" s="6">
        <f t="shared" si="50"/>
        <v>-14618.34</v>
      </c>
      <c r="Y81" s="2"/>
      <c r="Z81" s="7">
        <f t="shared" si="51"/>
        <v>-1.438446301582569</v>
      </c>
    </row>
    <row r="82" spans="1:26" s="27" customFormat="1" outlineLevel="1" collapsed="1" x14ac:dyDescent="0.25">
      <c r="A82" s="25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SUM(OSRRefD22_15x_0)</f>
        <v>745.25</v>
      </c>
      <c r="E82" s="1"/>
      <c r="F82" s="5">
        <f t="shared" ref="F82:F88" si="52">IF(D$12=0,0,D82/D$12)</f>
        <v>4.460846686239164E-4</v>
      </c>
      <c r="G82" s="1"/>
      <c r="H82" s="1">
        <f>SUM(OSRRefH22_15x_0)</f>
        <v>739.45</v>
      </c>
      <c r="I82" s="1"/>
      <c r="J82" s="5">
        <f t="shared" ref="J82:J88" si="53">IF(H$12=0,0,H82/H$12)</f>
        <v>4.4781772810126947E-4</v>
      </c>
      <c r="K82" s="1"/>
      <c r="L82" s="1">
        <f t="shared" ref="L82:L88" si="54">+D82-H82</f>
        <v>5.7999999999999545</v>
      </c>
      <c r="M82" s="1"/>
      <c r="N82" s="5">
        <f t="shared" ref="N82:N88" si="55">IF(H82=0,0,L82/H82)</f>
        <v>7.843667590776867E-3</v>
      </c>
      <c r="O82" s="13"/>
      <c r="P82" s="1">
        <f>SUM(OSRRefP22_15x_0)</f>
        <v>2212.4</v>
      </c>
      <c r="Q82" s="1"/>
      <c r="R82" s="5">
        <f t="shared" ref="R82:R88" si="56">IF(P$12=0,0,P82/P$12)</f>
        <v>5.3362726988558313E-4</v>
      </c>
      <c r="S82" s="1"/>
      <c r="T82" s="1">
        <f>SUM(OSRRefT22_15x_0)</f>
        <v>2714.8</v>
      </c>
      <c r="U82" s="1"/>
      <c r="V82" s="5">
        <f t="shared" ref="V82:V88" si="57">IF(T$12=0,0,T82/T$12)</f>
        <v>6.5902713229123197E-4</v>
      </c>
      <c r="W82" s="1"/>
      <c r="X82" s="1">
        <f t="shared" ref="X82:X88" si="58">+P82-T82</f>
        <v>-502.40000000000009</v>
      </c>
      <c r="Y82" s="1"/>
      <c r="Z82" s="5">
        <f t="shared" ref="Z82:Z88" si="59">IF(T82=0,0,X82/T82)</f>
        <v>-0.18505967290408135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6">
        <v>745.25</v>
      </c>
      <c r="E83" s="2"/>
      <c r="F83" s="7">
        <f t="shared" si="52"/>
        <v>4.460846686239164E-4</v>
      </c>
      <c r="G83" s="2"/>
      <c r="H83" s="6">
        <v>739.45</v>
      </c>
      <c r="I83" s="2"/>
      <c r="J83" s="7">
        <f t="shared" si="53"/>
        <v>4.4781772810126947E-4</v>
      </c>
      <c r="K83" s="2"/>
      <c r="L83" s="6">
        <f t="shared" si="54"/>
        <v>5.7999999999999545</v>
      </c>
      <c r="M83" s="2"/>
      <c r="N83" s="7">
        <f t="shared" si="55"/>
        <v>7.843667590776867E-3</v>
      </c>
      <c r="O83" s="11"/>
      <c r="P83" s="6">
        <v>2212.4</v>
      </c>
      <c r="Q83" s="2"/>
      <c r="R83" s="7">
        <f t="shared" si="56"/>
        <v>5.3362726988558313E-4</v>
      </c>
      <c r="S83" s="2"/>
      <c r="T83" s="6">
        <v>2714.8</v>
      </c>
      <c r="U83" s="2"/>
      <c r="V83" s="7">
        <f t="shared" si="57"/>
        <v>6.5902713229123197E-4</v>
      </c>
      <c r="W83" s="2"/>
      <c r="X83" s="6">
        <f t="shared" si="58"/>
        <v>-502.40000000000009</v>
      </c>
      <c r="Y83" s="2"/>
      <c r="Z83" s="7">
        <f t="shared" si="59"/>
        <v>-0.18505967290408135</v>
      </c>
    </row>
    <row r="84" spans="1:26" s="27" customFormat="1" outlineLevel="1" collapsed="1" x14ac:dyDescent="0.25">
      <c r="A84" s="25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SUM(OSRRefD22_16x_0)</f>
        <v>144</v>
      </c>
      <c r="E84" s="1"/>
      <c r="F84" s="5">
        <f t="shared" si="52"/>
        <v>8.6194152676073751E-5</v>
      </c>
      <c r="G84" s="1"/>
      <c r="H84" s="1">
        <f>SUM(OSRRefH22_16x_0)</f>
        <v>309.57</v>
      </c>
      <c r="I84" s="1"/>
      <c r="J84" s="5">
        <f t="shared" si="53"/>
        <v>1.8747844220476029E-4</v>
      </c>
      <c r="K84" s="1"/>
      <c r="L84" s="1">
        <f t="shared" si="54"/>
        <v>-165.57</v>
      </c>
      <c r="M84" s="1"/>
      <c r="N84" s="5">
        <f t="shared" si="55"/>
        <v>-0.53483864715573215</v>
      </c>
      <c r="O84" s="13"/>
      <c r="P84" s="1">
        <f>SUM(OSRRefP22_16x_0)</f>
        <v>3732.27</v>
      </c>
      <c r="Q84" s="1"/>
      <c r="R84" s="5">
        <f t="shared" si="56"/>
        <v>9.0021743381660886E-4</v>
      </c>
      <c r="S84" s="1"/>
      <c r="T84" s="1">
        <f>SUM(OSRRefT22_16x_0)</f>
        <v>6007.46</v>
      </c>
      <c r="U84" s="1"/>
      <c r="V84" s="5">
        <f t="shared" si="57"/>
        <v>1.4583317872971433E-3</v>
      </c>
      <c r="W84" s="1"/>
      <c r="X84" s="1">
        <f t="shared" si="58"/>
        <v>-2275.19</v>
      </c>
      <c r="Y84" s="1"/>
      <c r="Z84" s="5">
        <f t="shared" si="59"/>
        <v>-0.37872744887190263</v>
      </c>
    </row>
    <row r="85" spans="1:26" s="24" customFormat="1" hidden="1" outlineLevel="2" x14ac:dyDescent="0.25">
      <c r="A85" s="26"/>
      <c r="B85" s="11" t="str">
        <f>CONCATENATE("          ", "6376", " - ", "TRAINING")</f>
        <v xml:space="preserve">          6376 - TRAINING</v>
      </c>
      <c r="C85" s="11"/>
      <c r="D85" s="6">
        <v>144</v>
      </c>
      <c r="E85" s="2"/>
      <c r="F85" s="7">
        <f t="shared" si="52"/>
        <v>8.6194152676073751E-5</v>
      </c>
      <c r="G85" s="2"/>
      <c r="H85" s="6">
        <v>309.57</v>
      </c>
      <c r="I85" s="2"/>
      <c r="J85" s="7">
        <f t="shared" si="53"/>
        <v>1.8747844220476029E-4</v>
      </c>
      <c r="K85" s="2"/>
      <c r="L85" s="6">
        <f t="shared" si="54"/>
        <v>-165.57</v>
      </c>
      <c r="M85" s="2"/>
      <c r="N85" s="7">
        <f t="shared" si="55"/>
        <v>-0.53483864715573215</v>
      </c>
      <c r="O85" s="11"/>
      <c r="P85" s="6">
        <v>3732.27</v>
      </c>
      <c r="Q85" s="2"/>
      <c r="R85" s="7">
        <f t="shared" si="56"/>
        <v>9.0021743381660886E-4</v>
      </c>
      <c r="S85" s="2"/>
      <c r="T85" s="6">
        <v>6007.46</v>
      </c>
      <c r="U85" s="2"/>
      <c r="V85" s="7">
        <f t="shared" si="57"/>
        <v>1.4583317872971433E-3</v>
      </c>
      <c r="W85" s="2"/>
      <c r="X85" s="6">
        <f t="shared" si="58"/>
        <v>-2275.19</v>
      </c>
      <c r="Y85" s="2"/>
      <c r="Z85" s="7">
        <f t="shared" si="59"/>
        <v>-0.37872744887190263</v>
      </c>
    </row>
    <row r="86" spans="1:26" s="27" customFormat="1" outlineLevel="1" collapsed="1" x14ac:dyDescent="0.25">
      <c r="A86" s="25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SUM(OSRRefD22_17x_0)</f>
        <v>291.26</v>
      </c>
      <c r="E86" s="1"/>
      <c r="F86" s="5">
        <f t="shared" si="52"/>
        <v>1.7433964519745305E-4</v>
      </c>
      <c r="G86" s="1"/>
      <c r="H86" s="1">
        <f>SUM(OSRRefH22_17x_0)</f>
        <v>120.9</v>
      </c>
      <c r="I86" s="1"/>
      <c r="J86" s="5">
        <f t="shared" si="53"/>
        <v>7.3218153123867037E-5</v>
      </c>
      <c r="K86" s="1"/>
      <c r="L86" s="1">
        <f t="shared" si="54"/>
        <v>170.35999999999999</v>
      </c>
      <c r="M86" s="1"/>
      <c r="N86" s="5">
        <f t="shared" si="55"/>
        <v>1.409098428453267</v>
      </c>
      <c r="O86" s="13"/>
      <c r="P86" s="1">
        <f>SUM(OSRRefP22_17x_0)</f>
        <v>1979.67</v>
      </c>
      <c r="Q86" s="1"/>
      <c r="R86" s="5">
        <f t="shared" si="56"/>
        <v>4.774931736459919E-4</v>
      </c>
      <c r="S86" s="1"/>
      <c r="T86" s="1">
        <f>SUM(OSRRefT22_17x_0)</f>
        <v>1385.23</v>
      </c>
      <c r="U86" s="1"/>
      <c r="V86" s="5">
        <f t="shared" si="57"/>
        <v>3.3626939533806663E-4</v>
      </c>
      <c r="W86" s="1"/>
      <c r="X86" s="1">
        <f t="shared" si="58"/>
        <v>594.44000000000005</v>
      </c>
      <c r="Y86" s="1"/>
      <c r="Z86" s="5">
        <f t="shared" si="59"/>
        <v>0.42912729294052254</v>
      </c>
    </row>
    <row r="87" spans="1:26" s="24" customFormat="1" hidden="1" outlineLevel="2" x14ac:dyDescent="0.25">
      <c r="A87" s="26"/>
      <c r="B87" s="11" t="str">
        <f>CONCATENATE("          ", "6292", " - ", "TRAVEL/CONFERENCE")</f>
        <v xml:space="preserve">          6292 - TRAVEL/CONFERENCE</v>
      </c>
      <c r="C87" s="11"/>
      <c r="D87" s="6">
        <v>291.26</v>
      </c>
      <c r="E87" s="2"/>
      <c r="F87" s="7">
        <f t="shared" si="52"/>
        <v>1.7433964519745305E-4</v>
      </c>
      <c r="G87" s="2"/>
      <c r="H87" s="6"/>
      <c r="I87" s="2"/>
      <c r="J87" s="7">
        <f t="shared" si="53"/>
        <v>0</v>
      </c>
      <c r="K87" s="2"/>
      <c r="L87" s="6">
        <f t="shared" si="54"/>
        <v>291.26</v>
      </c>
      <c r="M87" s="2"/>
      <c r="N87" s="7">
        <f t="shared" si="55"/>
        <v>0</v>
      </c>
      <c r="O87" s="11"/>
      <c r="P87" s="6">
        <v>1979.67</v>
      </c>
      <c r="Q87" s="2"/>
      <c r="R87" s="7">
        <f t="shared" si="56"/>
        <v>4.774931736459919E-4</v>
      </c>
      <c r="S87" s="2"/>
      <c r="T87" s="6">
        <v>987.5</v>
      </c>
      <c r="U87" s="2"/>
      <c r="V87" s="7">
        <f t="shared" si="57"/>
        <v>2.3971905596640325E-4</v>
      </c>
      <c r="W87" s="2"/>
      <c r="X87" s="6">
        <f t="shared" si="58"/>
        <v>992.17000000000007</v>
      </c>
      <c r="Y87" s="2"/>
      <c r="Z87" s="7">
        <f t="shared" si="59"/>
        <v>1.0047291139240506</v>
      </c>
    </row>
    <row r="88" spans="1:26" s="24" customFormat="1" hidden="1" outlineLevel="2" x14ac:dyDescent="0.25">
      <c r="A88" s="26"/>
      <c r="B88" s="11" t="str">
        <f>CONCATENATE("          ", "6294", " - ", "TRAVEL OPERATIONAL")</f>
        <v xml:space="preserve">          6294 - TRAVEL OPERATIONAL</v>
      </c>
      <c r="C88" s="11"/>
      <c r="D88" s="6"/>
      <c r="E88" s="2"/>
      <c r="F88" s="7">
        <f t="shared" si="52"/>
        <v>0</v>
      </c>
      <c r="G88" s="2"/>
      <c r="H88" s="6">
        <v>120.9</v>
      </c>
      <c r="I88" s="2"/>
      <c r="J88" s="7">
        <f t="shared" si="53"/>
        <v>7.3218153123867037E-5</v>
      </c>
      <c r="K88" s="2"/>
      <c r="L88" s="6">
        <f t="shared" si="54"/>
        <v>-120.9</v>
      </c>
      <c r="M88" s="2"/>
      <c r="N88" s="7">
        <f t="shared" si="55"/>
        <v>-1</v>
      </c>
      <c r="O88" s="11"/>
      <c r="P88" s="6"/>
      <c r="Q88" s="2"/>
      <c r="R88" s="7">
        <f t="shared" si="56"/>
        <v>0</v>
      </c>
      <c r="S88" s="2"/>
      <c r="T88" s="6">
        <v>397.73</v>
      </c>
      <c r="U88" s="2"/>
      <c r="V88" s="7">
        <f t="shared" si="57"/>
        <v>9.6550339371663369E-5</v>
      </c>
      <c r="W88" s="2"/>
      <c r="X88" s="6">
        <f t="shared" si="58"/>
        <v>-397.73</v>
      </c>
      <c r="Y88" s="2"/>
      <c r="Z88" s="7">
        <f t="shared" si="59"/>
        <v>-1</v>
      </c>
    </row>
    <row r="89" spans="1:26" s="55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1">
        <f>+D24-D26+D90</f>
        <v>598942.00999999966</v>
      </c>
      <c r="E92" s="14"/>
      <c r="F92" s="22">
        <f>IF(D$12=0,0,D92/D$12)</f>
        <v>0.35850902120871153</v>
      </c>
      <c r="G92" s="14"/>
      <c r="H92" s="21">
        <f>+H24-H26+H90</f>
        <v>600678.35000000021</v>
      </c>
      <c r="I92" s="14"/>
      <c r="J92" s="22">
        <f>IF(H$12=0,0,H92/H$12)</f>
        <v>0.36377633919348062</v>
      </c>
      <c r="K92" s="16"/>
      <c r="L92" s="21">
        <f>+D92-H92</f>
        <v>-1736.3400000005495</v>
      </c>
      <c r="M92" s="16"/>
      <c r="N92" s="22">
        <f>IF(H92=0,0,L92/H92)</f>
        <v>-2.890631899752253E-3</v>
      </c>
      <c r="O92" s="29"/>
      <c r="P92" s="21">
        <f>+P24-P26+P90</f>
        <v>1120511.2100000009</v>
      </c>
      <c r="Q92" s="14"/>
      <c r="R92" s="22">
        <f>IF(P$12=0,0,P92/P$12)</f>
        <v>0.27026547544227619</v>
      </c>
      <c r="S92" s="14"/>
      <c r="T92" s="21">
        <f>+T24-T26+T90</f>
        <v>1259975.3200000008</v>
      </c>
      <c r="U92" s="14"/>
      <c r="V92" s="22">
        <f>IF(T$12=0,0,T92/T$12)</f>
        <v>0.3058633865836628</v>
      </c>
      <c r="W92" s="16"/>
      <c r="X92" s="21">
        <f>+P92-T92</f>
        <v>-139464.10999999987</v>
      </c>
      <c r="Y92" s="16"/>
      <c r="Z92" s="22">
        <f>IF(T92=0,0,X92/T92)</f>
        <v>-0.11068796966594535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>
        <v>151461.47999999998</v>
      </c>
      <c r="E94" s="4"/>
      <c r="F94" s="12">
        <f>IF(D$12=0,0,D94/D$12)</f>
        <v>9.0660374525445064E-2</v>
      </c>
      <c r="G94" s="4"/>
      <c r="H94" s="4">
        <v>159035.04</v>
      </c>
      <c r="I94" s="4"/>
      <c r="J94" s="12">
        <f>IF(H$12=0,0,H94/H$12)</f>
        <v>9.6313084456412901E-2</v>
      </c>
      <c r="K94" s="4"/>
      <c r="L94" s="4">
        <f>+D94-H94</f>
        <v>-7573.5600000000268</v>
      </c>
      <c r="M94" s="4"/>
      <c r="N94" s="12">
        <f>IF(H94=0,0,L94/H94)</f>
        <v>-4.7621958028872292E-2</v>
      </c>
      <c r="O94" s="10"/>
      <c r="P94" s="4">
        <v>417343.43</v>
      </c>
      <c r="Q94" s="4"/>
      <c r="R94" s="12">
        <f>IF(P$12=0,0,P94/P$12)</f>
        <v>0.10066255431006373</v>
      </c>
      <c r="S94" s="4"/>
      <c r="T94" s="4">
        <v>378325.31</v>
      </c>
      <c r="U94" s="4"/>
      <c r="V94" s="12">
        <f>IF(T$12=0,0,T94/T$12)</f>
        <v>9.1839783454579105E-2</v>
      </c>
      <c r="W94" s="4"/>
      <c r="X94" s="4">
        <f>+P94-T94</f>
        <v>39018.119999999995</v>
      </c>
      <c r="Y94" s="4"/>
      <c r="Z94" s="12">
        <f>IF(T94=0,0,X94/T94)</f>
        <v>0.10313378187676631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1">
        <f>+D92-D94</f>
        <v>447480.52999999968</v>
      </c>
      <c r="E96" s="14"/>
      <c r="F96" s="34">
        <f>IF(D$12=0,0,D96/D$12)</f>
        <v>0.26784864668326647</v>
      </c>
      <c r="G96" s="14"/>
      <c r="H96" s="31">
        <f>+H92-H94</f>
        <v>441643.31000000017</v>
      </c>
      <c r="I96" s="14"/>
      <c r="J96" s="34">
        <f>IF(H$12=0,0,H96/H$12)</f>
        <v>0.26746325473706772</v>
      </c>
      <c r="K96" s="16"/>
      <c r="L96" s="31">
        <f>D96-H96</f>
        <v>5837.2199999995064</v>
      </c>
      <c r="M96" s="16"/>
      <c r="N96" s="34">
        <f>IF(H96=0,0,L96/H96)</f>
        <v>1.3217046127109916E-2</v>
      </c>
      <c r="O96" s="29"/>
      <c r="P96" s="31">
        <f>+P92-P94</f>
        <v>703167.78000000096</v>
      </c>
      <c r="Q96" s="14"/>
      <c r="R96" s="34">
        <f>IF(P$12=0,0,P96/P$12)</f>
        <v>0.16960292113221248</v>
      </c>
      <c r="S96" s="14"/>
      <c r="T96" s="31">
        <f>+T92-T94</f>
        <v>881650.01000000071</v>
      </c>
      <c r="U96" s="14"/>
      <c r="V96" s="34">
        <f>IF(T$12=0,0,T96/T$12)</f>
        <v>0.21402360312908369</v>
      </c>
      <c r="W96" s="16"/>
      <c r="X96" s="31">
        <f>P96-T96</f>
        <v>-178482.22999999975</v>
      </c>
      <c r="Y96" s="16"/>
      <c r="Z96" s="34">
        <f>IF(T96=0,0,X96/T96)</f>
        <v>-0.20244113647772727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6">
        <f>SUM(D96:D98)</f>
        <v>447480.52999999968</v>
      </c>
      <c r="E99" s="14"/>
      <c r="F99" s="33">
        <f>IF(D$12=0,0,D99/D$12)</f>
        <v>0.26784864668326647</v>
      </c>
      <c r="G99" s="14"/>
      <c r="H99" s="36">
        <f>SUM(H96:H98)</f>
        <v>441643.31000000017</v>
      </c>
      <c r="I99" s="14"/>
      <c r="J99" s="33">
        <f>IF(H$12=0,0,H99/H$12)</f>
        <v>0.26746325473706772</v>
      </c>
      <c r="K99" s="16"/>
      <c r="L99" s="36">
        <f>+D99-H99</f>
        <v>5837.2199999995064</v>
      </c>
      <c r="M99" s="16"/>
      <c r="N99" s="33">
        <f>IF(H99=0,0,L99/H99)</f>
        <v>1.3217046127109916E-2</v>
      </c>
      <c r="O99" s="29"/>
      <c r="P99" s="36">
        <f>SUM(P96:P98)</f>
        <v>703167.78000000096</v>
      </c>
      <c r="Q99" s="14"/>
      <c r="R99" s="33">
        <f>IF(P$12=0,0,P99/P$12)</f>
        <v>0.16960292113221248</v>
      </c>
      <c r="S99" s="14"/>
      <c r="T99" s="36">
        <f>SUM(T96:T98)</f>
        <v>881650.01000000071</v>
      </c>
      <c r="U99" s="14"/>
      <c r="V99" s="33">
        <f>IF(T$12=0,0,T99/T$12)</f>
        <v>0.21402360312908369</v>
      </c>
      <c r="W99" s="16"/>
      <c r="X99" s="36">
        <f>+P99-T99</f>
        <v>-178482.22999999975</v>
      </c>
      <c r="Y99" s="16"/>
      <c r="Z99" s="33">
        <f>IF(T99=0,0,X99/T99)</f>
        <v>-0.20244113647772727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61">
        <v>43791.35496971065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6" t="s">
        <v>313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7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","430", " - ", "Res Hall Management")</f>
        <v>Department 430 - Res Hall Management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16308.98</v>
      </c>
      <c r="E18" s="20"/>
      <c r="F18" s="35">
        <f t="shared" ref="F18:F27" si="0">IF(D$12=0,0,D18/D$12)</f>
        <v>0</v>
      </c>
      <c r="G18" s="20"/>
      <c r="H18" s="20">
        <f>SUM(OSRRefH22x_0)</f>
        <v>17712.900000000001</v>
      </c>
      <c r="I18" s="20"/>
      <c r="J18" s="35">
        <f t="shared" ref="J18:J27" si="1">IF(H$12=0,0,H18/H$12)</f>
        <v>0</v>
      </c>
      <c r="K18" s="4"/>
      <c r="L18" s="20">
        <f t="shared" ref="L18:L27" si="2">+D18-H18</f>
        <v>-1403.9200000000019</v>
      </c>
      <c r="M18" s="4"/>
      <c r="N18" s="35">
        <f t="shared" ref="N18:N27" si="3">IF(H18=0,0,L18/H18)</f>
        <v>-7.9259748544845951E-2</v>
      </c>
      <c r="O18" s="10"/>
      <c r="P18" s="20">
        <f>SUM(OSRRefP22x_0)</f>
        <v>64008.999999999993</v>
      </c>
      <c r="Q18" s="20"/>
      <c r="R18" s="35">
        <f t="shared" ref="R18:R27" si="4">IF(P$12=0,0,P18/P$12)</f>
        <v>0</v>
      </c>
      <c r="S18" s="20"/>
      <c r="T18" s="20">
        <f>SUM(OSRRefT22x_0)</f>
        <v>61454.99</v>
      </c>
      <c r="U18" s="20"/>
      <c r="V18" s="35">
        <f t="shared" ref="V18:V27" si="5">IF(T$12=0,0,T18/T$12)</f>
        <v>0</v>
      </c>
      <c r="W18" s="4"/>
      <c r="X18" s="20">
        <f t="shared" ref="X18:X27" si="6">+P18-T18</f>
        <v>2554.0099999999948</v>
      </c>
      <c r="Y18" s="4"/>
      <c r="Z18" s="35">
        <f t="shared" ref="Z18:Z27" si="7">IF(T18=0,0,X18/T18)</f>
        <v>4.1559033692788738E-2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7141.42</v>
      </c>
      <c r="E19" s="1"/>
      <c r="F19" s="5">
        <f t="shared" si="0"/>
        <v>0</v>
      </c>
      <c r="G19" s="1"/>
      <c r="H19" s="1">
        <f>SUM(OSRRefH22_0x_0)</f>
        <v>7193.03</v>
      </c>
      <c r="I19" s="1"/>
      <c r="J19" s="5">
        <f t="shared" si="1"/>
        <v>0</v>
      </c>
      <c r="K19" s="1"/>
      <c r="L19" s="1">
        <f t="shared" si="2"/>
        <v>-51.609999999999673</v>
      </c>
      <c r="M19" s="1"/>
      <c r="N19" s="5">
        <f t="shared" si="3"/>
        <v>-7.1750013554788003E-3</v>
      </c>
      <c r="O19" s="13"/>
      <c r="P19" s="1">
        <f>SUM(OSRRefP22_0x_0)</f>
        <v>24301.05</v>
      </c>
      <c r="Q19" s="1"/>
      <c r="R19" s="5">
        <f t="shared" si="4"/>
        <v>0</v>
      </c>
      <c r="S19" s="1"/>
      <c r="T19" s="1">
        <f>SUM(OSRRefT22_0x_0)</f>
        <v>22057</v>
      </c>
      <c r="U19" s="1"/>
      <c r="V19" s="5">
        <f t="shared" si="5"/>
        <v>0</v>
      </c>
      <c r="W19" s="1"/>
      <c r="X19" s="1">
        <f t="shared" si="6"/>
        <v>2244.0499999999993</v>
      </c>
      <c r="Y19" s="1"/>
      <c r="Z19" s="5">
        <f t="shared" si="7"/>
        <v>0.10173867706397059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1785.17</v>
      </c>
      <c r="E20" s="2"/>
      <c r="F20" s="7">
        <f t="shared" si="0"/>
        <v>0</v>
      </c>
      <c r="G20" s="2"/>
      <c r="H20" s="6">
        <v>1733.17</v>
      </c>
      <c r="I20" s="2"/>
      <c r="J20" s="7">
        <f t="shared" si="1"/>
        <v>0</v>
      </c>
      <c r="K20" s="2"/>
      <c r="L20" s="6">
        <f t="shared" si="2"/>
        <v>52</v>
      </c>
      <c r="M20" s="2"/>
      <c r="N20" s="7">
        <f t="shared" si="3"/>
        <v>3.0002827189485163E-2</v>
      </c>
      <c r="O20" s="11"/>
      <c r="P20" s="6">
        <v>3654.47</v>
      </c>
      <c r="Q20" s="2"/>
      <c r="R20" s="7">
        <f t="shared" si="4"/>
        <v>0</v>
      </c>
      <c r="S20" s="2"/>
      <c r="T20" s="6">
        <v>3547.99</v>
      </c>
      <c r="U20" s="2"/>
      <c r="V20" s="7">
        <f t="shared" si="5"/>
        <v>0</v>
      </c>
      <c r="W20" s="2"/>
      <c r="X20" s="6">
        <f t="shared" si="6"/>
        <v>106.48000000000002</v>
      </c>
      <c r="Y20" s="2"/>
      <c r="Z20" s="7">
        <f t="shared" si="7"/>
        <v>3.0011358543851598E-2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164.59</v>
      </c>
      <c r="E21" s="2"/>
      <c r="F21" s="7">
        <f t="shared" si="0"/>
        <v>0</v>
      </c>
      <c r="G21" s="2"/>
      <c r="H21" s="6">
        <v>931.34</v>
      </c>
      <c r="I21" s="2"/>
      <c r="J21" s="7">
        <f t="shared" si="1"/>
        <v>0</v>
      </c>
      <c r="K21" s="2"/>
      <c r="L21" s="6">
        <f t="shared" si="2"/>
        <v>-766.75</v>
      </c>
      <c r="M21" s="2"/>
      <c r="N21" s="7">
        <f t="shared" si="3"/>
        <v>-0.82327613975562086</v>
      </c>
      <c r="O21" s="11"/>
      <c r="P21" s="6">
        <v>1112.68</v>
      </c>
      <c r="Q21" s="2"/>
      <c r="R21" s="7">
        <f t="shared" si="4"/>
        <v>0</v>
      </c>
      <c r="S21" s="2"/>
      <c r="T21" s="6">
        <v>1619.24</v>
      </c>
      <c r="U21" s="2"/>
      <c r="V21" s="7">
        <f t="shared" si="5"/>
        <v>0</v>
      </c>
      <c r="W21" s="2"/>
      <c r="X21" s="6">
        <f t="shared" si="6"/>
        <v>-506.55999999999995</v>
      </c>
      <c r="Y21" s="2"/>
      <c r="Z21" s="7">
        <f t="shared" si="7"/>
        <v>-0.31283812158790542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2730.6</v>
      </c>
      <c r="E22" s="2"/>
      <c r="F22" s="7">
        <f t="shared" si="0"/>
        <v>0</v>
      </c>
      <c r="G22" s="2"/>
      <c r="H22" s="6">
        <v>2797.72</v>
      </c>
      <c r="I22" s="2"/>
      <c r="J22" s="7">
        <f t="shared" si="1"/>
        <v>0</v>
      </c>
      <c r="K22" s="2"/>
      <c r="L22" s="6">
        <f t="shared" si="2"/>
        <v>-67.119999999999891</v>
      </c>
      <c r="M22" s="2"/>
      <c r="N22" s="7">
        <f t="shared" si="3"/>
        <v>-2.3990964070743283E-2</v>
      </c>
      <c r="O22" s="11"/>
      <c r="P22" s="6">
        <v>10922.4</v>
      </c>
      <c r="Q22" s="2"/>
      <c r="R22" s="7">
        <f t="shared" si="4"/>
        <v>0</v>
      </c>
      <c r="S22" s="2"/>
      <c r="T22" s="6">
        <v>9443.43</v>
      </c>
      <c r="U22" s="2"/>
      <c r="V22" s="7">
        <f t="shared" si="5"/>
        <v>0</v>
      </c>
      <c r="W22" s="2"/>
      <c r="X22" s="6">
        <f t="shared" si="6"/>
        <v>1478.9699999999993</v>
      </c>
      <c r="Y22" s="2"/>
      <c r="Z22" s="7">
        <f t="shared" si="7"/>
        <v>0.15661364567747094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50.08</v>
      </c>
      <c r="E23" s="2"/>
      <c r="F23" s="7">
        <f t="shared" si="0"/>
        <v>0</v>
      </c>
      <c r="G23" s="2"/>
      <c r="H23" s="6">
        <v>48.63</v>
      </c>
      <c r="I23" s="2"/>
      <c r="J23" s="7">
        <f t="shared" si="1"/>
        <v>0</v>
      </c>
      <c r="K23" s="2"/>
      <c r="L23" s="6">
        <f t="shared" si="2"/>
        <v>1.4499999999999957</v>
      </c>
      <c r="M23" s="2"/>
      <c r="N23" s="7">
        <f t="shared" si="3"/>
        <v>2.9816985399958786E-2</v>
      </c>
      <c r="O23" s="11"/>
      <c r="P23" s="6">
        <v>113.62</v>
      </c>
      <c r="Q23" s="2"/>
      <c r="R23" s="7">
        <f t="shared" si="4"/>
        <v>0</v>
      </c>
      <c r="S23" s="2"/>
      <c r="T23" s="6">
        <v>120.29</v>
      </c>
      <c r="U23" s="2"/>
      <c r="V23" s="7">
        <f t="shared" si="5"/>
        <v>0</v>
      </c>
      <c r="W23" s="2"/>
      <c r="X23" s="6">
        <f t="shared" si="6"/>
        <v>-6.6700000000000017</v>
      </c>
      <c r="Y23" s="2"/>
      <c r="Z23" s="7">
        <f t="shared" si="7"/>
        <v>-5.5449330783938829E-2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568.92999999999995</v>
      </c>
      <c r="E24" s="2"/>
      <c r="F24" s="7">
        <f t="shared" si="0"/>
        <v>0</v>
      </c>
      <c r="G24" s="2"/>
      <c r="H24" s="6">
        <v>541.04999999999995</v>
      </c>
      <c r="I24" s="2"/>
      <c r="J24" s="7">
        <f t="shared" si="1"/>
        <v>0</v>
      </c>
      <c r="K24" s="2"/>
      <c r="L24" s="6">
        <f t="shared" si="2"/>
        <v>27.879999999999995</v>
      </c>
      <c r="M24" s="2"/>
      <c r="N24" s="7">
        <f t="shared" si="3"/>
        <v>5.1529433508917838E-2</v>
      </c>
      <c r="O24" s="11"/>
      <c r="P24" s="6">
        <v>2275.7199999999998</v>
      </c>
      <c r="Q24" s="2"/>
      <c r="R24" s="7">
        <f t="shared" si="4"/>
        <v>0</v>
      </c>
      <c r="S24" s="2"/>
      <c r="T24" s="6">
        <v>2426.85</v>
      </c>
      <c r="U24" s="2"/>
      <c r="V24" s="7">
        <f t="shared" si="5"/>
        <v>0</v>
      </c>
      <c r="W24" s="2"/>
      <c r="X24" s="6">
        <f t="shared" si="6"/>
        <v>-151.13000000000011</v>
      </c>
      <c r="Y24" s="2"/>
      <c r="Z24" s="7">
        <f t="shared" si="7"/>
        <v>-6.2274141376681753E-2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1128.5999999999999</v>
      </c>
      <c r="E25" s="2"/>
      <c r="F25" s="7">
        <f t="shared" si="0"/>
        <v>0</v>
      </c>
      <c r="G25" s="2"/>
      <c r="H25" s="6">
        <v>485.83</v>
      </c>
      <c r="I25" s="2"/>
      <c r="J25" s="7">
        <f t="shared" si="1"/>
        <v>0</v>
      </c>
      <c r="K25" s="2"/>
      <c r="L25" s="6">
        <f t="shared" si="2"/>
        <v>642.77</v>
      </c>
      <c r="M25" s="2"/>
      <c r="N25" s="7">
        <f t="shared" si="3"/>
        <v>1.323034806413766</v>
      </c>
      <c r="O25" s="11"/>
      <c r="P25" s="6">
        <v>3726.25</v>
      </c>
      <c r="Q25" s="2"/>
      <c r="R25" s="7">
        <f t="shared" si="4"/>
        <v>0</v>
      </c>
      <c r="S25" s="2"/>
      <c r="T25" s="6">
        <v>2499.56</v>
      </c>
      <c r="U25" s="2"/>
      <c r="V25" s="7">
        <f t="shared" si="5"/>
        <v>0</v>
      </c>
      <c r="W25" s="2"/>
      <c r="X25" s="6">
        <f t="shared" si="6"/>
        <v>1226.69</v>
      </c>
      <c r="Y25" s="2"/>
      <c r="Z25" s="7">
        <f t="shared" si="7"/>
        <v>0.49076237417785534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563.52</v>
      </c>
      <c r="E26" s="2"/>
      <c r="F26" s="7">
        <f t="shared" si="0"/>
        <v>0</v>
      </c>
      <c r="G26" s="2"/>
      <c r="H26" s="6">
        <v>547.11</v>
      </c>
      <c r="I26" s="2"/>
      <c r="J26" s="7">
        <f t="shared" si="1"/>
        <v>0</v>
      </c>
      <c r="K26" s="2"/>
      <c r="L26" s="6">
        <f t="shared" si="2"/>
        <v>16.409999999999968</v>
      </c>
      <c r="M26" s="2"/>
      <c r="N26" s="7">
        <f t="shared" si="3"/>
        <v>2.9993968306190652E-2</v>
      </c>
      <c r="O26" s="11"/>
      <c r="P26" s="6">
        <v>1921.06</v>
      </c>
      <c r="Q26" s="2"/>
      <c r="R26" s="7">
        <f t="shared" si="4"/>
        <v>0</v>
      </c>
      <c r="S26" s="2"/>
      <c r="T26" s="6">
        <v>1761.55</v>
      </c>
      <c r="U26" s="2"/>
      <c r="V26" s="7">
        <f t="shared" si="5"/>
        <v>0</v>
      </c>
      <c r="W26" s="2"/>
      <c r="X26" s="6">
        <f t="shared" si="6"/>
        <v>159.51</v>
      </c>
      <c r="Y26" s="2"/>
      <c r="Z26" s="7">
        <f t="shared" si="7"/>
        <v>9.0550935255882606E-2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149.93</v>
      </c>
      <c r="E27" s="2"/>
      <c r="F27" s="7">
        <f t="shared" si="0"/>
        <v>0</v>
      </c>
      <c r="G27" s="2"/>
      <c r="H27" s="6">
        <v>108.18</v>
      </c>
      <c r="I27" s="2"/>
      <c r="J27" s="7">
        <f t="shared" si="1"/>
        <v>0</v>
      </c>
      <c r="K27" s="2"/>
      <c r="L27" s="6">
        <f t="shared" si="2"/>
        <v>41.75</v>
      </c>
      <c r="M27" s="2"/>
      <c r="N27" s="7">
        <f t="shared" si="3"/>
        <v>0.38593085598077276</v>
      </c>
      <c r="O27" s="11"/>
      <c r="P27" s="6">
        <v>574.85</v>
      </c>
      <c r="Q27" s="2"/>
      <c r="R27" s="7">
        <f t="shared" si="4"/>
        <v>0</v>
      </c>
      <c r="S27" s="2"/>
      <c r="T27" s="6">
        <v>638.09</v>
      </c>
      <c r="U27" s="2"/>
      <c r="V27" s="7">
        <f t="shared" si="5"/>
        <v>0</v>
      </c>
      <c r="W27" s="2"/>
      <c r="X27" s="6">
        <f t="shared" si="6"/>
        <v>-63.240000000000009</v>
      </c>
      <c r="Y27" s="2"/>
      <c r="Z27" s="7">
        <f t="shared" si="7"/>
        <v>-9.910827626196933E-2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8959.81</v>
      </c>
      <c r="E28" s="1"/>
      <c r="F28" s="5">
        <f t="shared" ref="F28:F40" si="8">IF(D$12=0,0,D28/D$12)</f>
        <v>0</v>
      </c>
      <c r="G28" s="1"/>
      <c r="H28" s="1">
        <f>SUM(OSRRefH22_1x_0)</f>
        <v>9489.31</v>
      </c>
      <c r="I28" s="1"/>
      <c r="J28" s="5">
        <f t="shared" ref="J28:J40" si="9">IF(H$12=0,0,H28/H$12)</f>
        <v>0</v>
      </c>
      <c r="K28" s="1"/>
      <c r="L28" s="1">
        <f t="shared" ref="L28:L40" si="10">+D28-H28</f>
        <v>-529.5</v>
      </c>
      <c r="M28" s="1"/>
      <c r="N28" s="5">
        <f t="shared" ref="N28:N40" si="11">IF(H28=0,0,L28/H28)</f>
        <v>-5.5799631374673191E-2</v>
      </c>
      <c r="O28" s="13"/>
      <c r="P28" s="1">
        <f>SUM(OSRRefP22_1x_0)</f>
        <v>30136.659999999996</v>
      </c>
      <c r="Q28" s="1"/>
      <c r="R28" s="5">
        <f t="shared" ref="R28:R40" si="12">IF(P$12=0,0,P28/P$12)</f>
        <v>0</v>
      </c>
      <c r="S28" s="1"/>
      <c r="T28" s="1">
        <f>SUM(OSRRefT22_1x_0)</f>
        <v>33608.15</v>
      </c>
      <c r="U28" s="1"/>
      <c r="V28" s="5">
        <f t="shared" ref="V28:V40" si="13">IF(T$12=0,0,T28/T$12)</f>
        <v>0</v>
      </c>
      <c r="W28" s="1"/>
      <c r="X28" s="1">
        <f t="shared" ref="X28:X40" si="14">+P28-T28</f>
        <v>-3471.4900000000052</v>
      </c>
      <c r="Y28" s="1"/>
      <c r="Z28" s="5">
        <f t="shared" ref="Z28:Z40" si="15">IF(T28=0,0,X28/T28)</f>
        <v>-0.10329310003674719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>
        <v>8959.81</v>
      </c>
      <c r="E29" s="2"/>
      <c r="F29" s="7">
        <f t="shared" si="8"/>
        <v>0</v>
      </c>
      <c r="G29" s="2"/>
      <c r="H29" s="6">
        <v>9489.31</v>
      </c>
      <c r="I29" s="2"/>
      <c r="J29" s="7">
        <f t="shared" si="9"/>
        <v>0</v>
      </c>
      <c r="K29" s="2"/>
      <c r="L29" s="6">
        <f t="shared" si="10"/>
        <v>-529.5</v>
      </c>
      <c r="M29" s="2"/>
      <c r="N29" s="7">
        <f t="shared" si="11"/>
        <v>-5.5799631374673191E-2</v>
      </c>
      <c r="O29" s="11"/>
      <c r="P29" s="6">
        <v>30136.659999999996</v>
      </c>
      <c r="Q29" s="2"/>
      <c r="R29" s="7">
        <f t="shared" si="12"/>
        <v>0</v>
      </c>
      <c r="S29" s="2"/>
      <c r="T29" s="6">
        <v>33608.15</v>
      </c>
      <c r="U29" s="2"/>
      <c r="V29" s="7">
        <f t="shared" si="13"/>
        <v>0</v>
      </c>
      <c r="W29" s="2"/>
      <c r="X29" s="6">
        <f t="shared" si="14"/>
        <v>-3471.4900000000052</v>
      </c>
      <c r="Y29" s="2"/>
      <c r="Z29" s="7">
        <f t="shared" si="15"/>
        <v>-0.10329310003674719</v>
      </c>
    </row>
    <row r="30" spans="1:26" s="27" customFormat="1" outlineLevel="1" collapsed="1" x14ac:dyDescent="0.25">
      <c r="A30" s="25"/>
      <c r="B30" s="13" t="str">
        <f>CONCATENATE("     ","Donations                                         ")</f>
        <v xml:space="preserve">     Donations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276</v>
      </c>
      <c r="I30" s="1"/>
      <c r="J30" s="5">
        <f t="shared" si="9"/>
        <v>0</v>
      </c>
      <c r="K30" s="1"/>
      <c r="L30" s="1">
        <f t="shared" si="10"/>
        <v>-276</v>
      </c>
      <c r="M30" s="1"/>
      <c r="N30" s="5">
        <f t="shared" si="11"/>
        <v>-1</v>
      </c>
      <c r="O30" s="13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276</v>
      </c>
      <c r="U30" s="1"/>
      <c r="V30" s="5">
        <f t="shared" si="13"/>
        <v>0</v>
      </c>
      <c r="W30" s="1"/>
      <c r="X30" s="1">
        <f t="shared" si="14"/>
        <v>-276</v>
      </c>
      <c r="Y30" s="1"/>
      <c r="Z30" s="5">
        <f t="shared" si="15"/>
        <v>-1</v>
      </c>
    </row>
    <row r="31" spans="1:26" s="24" customFormat="1" hidden="1" outlineLevel="2" x14ac:dyDescent="0.25">
      <c r="A31" s="26"/>
      <c r="B31" s="11" t="str">
        <f>CONCATENATE("          ", "6399", " - ", "DONATION-ON CAMPUS")</f>
        <v xml:space="preserve">          6399 - DONATION-ON CAMPUS</v>
      </c>
      <c r="C31" s="11"/>
      <c r="D31" s="6"/>
      <c r="E31" s="2"/>
      <c r="F31" s="7">
        <f t="shared" si="8"/>
        <v>0</v>
      </c>
      <c r="G31" s="2"/>
      <c r="H31" s="6">
        <v>276</v>
      </c>
      <c r="I31" s="2"/>
      <c r="J31" s="7">
        <f t="shared" si="9"/>
        <v>0</v>
      </c>
      <c r="K31" s="2"/>
      <c r="L31" s="6">
        <f t="shared" si="10"/>
        <v>-276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276</v>
      </c>
      <c r="U31" s="2"/>
      <c r="V31" s="7">
        <f t="shared" si="13"/>
        <v>0</v>
      </c>
      <c r="W31" s="2"/>
      <c r="X31" s="6">
        <f t="shared" si="14"/>
        <v>-276</v>
      </c>
      <c r="Y31" s="2"/>
      <c r="Z31" s="7">
        <f t="shared" si="15"/>
        <v>-1</v>
      </c>
    </row>
    <row r="32" spans="1:26" s="27" customFormat="1" outlineLevel="1" collapsed="1" x14ac:dyDescent="0.25">
      <c r="A32" s="25"/>
      <c r="B32" s="13" t="str">
        <f>CONCATENATE("     ","Employees' Appreciation                           ")</f>
        <v xml:space="preserve">     Employees' Appreciation                           </v>
      </c>
      <c r="C32" s="13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40.9</v>
      </c>
      <c r="U32" s="1"/>
      <c r="V32" s="5">
        <f t="shared" si="13"/>
        <v>0</v>
      </c>
      <c r="W32" s="1"/>
      <c r="X32" s="1">
        <f t="shared" si="14"/>
        <v>-40.9</v>
      </c>
      <c r="Y32" s="1"/>
      <c r="Z32" s="5">
        <f t="shared" si="15"/>
        <v>-1</v>
      </c>
    </row>
    <row r="33" spans="1:26" s="24" customFormat="1" hidden="1" outlineLevel="2" x14ac:dyDescent="0.25">
      <c r="A33" s="26"/>
      <c r="B33" s="11" t="str">
        <f>CONCATENATE("          ", "6277", " - ", "EMPLOYEE APPRECIATION")</f>
        <v xml:space="preserve">          6277 - EMPLOYEE APPRECIATION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40.9</v>
      </c>
      <c r="U33" s="2"/>
      <c r="V33" s="7">
        <f t="shared" si="13"/>
        <v>0</v>
      </c>
      <c r="W33" s="2"/>
      <c r="X33" s="6">
        <f t="shared" si="14"/>
        <v>-40.9</v>
      </c>
      <c r="Y33" s="2"/>
      <c r="Z33" s="7">
        <f t="shared" si="15"/>
        <v>-1</v>
      </c>
    </row>
    <row r="34" spans="1:26" s="27" customFormat="1" outlineLevel="1" collapsed="1" x14ac:dyDescent="0.25">
      <c r="A34" s="25"/>
      <c r="B34" s="13" t="str">
        <f>CONCATENATE("     ","General                                           ")</f>
        <v xml:space="preserve">     General                                           </v>
      </c>
      <c r="C34" s="13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0</v>
      </c>
      <c r="M34" s="1"/>
      <c r="N34" s="5">
        <f t="shared" si="11"/>
        <v>0</v>
      </c>
      <c r="O34" s="13"/>
      <c r="P34" s="1">
        <f>SUM(OSRRefP22_4x_0)</f>
        <v>127.55</v>
      </c>
      <c r="Q34" s="1"/>
      <c r="R34" s="5">
        <f t="shared" si="12"/>
        <v>0</v>
      </c>
      <c r="S34" s="1"/>
      <c r="T34" s="1">
        <f>SUM(OSRRefT22_4x_0)</f>
        <v>303.27</v>
      </c>
      <c r="U34" s="1"/>
      <c r="V34" s="5">
        <f t="shared" si="13"/>
        <v>0</v>
      </c>
      <c r="W34" s="1"/>
      <c r="X34" s="1">
        <f t="shared" si="14"/>
        <v>-175.71999999999997</v>
      </c>
      <c r="Y34" s="1"/>
      <c r="Z34" s="5">
        <f t="shared" si="15"/>
        <v>-0.57941768061463372</v>
      </c>
    </row>
    <row r="35" spans="1:26" s="24" customFormat="1" hidden="1" outlineLevel="2" x14ac:dyDescent="0.25">
      <c r="A35" s="26"/>
      <c r="B35" s="11" t="str">
        <f>CONCATENATE("          ", "6279", " - ", "GENERAL EXPENSE")</f>
        <v xml:space="preserve">          6279 - GENERAL EXPENSE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127.55</v>
      </c>
      <c r="Q35" s="2"/>
      <c r="R35" s="7">
        <f t="shared" si="12"/>
        <v>0</v>
      </c>
      <c r="S35" s="2"/>
      <c r="T35" s="6">
        <v>303.27</v>
      </c>
      <c r="U35" s="2"/>
      <c r="V35" s="7">
        <f t="shared" si="13"/>
        <v>0</v>
      </c>
      <c r="W35" s="2"/>
      <c r="X35" s="6">
        <f t="shared" si="14"/>
        <v>-175.71999999999997</v>
      </c>
      <c r="Y35" s="2"/>
      <c r="Z35" s="7">
        <f t="shared" si="15"/>
        <v>-0.57941768061463372</v>
      </c>
    </row>
    <row r="36" spans="1:26" s="27" customFormat="1" outlineLevel="1" collapsed="1" x14ac:dyDescent="0.25">
      <c r="A36" s="25"/>
      <c r="B36" s="13" t="str">
        <f>CONCATENATE("     ","Repair and Maintenance                            ")</f>
        <v xml:space="preserve">     Repair and Maintenance                            </v>
      </c>
      <c r="C36" s="13"/>
      <c r="D36" s="1">
        <f>SUM(OSRRefD22_5x_0)</f>
        <v>0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0</v>
      </c>
      <c r="M36" s="1"/>
      <c r="N36" s="5">
        <f t="shared" si="11"/>
        <v>0</v>
      </c>
      <c r="O36" s="13"/>
      <c r="P36" s="1">
        <f>SUM(OSRRefP22_5x_0)</f>
        <v>6340.43</v>
      </c>
      <c r="Q36" s="1"/>
      <c r="R36" s="5">
        <f t="shared" si="12"/>
        <v>0</v>
      </c>
      <c r="S36" s="1"/>
      <c r="T36" s="1">
        <f>SUM(OSRRefT22_5x_0)</f>
        <v>0</v>
      </c>
      <c r="U36" s="1"/>
      <c r="V36" s="5">
        <f t="shared" si="13"/>
        <v>0</v>
      </c>
      <c r="W36" s="1"/>
      <c r="X36" s="1">
        <f t="shared" si="14"/>
        <v>6340.43</v>
      </c>
      <c r="Y36" s="1"/>
      <c r="Z36" s="5">
        <f t="shared" si="15"/>
        <v>0</v>
      </c>
    </row>
    <row r="37" spans="1:26" s="24" customFormat="1" hidden="1" outlineLevel="2" x14ac:dyDescent="0.25">
      <c r="A37" s="26"/>
      <c r="B37" s="11" t="str">
        <f>CONCATENATE("          ", "6371", " - ", "COMPUTER SOFTWARE MAINTENANCE")</f>
        <v xml:space="preserve">          6371 - COMPUTER SOFTWARE MAINTENANCE</v>
      </c>
      <c r="C37" s="11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6340.43</v>
      </c>
      <c r="Q37" s="2"/>
      <c r="R37" s="7">
        <f t="shared" si="12"/>
        <v>0</v>
      </c>
      <c r="S37" s="2"/>
      <c r="T37" s="6"/>
      <c r="U37" s="2"/>
      <c r="V37" s="7">
        <f t="shared" si="13"/>
        <v>0</v>
      </c>
      <c r="W37" s="2"/>
      <c r="X37" s="6">
        <f t="shared" si="14"/>
        <v>6340.43</v>
      </c>
      <c r="Y37" s="2"/>
      <c r="Z37" s="7">
        <f t="shared" si="15"/>
        <v>0</v>
      </c>
    </row>
    <row r="38" spans="1:26" s="27" customFormat="1" outlineLevel="1" collapsed="1" x14ac:dyDescent="0.25">
      <c r="A38" s="25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SUM(OSRRefD22_6x_0)</f>
        <v>133.77000000000001</v>
      </c>
      <c r="E38" s="1"/>
      <c r="F38" s="5">
        <f t="shared" si="8"/>
        <v>0</v>
      </c>
      <c r="G38" s="1"/>
      <c r="H38" s="1">
        <f>SUM(OSRRefH22_6x_0)</f>
        <v>394.99</v>
      </c>
      <c r="I38" s="1"/>
      <c r="J38" s="5">
        <f t="shared" si="9"/>
        <v>0</v>
      </c>
      <c r="K38" s="1"/>
      <c r="L38" s="1">
        <f t="shared" si="10"/>
        <v>-261.22000000000003</v>
      </c>
      <c r="M38" s="1"/>
      <c r="N38" s="5">
        <f t="shared" si="11"/>
        <v>-0.66133319830881798</v>
      </c>
      <c r="O38" s="13"/>
      <c r="P38" s="1">
        <f>SUM(OSRRefP22_6x_0)</f>
        <v>2338.31</v>
      </c>
      <c r="Q38" s="1"/>
      <c r="R38" s="5">
        <f t="shared" si="12"/>
        <v>0</v>
      </c>
      <c r="S38" s="1"/>
      <c r="T38" s="1">
        <f>SUM(OSRRefT22_6x_0)</f>
        <v>1043.74</v>
      </c>
      <c r="U38" s="1"/>
      <c r="V38" s="5">
        <f t="shared" si="13"/>
        <v>0</v>
      </c>
      <c r="W38" s="1"/>
      <c r="X38" s="1">
        <f t="shared" si="14"/>
        <v>1294.57</v>
      </c>
      <c r="Y38" s="1"/>
      <c r="Z38" s="5">
        <f t="shared" si="15"/>
        <v>1.2403184701170789</v>
      </c>
    </row>
    <row r="39" spans="1:26" s="24" customFormat="1" hidden="1" outlineLevel="2" x14ac:dyDescent="0.25">
      <c r="A39" s="26"/>
      <c r="B39" s="11" t="str">
        <f>CONCATENATE("          ", "6241", " - ", "OFFICE EXPENSE")</f>
        <v xml:space="preserve">          6241 - OFFICE EXPENSE</v>
      </c>
      <c r="C39" s="11"/>
      <c r="D39" s="6">
        <v>133.77000000000001</v>
      </c>
      <c r="E39" s="2"/>
      <c r="F39" s="7">
        <f t="shared" si="8"/>
        <v>0</v>
      </c>
      <c r="G39" s="2"/>
      <c r="H39" s="6">
        <v>394.99</v>
      </c>
      <c r="I39" s="2"/>
      <c r="J39" s="7">
        <f t="shared" si="9"/>
        <v>0</v>
      </c>
      <c r="K39" s="2"/>
      <c r="L39" s="6">
        <f t="shared" si="10"/>
        <v>-261.22000000000003</v>
      </c>
      <c r="M39" s="2"/>
      <c r="N39" s="7">
        <f t="shared" si="11"/>
        <v>-0.66133319830881798</v>
      </c>
      <c r="O39" s="11"/>
      <c r="P39" s="6">
        <v>2338.31</v>
      </c>
      <c r="Q39" s="2"/>
      <c r="R39" s="7">
        <f t="shared" si="12"/>
        <v>0</v>
      </c>
      <c r="S39" s="2"/>
      <c r="T39" s="6">
        <v>736.95</v>
      </c>
      <c r="U39" s="2"/>
      <c r="V39" s="7">
        <f t="shared" si="13"/>
        <v>0</v>
      </c>
      <c r="W39" s="2"/>
      <c r="X39" s="6">
        <f t="shared" si="14"/>
        <v>1601.36</v>
      </c>
      <c r="Y39" s="2"/>
      <c r="Z39" s="7">
        <f t="shared" si="15"/>
        <v>2.1729561028563671</v>
      </c>
    </row>
    <row r="40" spans="1:26" s="24" customFormat="1" hidden="1" outlineLevel="2" x14ac:dyDescent="0.25">
      <c r="A40" s="26"/>
      <c r="B40" s="11" t="str">
        <f>CONCATENATE("          ", "6245", " - ", "PRINTING")</f>
        <v xml:space="preserve">          6245 - PRINTING</v>
      </c>
      <c r="C40" s="11"/>
      <c r="D40" s="6"/>
      <c r="E40" s="2"/>
      <c r="F40" s="7">
        <f t="shared" si="8"/>
        <v>0</v>
      </c>
      <c r="G40" s="2"/>
      <c r="H40" s="6"/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306.79000000000002</v>
      </c>
      <c r="U40" s="2"/>
      <c r="V40" s="7">
        <f t="shared" si="13"/>
        <v>0</v>
      </c>
      <c r="W40" s="2"/>
      <c r="X40" s="6">
        <f t="shared" si="14"/>
        <v>-306.79000000000002</v>
      </c>
      <c r="Y40" s="2"/>
      <c r="Z40" s="7">
        <f t="shared" si="15"/>
        <v>-1</v>
      </c>
    </row>
    <row r="41" spans="1:26" s="27" customFormat="1" outlineLevel="1" collapsed="1" x14ac:dyDescent="0.25">
      <c r="A41" s="25"/>
      <c r="B41" s="13" t="str">
        <f>CONCATENATE("     ","Telephone/Data Lines                              ")</f>
        <v xml:space="preserve">     Telephone/Data Lines                              </v>
      </c>
      <c r="C41" s="13"/>
      <c r="D41" s="1">
        <f>SUM(OSRRefD22_7x_0)</f>
        <v>50</v>
      </c>
      <c r="E41" s="1"/>
      <c r="F41" s="5">
        <f t="shared" ref="F41:F46" si="16">IF(D$12=0,0,D41/D$12)</f>
        <v>0</v>
      </c>
      <c r="G41" s="1"/>
      <c r="H41" s="1">
        <f>SUM(OSRRefH22_7x_0)</f>
        <v>50</v>
      </c>
      <c r="I41" s="1"/>
      <c r="J41" s="5">
        <f t="shared" ref="J41:J46" si="17">IF(H$12=0,0,H41/H$12)</f>
        <v>0</v>
      </c>
      <c r="K41" s="1"/>
      <c r="L41" s="1">
        <f t="shared" ref="L41:L46" si="18">+D41-H41</f>
        <v>0</v>
      </c>
      <c r="M41" s="1"/>
      <c r="N41" s="5">
        <f t="shared" ref="N41:N46" si="19">IF(H41=0,0,L41/H41)</f>
        <v>0</v>
      </c>
      <c r="O41" s="13"/>
      <c r="P41" s="1">
        <f>SUM(OSRRefP22_7x_0)</f>
        <v>-700</v>
      </c>
      <c r="Q41" s="1"/>
      <c r="R41" s="5">
        <f t="shared" ref="R41:R46" si="20">IF(P$12=0,0,P41/P$12)</f>
        <v>0</v>
      </c>
      <c r="S41" s="1"/>
      <c r="T41" s="1">
        <f>SUM(OSRRefT22_7x_0)</f>
        <v>110</v>
      </c>
      <c r="U41" s="1"/>
      <c r="V41" s="5">
        <f t="shared" ref="V41:V46" si="21">IF(T$12=0,0,T41/T$12)</f>
        <v>0</v>
      </c>
      <c r="W41" s="1"/>
      <c r="X41" s="1">
        <f t="shared" ref="X41:X46" si="22">+P41-T41</f>
        <v>-810</v>
      </c>
      <c r="Y41" s="1"/>
      <c r="Z41" s="5">
        <f t="shared" ref="Z41:Z46" si="23">IF(T41=0,0,X41/T41)</f>
        <v>-7.3636363636363633</v>
      </c>
    </row>
    <row r="42" spans="1:26" s="24" customFormat="1" hidden="1" outlineLevel="2" x14ac:dyDescent="0.25">
      <c r="A42" s="26"/>
      <c r="B42" s="11" t="str">
        <f>CONCATENATE("          ", "6309", " - ", "TELEPHONE")</f>
        <v xml:space="preserve">          6309 - TELEPHONE</v>
      </c>
      <c r="C42" s="11"/>
      <c r="D42" s="6">
        <v>50</v>
      </c>
      <c r="E42" s="2"/>
      <c r="F42" s="7">
        <f t="shared" si="16"/>
        <v>0</v>
      </c>
      <c r="G42" s="2"/>
      <c r="H42" s="6">
        <v>50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-700</v>
      </c>
      <c r="Q42" s="2"/>
      <c r="R42" s="7">
        <f t="shared" si="20"/>
        <v>0</v>
      </c>
      <c r="S42" s="2"/>
      <c r="T42" s="6">
        <v>110</v>
      </c>
      <c r="U42" s="2"/>
      <c r="V42" s="7">
        <f t="shared" si="21"/>
        <v>0</v>
      </c>
      <c r="W42" s="2"/>
      <c r="X42" s="6">
        <f t="shared" si="22"/>
        <v>-810</v>
      </c>
      <c r="Y42" s="2"/>
      <c r="Z42" s="7">
        <f t="shared" si="23"/>
        <v>-7.3636363636363633</v>
      </c>
    </row>
    <row r="43" spans="1:26" s="27" customFormat="1" outlineLevel="1" collapsed="1" x14ac:dyDescent="0.25">
      <c r="A43" s="25"/>
      <c r="B43" s="13" t="str">
        <f>CONCATENATE("     ","Training                                          ")</f>
        <v xml:space="preserve">     Training                                          </v>
      </c>
      <c r="C43" s="13"/>
      <c r="D43" s="1">
        <f>SUM(OSRRefD22_8x_0)</f>
        <v>0</v>
      </c>
      <c r="E43" s="1"/>
      <c r="F43" s="5">
        <f t="shared" si="16"/>
        <v>0</v>
      </c>
      <c r="G43" s="1"/>
      <c r="H43" s="1">
        <f>SUM(OSRRefH22_8x_0)</f>
        <v>309.57</v>
      </c>
      <c r="I43" s="1"/>
      <c r="J43" s="5">
        <f t="shared" si="17"/>
        <v>0</v>
      </c>
      <c r="K43" s="1"/>
      <c r="L43" s="1">
        <f t="shared" si="18"/>
        <v>-309.57</v>
      </c>
      <c r="M43" s="1"/>
      <c r="N43" s="5">
        <f t="shared" si="19"/>
        <v>-1</v>
      </c>
      <c r="O43" s="13"/>
      <c r="P43" s="1">
        <f>SUM(OSRRefP22_8x_0)</f>
        <v>1321.12</v>
      </c>
      <c r="Q43" s="1"/>
      <c r="R43" s="5">
        <f t="shared" si="20"/>
        <v>0</v>
      </c>
      <c r="S43" s="1"/>
      <c r="T43" s="1">
        <f>SUM(OSRRefT22_8x_0)</f>
        <v>3028.43</v>
      </c>
      <c r="U43" s="1"/>
      <c r="V43" s="5">
        <f t="shared" si="21"/>
        <v>0</v>
      </c>
      <c r="W43" s="1"/>
      <c r="X43" s="1">
        <f t="shared" si="22"/>
        <v>-1707.31</v>
      </c>
      <c r="Y43" s="1"/>
      <c r="Z43" s="5">
        <f t="shared" si="23"/>
        <v>-0.56376076052608115</v>
      </c>
    </row>
    <row r="44" spans="1:26" s="24" customFormat="1" hidden="1" outlineLevel="2" x14ac:dyDescent="0.25">
      <c r="A44" s="26"/>
      <c r="B44" s="11" t="str">
        <f>CONCATENATE("          ", "6376", " - ", "TRAINING")</f>
        <v xml:space="preserve">          6376 - TRAINING</v>
      </c>
      <c r="C44" s="11"/>
      <c r="D44" s="6"/>
      <c r="E44" s="2"/>
      <c r="F44" s="7">
        <f t="shared" si="16"/>
        <v>0</v>
      </c>
      <c r="G44" s="2"/>
      <c r="H44" s="6">
        <v>309.57</v>
      </c>
      <c r="I44" s="2"/>
      <c r="J44" s="7">
        <f t="shared" si="17"/>
        <v>0</v>
      </c>
      <c r="K44" s="2"/>
      <c r="L44" s="6">
        <f t="shared" si="18"/>
        <v>-309.57</v>
      </c>
      <c r="M44" s="2"/>
      <c r="N44" s="7">
        <f t="shared" si="19"/>
        <v>-1</v>
      </c>
      <c r="O44" s="11"/>
      <c r="P44" s="6">
        <v>1321.12</v>
      </c>
      <c r="Q44" s="2"/>
      <c r="R44" s="7">
        <f t="shared" si="20"/>
        <v>0</v>
      </c>
      <c r="S44" s="2"/>
      <c r="T44" s="6">
        <v>3028.43</v>
      </c>
      <c r="U44" s="2"/>
      <c r="V44" s="7">
        <f t="shared" si="21"/>
        <v>0</v>
      </c>
      <c r="W44" s="2"/>
      <c r="X44" s="6">
        <f t="shared" si="22"/>
        <v>-1707.31</v>
      </c>
      <c r="Y44" s="2"/>
      <c r="Z44" s="7">
        <f t="shared" si="23"/>
        <v>-0.56376076052608115</v>
      </c>
    </row>
    <row r="45" spans="1:26" s="27" customFormat="1" outlineLevel="1" collapsed="1" x14ac:dyDescent="0.25">
      <c r="A45" s="25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SUM(OSRRefD22_9x_0)</f>
        <v>23.98</v>
      </c>
      <c r="E45" s="1"/>
      <c r="F45" s="5">
        <f t="shared" si="16"/>
        <v>0</v>
      </c>
      <c r="G45" s="1"/>
      <c r="H45" s="1">
        <f>SUM(OSRRefH22_9x_0)</f>
        <v>0</v>
      </c>
      <c r="I45" s="1"/>
      <c r="J45" s="5">
        <f t="shared" si="17"/>
        <v>0</v>
      </c>
      <c r="K45" s="1"/>
      <c r="L45" s="1">
        <f t="shared" si="18"/>
        <v>23.98</v>
      </c>
      <c r="M45" s="1"/>
      <c r="N45" s="5">
        <f t="shared" si="19"/>
        <v>0</v>
      </c>
      <c r="O45" s="13"/>
      <c r="P45" s="1">
        <f>SUM(OSRRefP22_9x_0)</f>
        <v>143.88</v>
      </c>
      <c r="Q45" s="1"/>
      <c r="R45" s="5">
        <f t="shared" si="20"/>
        <v>0</v>
      </c>
      <c r="S45" s="1"/>
      <c r="T45" s="1">
        <f>SUM(OSRRefT22_9x_0)</f>
        <v>987.5</v>
      </c>
      <c r="U45" s="1"/>
      <c r="V45" s="5">
        <f t="shared" si="21"/>
        <v>0</v>
      </c>
      <c r="W45" s="1"/>
      <c r="X45" s="1">
        <f t="shared" si="22"/>
        <v>-843.62</v>
      </c>
      <c r="Y45" s="1"/>
      <c r="Z45" s="5">
        <f t="shared" si="23"/>
        <v>-0.85429873417721525</v>
      </c>
    </row>
    <row r="46" spans="1:26" s="24" customFormat="1" hidden="1" outlineLevel="2" x14ac:dyDescent="0.25">
      <c r="A46" s="26"/>
      <c r="B46" s="11" t="str">
        <f>CONCATENATE("          ", "6292", " - ", "TRAVEL/CONFERENCE")</f>
        <v xml:space="preserve">          6292 - TRAVEL/CONFERENCE</v>
      </c>
      <c r="C46" s="11"/>
      <c r="D46" s="6">
        <v>23.98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23.98</v>
      </c>
      <c r="M46" s="2"/>
      <c r="N46" s="7">
        <f t="shared" si="19"/>
        <v>0</v>
      </c>
      <c r="O46" s="11"/>
      <c r="P46" s="6">
        <v>143.88</v>
      </c>
      <c r="Q46" s="2"/>
      <c r="R46" s="7">
        <f t="shared" si="20"/>
        <v>0</v>
      </c>
      <c r="S46" s="2"/>
      <c r="T46" s="6">
        <v>987.5</v>
      </c>
      <c r="U46" s="2"/>
      <c r="V46" s="7">
        <f t="shared" si="21"/>
        <v>0</v>
      </c>
      <c r="W46" s="2"/>
      <c r="X46" s="6">
        <f t="shared" si="22"/>
        <v>-843.62</v>
      </c>
      <c r="Y46" s="2"/>
      <c r="Z46" s="7">
        <f t="shared" si="23"/>
        <v>-0.85429873417721525</v>
      </c>
    </row>
    <row r="47" spans="1:26" s="55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1">
        <f>+D16-D18+D48</f>
        <v>-16308.98</v>
      </c>
      <c r="E50" s="14"/>
      <c r="F50" s="22">
        <f>IF(D$12=0,0,D50/D$12)</f>
        <v>0</v>
      </c>
      <c r="G50" s="14"/>
      <c r="H50" s="21">
        <f>+H16-H18+H48</f>
        <v>-17712.900000000001</v>
      </c>
      <c r="I50" s="14"/>
      <c r="J50" s="22">
        <f>IF(H$12=0,0,H50/H$12)</f>
        <v>0</v>
      </c>
      <c r="K50" s="16"/>
      <c r="L50" s="21">
        <f>+D50-H50</f>
        <v>1403.9200000000019</v>
      </c>
      <c r="M50" s="16"/>
      <c r="N50" s="22">
        <f>IF(H50=0,0,L50/H50)</f>
        <v>-7.9259748544845951E-2</v>
      </c>
      <c r="O50" s="29"/>
      <c r="P50" s="21">
        <f>+P16-P18+P48</f>
        <v>-64008.999999999993</v>
      </c>
      <c r="Q50" s="14"/>
      <c r="R50" s="22">
        <f>IF(P$12=0,0,P50/P$12)</f>
        <v>0</v>
      </c>
      <c r="S50" s="14"/>
      <c r="T50" s="21">
        <f>+T16-T18+T48</f>
        <v>-61454.99</v>
      </c>
      <c r="U50" s="14"/>
      <c r="V50" s="22">
        <f>IF(T$12=0,0,T50/T$12)</f>
        <v>0</v>
      </c>
      <c r="W50" s="16"/>
      <c r="X50" s="21">
        <f>+P50-T50</f>
        <v>-2554.0099999999948</v>
      </c>
      <c r="Y50" s="16"/>
      <c r="Z50" s="22">
        <f>IF(T50=0,0,X50/T50)</f>
        <v>4.1559033692788738E-2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1">
        <f>+D50-D52</f>
        <v>-16308.98</v>
      </c>
      <c r="E54" s="14"/>
      <c r="F54" s="34">
        <f>IF(D$12=0,0,D54/D$12)</f>
        <v>0</v>
      </c>
      <c r="G54" s="14"/>
      <c r="H54" s="31">
        <f>+H50-H52</f>
        <v>-17712.900000000001</v>
      </c>
      <c r="I54" s="14"/>
      <c r="J54" s="34">
        <f>IF(H$12=0,0,H54/H$12)</f>
        <v>0</v>
      </c>
      <c r="K54" s="16"/>
      <c r="L54" s="31">
        <f>D54-H54</f>
        <v>1403.9200000000019</v>
      </c>
      <c r="M54" s="16"/>
      <c r="N54" s="34">
        <f>IF(H54=0,0,L54/H54)</f>
        <v>-7.9259748544845951E-2</v>
      </c>
      <c r="O54" s="29"/>
      <c r="P54" s="31">
        <f>+P50-P52</f>
        <v>-64008.999999999993</v>
      </c>
      <c r="Q54" s="14"/>
      <c r="R54" s="34">
        <f>IF(P$12=0,0,P54/P$12)</f>
        <v>0</v>
      </c>
      <c r="S54" s="14"/>
      <c r="T54" s="31">
        <f>+T50-T52</f>
        <v>-61454.99</v>
      </c>
      <c r="U54" s="14"/>
      <c r="V54" s="34">
        <f>IF(T$12=0,0,T54/T$12)</f>
        <v>0</v>
      </c>
      <c r="W54" s="16"/>
      <c r="X54" s="31">
        <f>P54-T54</f>
        <v>-2554.0099999999948</v>
      </c>
      <c r="Y54" s="16"/>
      <c r="Z54" s="34">
        <f>IF(T54=0,0,X54/T54)</f>
        <v>4.1559033692788738E-2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6">
        <f>SUM(D54:D56)</f>
        <v>-16308.98</v>
      </c>
      <c r="E57" s="14"/>
      <c r="F57" s="33">
        <f>IF(D$12=0,0,D57/D$12)</f>
        <v>0</v>
      </c>
      <c r="G57" s="14"/>
      <c r="H57" s="36">
        <f>SUM(H54:H56)</f>
        <v>-17712.900000000001</v>
      </c>
      <c r="I57" s="14"/>
      <c r="J57" s="33">
        <f>IF(H$12=0,0,H57/H$12)</f>
        <v>0</v>
      </c>
      <c r="K57" s="16"/>
      <c r="L57" s="36">
        <f>+D57-H57</f>
        <v>1403.9200000000019</v>
      </c>
      <c r="M57" s="16"/>
      <c r="N57" s="33">
        <f>IF(H57=0,0,L57/H57)</f>
        <v>-7.9259748544845951E-2</v>
      </c>
      <c r="O57" s="29"/>
      <c r="P57" s="36">
        <f>SUM(P54:P56)</f>
        <v>-64008.999999999993</v>
      </c>
      <c r="Q57" s="14"/>
      <c r="R57" s="33">
        <f>IF(P$12=0,0,P57/P$12)</f>
        <v>0</v>
      </c>
      <c r="S57" s="14"/>
      <c r="T57" s="36">
        <f>SUM(T54:T56)</f>
        <v>-61454.99</v>
      </c>
      <c r="U57" s="14"/>
      <c r="V57" s="33">
        <f>IF(T$12=0,0,T57/T$12)</f>
        <v>0</v>
      </c>
      <c r="W57" s="16"/>
      <c r="X57" s="36">
        <f>+P57-T57</f>
        <v>-2554.0099999999948</v>
      </c>
      <c r="Y57" s="16"/>
      <c r="Z57" s="33">
        <f>IF(T57=0,0,X57/T57)</f>
        <v>4.1559033692788738E-2</v>
      </c>
    </row>
    <row r="58" spans="1:26" ht="15.75" thickTop="1" x14ac:dyDescent="0.25">
      <c r="A58" s="9"/>
      <c r="C58" s="9"/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61">
        <v>43791.355755787037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6" t="s">
        <v>313</v>
      </c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A61" s="9"/>
      <c r="B61" s="57"/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","433", " - ", "Hillside Dining Hall")</f>
        <v>Department 433 - Hillside Dining Hall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656256.06999999995</v>
      </c>
      <c r="E12" s="4"/>
      <c r="F12" s="12"/>
      <c r="G12" s="4"/>
      <c r="H12" s="4">
        <f>SUM(OSRRefH13x_0)</f>
        <v>652147.05999999994</v>
      </c>
      <c r="I12" s="4"/>
      <c r="J12" s="12"/>
      <c r="K12" s="4"/>
      <c r="L12" s="4">
        <f t="shared" ref="L12:L16" si="0">+D12-H12</f>
        <v>4109.0100000000093</v>
      </c>
      <c r="M12" s="4"/>
      <c r="N12" s="12">
        <f t="shared" ref="N12:N16" si="1">IF(H12=0,0,L12/H12)</f>
        <v>6.3007414309281858E-3</v>
      </c>
      <c r="O12" s="10"/>
      <c r="P12" s="4">
        <f>SUM(OSRRefP13x_0)</f>
        <v>1721506.65</v>
      </c>
      <c r="Q12" s="4"/>
      <c r="R12" s="12"/>
      <c r="S12" s="4"/>
      <c r="T12" s="4">
        <f>SUM(OSRRefT13x_0)</f>
        <v>1743487.2599999998</v>
      </c>
      <c r="U12" s="4"/>
      <c r="V12" s="12"/>
      <c r="W12" s="4"/>
      <c r="X12" s="4">
        <f t="shared" ref="X12:X16" si="2">+P12-T12</f>
        <v>-21980.60999999987</v>
      </c>
      <c r="Y12" s="4"/>
      <c r="Z12" s="12">
        <f t="shared" ref="Z12:Z16" si="3">IF(T12=0,0,X12/T12)</f>
        <v>-1.2607267345331718E-2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--5537.86</f>
        <v>5537.86</v>
      </c>
      <c r="E13" s="2"/>
      <c r="F13" s="19"/>
      <c r="G13" s="2"/>
      <c r="H13" s="2">
        <f>--1772.47</f>
        <v>1772.47</v>
      </c>
      <c r="I13" s="2"/>
      <c r="J13" s="19"/>
      <c r="K13" s="2"/>
      <c r="L13" s="2">
        <f t="shared" si="0"/>
        <v>3765.3899999999994</v>
      </c>
      <c r="M13" s="2"/>
      <c r="N13" s="19">
        <f t="shared" si="1"/>
        <v>2.1243744604986259</v>
      </c>
      <c r="O13" s="11"/>
      <c r="P13" s="2">
        <f>--7524.95</f>
        <v>7524.95</v>
      </c>
      <c r="Q13" s="2"/>
      <c r="R13" s="19"/>
      <c r="S13" s="2"/>
      <c r="T13" s="2">
        <f>--5428.47</f>
        <v>5428.47</v>
      </c>
      <c r="U13" s="2"/>
      <c r="V13" s="19"/>
      <c r="W13" s="2"/>
      <c r="X13" s="2">
        <f t="shared" si="2"/>
        <v>2096.4799999999996</v>
      </c>
      <c r="Y13" s="2"/>
      <c r="Z13" s="19">
        <f t="shared" si="3"/>
        <v>0.38620090006944857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--627986.26</f>
        <v>627986.26</v>
      </c>
      <c r="E14" s="2"/>
      <c r="F14" s="19"/>
      <c r="G14" s="2"/>
      <c r="H14" s="2">
        <f>--622549.84</f>
        <v>622549.84</v>
      </c>
      <c r="I14" s="2"/>
      <c r="J14" s="19"/>
      <c r="K14" s="2"/>
      <c r="L14" s="2">
        <f t="shared" si="0"/>
        <v>5436.4200000000419</v>
      </c>
      <c r="M14" s="2"/>
      <c r="N14" s="19">
        <f t="shared" si="1"/>
        <v>8.7325056576996983E-3</v>
      </c>
      <c r="O14" s="11"/>
      <c r="P14" s="2">
        <f>--1558168.79</f>
        <v>1558168.79</v>
      </c>
      <c r="Q14" s="2"/>
      <c r="R14" s="19"/>
      <c r="S14" s="2"/>
      <c r="T14" s="2">
        <f>--1614647.52</f>
        <v>1614647.52</v>
      </c>
      <c r="U14" s="2"/>
      <c r="V14" s="19"/>
      <c r="W14" s="2"/>
      <c r="X14" s="2">
        <f t="shared" si="2"/>
        <v>-56478.729999999981</v>
      </c>
      <c r="Y14" s="2"/>
      <c r="Z14" s="19">
        <f t="shared" si="3"/>
        <v>-3.4978984143858208E-2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--22731.95</f>
        <v>22731.95</v>
      </c>
      <c r="E15" s="2"/>
      <c r="F15" s="19"/>
      <c r="G15" s="2"/>
      <c r="H15" s="2">
        <f>--27824.75</f>
        <v>27824.75</v>
      </c>
      <c r="I15" s="2"/>
      <c r="J15" s="19"/>
      <c r="K15" s="2"/>
      <c r="L15" s="2">
        <f t="shared" si="0"/>
        <v>-5092.7999999999993</v>
      </c>
      <c r="M15" s="2"/>
      <c r="N15" s="19">
        <f t="shared" si="1"/>
        <v>-0.18303129408170782</v>
      </c>
      <c r="O15" s="11"/>
      <c r="P15" s="2">
        <f>--155812.91</f>
        <v>155812.91</v>
      </c>
      <c r="Q15" s="2"/>
      <c r="R15" s="19"/>
      <c r="S15" s="2"/>
      <c r="T15" s="2">
        <f>--122356.37</f>
        <v>122356.37</v>
      </c>
      <c r="U15" s="2"/>
      <c r="V15" s="19"/>
      <c r="W15" s="2"/>
      <c r="X15" s="2">
        <f t="shared" si="2"/>
        <v>33456.540000000008</v>
      </c>
      <c r="Y15" s="2"/>
      <c r="Z15" s="19">
        <f t="shared" si="3"/>
        <v>0.27343521224109552</v>
      </c>
    </row>
    <row r="16" spans="1:26" s="24" customFormat="1" hidden="1" outlineLevel="1" x14ac:dyDescent="0.25">
      <c r="A16" s="44"/>
      <c r="B16" s="11" t="str">
        <f>CONCATENATE("          ", "4159", " - ", "NON-TAXABLE SALES-FOOD")</f>
        <v xml:space="preserve">          4159 - NON-TAXABLE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--1054.9</f>
        <v>1054.9000000000001</v>
      </c>
      <c r="U16" s="2"/>
      <c r="V16" s="19"/>
      <c r="W16" s="2"/>
      <c r="X16" s="2">
        <f t="shared" si="2"/>
        <v>-1054.9000000000001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159318.32999999999</v>
      </c>
      <c r="E18" s="4"/>
      <c r="F18" s="12">
        <f t="shared" ref="F18:F20" si="4">IF(D$12=0,0,D18/D$12)</f>
        <v>0.24276854307800916</v>
      </c>
      <c r="G18" s="4"/>
      <c r="H18" s="4">
        <f>SUM(OSRRefH16x_0)</f>
        <v>156124.82</v>
      </c>
      <c r="I18" s="4"/>
      <c r="J18" s="12">
        <f t="shared" ref="J18:J20" si="5">IF(H$12=0,0,H18/H$12)</f>
        <v>0.23940124793324993</v>
      </c>
      <c r="K18" s="4"/>
      <c r="L18" s="4">
        <f t="shared" ref="L18:L20" si="6">+D18-H18</f>
        <v>3193.5099999999802</v>
      </c>
      <c r="M18" s="4"/>
      <c r="N18" s="12">
        <f t="shared" ref="N18:N20" si="7">IF(H18=0,0,L18/H18)</f>
        <v>2.0454851445144855E-2</v>
      </c>
      <c r="O18" s="10"/>
      <c r="P18" s="4">
        <f>SUM(OSRRefP16x_0)</f>
        <v>408740.18</v>
      </c>
      <c r="Q18" s="4"/>
      <c r="R18" s="12">
        <f t="shared" ref="R18:R20" si="8">IF(P$12=0,0,P18/P$12)</f>
        <v>0.23743165906445962</v>
      </c>
      <c r="S18" s="4"/>
      <c r="T18" s="4">
        <f>SUM(OSRRefT16x_0)</f>
        <v>406114.21</v>
      </c>
      <c r="U18" s="4"/>
      <c r="V18" s="12">
        <f t="shared" ref="V18:V20" si="9">IF(T$12=0,0,T18/T$12)</f>
        <v>0.23293213510490468</v>
      </c>
      <c r="W18" s="4"/>
      <c r="X18" s="4">
        <f t="shared" ref="X18:X20" si="10">+P18-T18</f>
        <v>2625.9699999999721</v>
      </c>
      <c r="Y18" s="4"/>
      <c r="Z18" s="12">
        <f t="shared" ref="Z18:Z20" si="11">IF(T18=0,0,X18/T18)</f>
        <v>6.466087458500829E-3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160994.82999999999</v>
      </c>
      <c r="E19" s="2"/>
      <c r="F19" s="19">
        <f t="shared" si="4"/>
        <v>0.24532318611544424</v>
      </c>
      <c r="G19" s="2"/>
      <c r="H19" s="2">
        <v>156047.82</v>
      </c>
      <c r="I19" s="2"/>
      <c r="J19" s="19">
        <f t="shared" si="5"/>
        <v>0.23928317640502744</v>
      </c>
      <c r="K19" s="2"/>
      <c r="L19" s="2">
        <f t="shared" si="6"/>
        <v>4947.0099999999802</v>
      </c>
      <c r="M19" s="2"/>
      <c r="N19" s="19">
        <f t="shared" si="7"/>
        <v>3.1701884717133373E-2</v>
      </c>
      <c r="O19" s="11"/>
      <c r="P19" s="2">
        <v>417890.93</v>
      </c>
      <c r="Q19" s="2"/>
      <c r="R19" s="19">
        <f t="shared" si="8"/>
        <v>0.24274720634974023</v>
      </c>
      <c r="S19" s="2"/>
      <c r="T19" s="2">
        <v>418125.21</v>
      </c>
      <c r="U19" s="2"/>
      <c r="V19" s="19">
        <f t="shared" si="9"/>
        <v>0.23982120179071459</v>
      </c>
      <c r="W19" s="2"/>
      <c r="X19" s="2">
        <f t="shared" si="10"/>
        <v>-234.28000000002794</v>
      </c>
      <c r="Y19" s="2"/>
      <c r="Z19" s="19">
        <f t="shared" si="11"/>
        <v>-5.6031063039711944E-4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-1676.5</v>
      </c>
      <c r="E20" s="2"/>
      <c r="F20" s="19">
        <f t="shared" si="4"/>
        <v>-2.5546430374350673E-3</v>
      </c>
      <c r="G20" s="2"/>
      <c r="H20" s="2">
        <v>77</v>
      </c>
      <c r="I20" s="2"/>
      <c r="J20" s="19">
        <f t="shared" si="5"/>
        <v>1.1807152822248407E-4</v>
      </c>
      <c r="K20" s="2"/>
      <c r="L20" s="2">
        <f t="shared" si="6"/>
        <v>-1753.5</v>
      </c>
      <c r="M20" s="2"/>
      <c r="N20" s="19">
        <f t="shared" si="7"/>
        <v>-22.772727272727273</v>
      </c>
      <c r="O20" s="11"/>
      <c r="P20" s="2">
        <v>-9150.75</v>
      </c>
      <c r="Q20" s="2"/>
      <c r="R20" s="19">
        <f t="shared" si="8"/>
        <v>-5.3155472852806007E-3</v>
      </c>
      <c r="S20" s="2"/>
      <c r="T20" s="2">
        <v>-12011</v>
      </c>
      <c r="U20" s="2"/>
      <c r="V20" s="19">
        <f t="shared" si="9"/>
        <v>-6.8890666858099107E-3</v>
      </c>
      <c r="W20" s="2"/>
      <c r="X20" s="2">
        <f t="shared" si="10"/>
        <v>2860.25</v>
      </c>
      <c r="Y20" s="2"/>
      <c r="Z20" s="19">
        <f t="shared" si="11"/>
        <v>-0.23813587544750645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D12-D18</f>
        <v>496937.74</v>
      </c>
      <c r="E22" s="14"/>
      <c r="F22" s="22">
        <f>IF(D$12=0,0,D22/D$12)</f>
        <v>0.7572314569219909</v>
      </c>
      <c r="G22" s="14"/>
      <c r="H22" s="21">
        <f>H12-H18</f>
        <v>496022.23999999993</v>
      </c>
      <c r="I22" s="14"/>
      <c r="J22" s="22">
        <f>IF(H$12=0,0,H22/H$12)</f>
        <v>0.76059875206675009</v>
      </c>
      <c r="K22" s="16"/>
      <c r="L22" s="21">
        <f>+D22-H22</f>
        <v>915.50000000005821</v>
      </c>
      <c r="M22" s="16"/>
      <c r="N22" s="22">
        <f>IF(H22=0,0,L22/H22)</f>
        <v>1.8456833709715483E-3</v>
      </c>
      <c r="O22" s="29"/>
      <c r="P22" s="21">
        <f>P12-P18</f>
        <v>1312766.47</v>
      </c>
      <c r="Q22" s="14"/>
      <c r="R22" s="22">
        <f>IF(P$12=0,0,P22/P$12)</f>
        <v>0.76256834093554038</v>
      </c>
      <c r="S22" s="14"/>
      <c r="T22" s="21">
        <f>T12-T18</f>
        <v>1337373.0499999998</v>
      </c>
      <c r="U22" s="14"/>
      <c r="V22" s="22">
        <f>IF(T$12=0,0,T22/T$12)</f>
        <v>0.76706786489509537</v>
      </c>
      <c r="W22" s="16"/>
      <c r="X22" s="21">
        <f>+P22-T22</f>
        <v>-24606.579999999842</v>
      </c>
      <c r="Y22" s="16"/>
      <c r="Z22" s="22">
        <f>IF(T22=0,0,X22/T22)</f>
        <v>-1.8399189366048497E-2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0">
        <f>SUM(OSRRefD22x_0)</f>
        <v>229211.44000000006</v>
      </c>
      <c r="E24" s="20"/>
      <c r="F24" s="35">
        <f t="shared" ref="F24:F34" si="12">IF(D$12=0,0,D24/D$12)</f>
        <v>0.34927134464447707</v>
      </c>
      <c r="G24" s="20"/>
      <c r="H24" s="20">
        <f>SUM(OSRRefH22x_0)</f>
        <v>228686.13000000003</v>
      </c>
      <c r="I24" s="20"/>
      <c r="J24" s="35">
        <f t="shared" ref="J24:J34" si="13">IF(H$12=0,0,H24/H$12)</f>
        <v>0.35066650457643717</v>
      </c>
      <c r="K24" s="4"/>
      <c r="L24" s="20">
        <f t="shared" ref="L24:L34" si="14">+D24-H24</f>
        <v>525.31000000002678</v>
      </c>
      <c r="M24" s="4"/>
      <c r="N24" s="35">
        <f t="shared" ref="N24:N34" si="15">IF(H24=0,0,L24/H24)</f>
        <v>2.2970785329220738E-3</v>
      </c>
      <c r="O24" s="10"/>
      <c r="P24" s="20">
        <f>SUM(OSRRefP22x_0)</f>
        <v>691171.21000000008</v>
      </c>
      <c r="Q24" s="20"/>
      <c r="R24" s="35">
        <f t="shared" ref="R24:R34" si="16">IF(P$12=0,0,P24/P$12)</f>
        <v>0.40149203606038936</v>
      </c>
      <c r="S24" s="20"/>
      <c r="T24" s="20">
        <f>SUM(OSRRefT22x_0)</f>
        <v>650227.32999999984</v>
      </c>
      <c r="U24" s="20"/>
      <c r="V24" s="35">
        <f t="shared" ref="V24:V34" si="17">IF(T$12=0,0,T24/T$12)</f>
        <v>0.37294641889152658</v>
      </c>
      <c r="W24" s="4"/>
      <c r="X24" s="20">
        <f t="shared" ref="X24:X34" si="18">+P24-T24</f>
        <v>40943.880000000237</v>
      </c>
      <c r="Y24" s="4"/>
      <c r="Z24" s="35">
        <f t="shared" ref="Z24:Z34" si="19">IF(T24=0,0,X24/T24)</f>
        <v>6.2968562087355281E-2</v>
      </c>
    </row>
    <row r="25" spans="1:26" s="27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28145.74</v>
      </c>
      <c r="E25" s="1"/>
      <c r="F25" s="5">
        <f t="shared" si="12"/>
        <v>4.2888349969852475E-2</v>
      </c>
      <c r="G25" s="1"/>
      <c r="H25" s="1">
        <f>SUM(OSRRefH22_0x_0)</f>
        <v>37725.289999999994</v>
      </c>
      <c r="I25" s="1"/>
      <c r="J25" s="5">
        <f t="shared" si="13"/>
        <v>5.7847826531641493E-2</v>
      </c>
      <c r="K25" s="1"/>
      <c r="L25" s="1">
        <f t="shared" si="14"/>
        <v>-9579.549999999992</v>
      </c>
      <c r="M25" s="1"/>
      <c r="N25" s="5">
        <f t="shared" si="15"/>
        <v>-0.25392912817900126</v>
      </c>
      <c r="O25" s="13"/>
      <c r="P25" s="1">
        <f>SUM(OSRRefP22_0x_0)</f>
        <v>112637.24</v>
      </c>
      <c r="Q25" s="1"/>
      <c r="R25" s="5">
        <f t="shared" si="16"/>
        <v>6.5429453903067994E-2</v>
      </c>
      <c r="S25" s="1"/>
      <c r="T25" s="1">
        <f>SUM(OSRRefT22_0x_0)</f>
        <v>113983.92999999998</v>
      </c>
      <c r="U25" s="1"/>
      <c r="V25" s="5">
        <f t="shared" si="17"/>
        <v>6.5376979009298869E-2</v>
      </c>
      <c r="W25" s="1"/>
      <c r="X25" s="1">
        <f t="shared" si="18"/>
        <v>-1346.6899999999732</v>
      </c>
      <c r="Y25" s="1"/>
      <c r="Z25" s="5">
        <f t="shared" si="19"/>
        <v>-1.181473563861128E-2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>
        <v>6572.71</v>
      </c>
      <c r="E26" s="2"/>
      <c r="F26" s="7">
        <f t="shared" si="12"/>
        <v>1.0015465456951889E-2</v>
      </c>
      <c r="G26" s="2"/>
      <c r="H26" s="6">
        <v>6219.68</v>
      </c>
      <c r="I26" s="2"/>
      <c r="J26" s="7">
        <f t="shared" si="13"/>
        <v>9.5372353591535019E-3</v>
      </c>
      <c r="K26" s="2"/>
      <c r="L26" s="6">
        <f t="shared" si="14"/>
        <v>353.02999999999975</v>
      </c>
      <c r="M26" s="2"/>
      <c r="N26" s="7">
        <f t="shared" si="15"/>
        <v>5.6760154863272662E-2</v>
      </c>
      <c r="O26" s="11"/>
      <c r="P26" s="6">
        <v>19799.769999999997</v>
      </c>
      <c r="Q26" s="2"/>
      <c r="R26" s="7">
        <f t="shared" si="16"/>
        <v>1.1501419410723739E-2</v>
      </c>
      <c r="S26" s="2"/>
      <c r="T26" s="6">
        <v>17337.95</v>
      </c>
      <c r="U26" s="2"/>
      <c r="V26" s="7">
        <f t="shared" si="17"/>
        <v>9.944408770729992E-3</v>
      </c>
      <c r="W26" s="2"/>
      <c r="X26" s="6">
        <f t="shared" si="18"/>
        <v>2461.8199999999961</v>
      </c>
      <c r="Y26" s="2"/>
      <c r="Z26" s="7">
        <f t="shared" si="19"/>
        <v>0.14199025836387785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>
        <v>-728.59</v>
      </c>
      <c r="E27" s="2"/>
      <c r="F27" s="7">
        <f t="shared" si="12"/>
        <v>-1.1102221119265229E-3</v>
      </c>
      <c r="G27" s="2"/>
      <c r="H27" s="6">
        <v>6336.21</v>
      </c>
      <c r="I27" s="2"/>
      <c r="J27" s="7">
        <f t="shared" si="13"/>
        <v>9.7159220498517634E-3</v>
      </c>
      <c r="K27" s="2"/>
      <c r="L27" s="6">
        <f t="shared" si="14"/>
        <v>-7064.8</v>
      </c>
      <c r="M27" s="2"/>
      <c r="N27" s="7">
        <f t="shared" si="15"/>
        <v>-1.1149882974206979</v>
      </c>
      <c r="O27" s="11"/>
      <c r="P27" s="6">
        <v>7594.37</v>
      </c>
      <c r="Q27" s="2"/>
      <c r="R27" s="7">
        <f t="shared" si="16"/>
        <v>4.4114671296796911E-3</v>
      </c>
      <c r="S27" s="2"/>
      <c r="T27" s="6">
        <v>10812.3</v>
      </c>
      <c r="U27" s="2"/>
      <c r="V27" s="7">
        <f t="shared" si="17"/>
        <v>6.2015365687272074E-3</v>
      </c>
      <c r="W27" s="2"/>
      <c r="X27" s="6">
        <f t="shared" si="18"/>
        <v>-3217.9299999999994</v>
      </c>
      <c r="Y27" s="2"/>
      <c r="Z27" s="7">
        <f t="shared" si="19"/>
        <v>-0.29761752818549242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>
        <v>12745.03</v>
      </c>
      <c r="E28" s="2"/>
      <c r="F28" s="7">
        <f t="shared" si="12"/>
        <v>1.9420818461915335E-2</v>
      </c>
      <c r="G28" s="2"/>
      <c r="H28" s="6">
        <v>15816.049999999997</v>
      </c>
      <c r="I28" s="2"/>
      <c r="J28" s="7">
        <f t="shared" si="13"/>
        <v>2.4252275246015829E-2</v>
      </c>
      <c r="K28" s="2"/>
      <c r="L28" s="6">
        <f t="shared" si="14"/>
        <v>-3071.0199999999968</v>
      </c>
      <c r="M28" s="2"/>
      <c r="N28" s="7">
        <f t="shared" si="15"/>
        <v>-0.19417111099168233</v>
      </c>
      <c r="O28" s="11"/>
      <c r="P28" s="6">
        <v>50826.11</v>
      </c>
      <c r="Q28" s="2"/>
      <c r="R28" s="7">
        <f t="shared" si="16"/>
        <v>2.9524201954142903E-2</v>
      </c>
      <c r="S28" s="2"/>
      <c r="T28" s="6">
        <v>53052.310000000005</v>
      </c>
      <c r="U28" s="2"/>
      <c r="V28" s="7">
        <f t="shared" si="17"/>
        <v>3.0428848674236949E-2</v>
      </c>
      <c r="W28" s="2"/>
      <c r="X28" s="6">
        <f t="shared" si="18"/>
        <v>-2226.2000000000044</v>
      </c>
      <c r="Y28" s="2"/>
      <c r="Z28" s="7">
        <f t="shared" si="19"/>
        <v>-4.1962357529766452E-2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>
        <v>262.42</v>
      </c>
      <c r="E29" s="2"/>
      <c r="F29" s="7">
        <f t="shared" si="12"/>
        <v>3.9987439659034323E-4</v>
      </c>
      <c r="G29" s="2"/>
      <c r="H29" s="6">
        <v>261.10000000000002</v>
      </c>
      <c r="I29" s="2"/>
      <c r="J29" s="7">
        <f t="shared" si="13"/>
        <v>4.0036981842715052E-4</v>
      </c>
      <c r="K29" s="2"/>
      <c r="L29" s="6">
        <f t="shared" si="14"/>
        <v>1.3199999999999932</v>
      </c>
      <c r="M29" s="2"/>
      <c r="N29" s="7">
        <f t="shared" si="15"/>
        <v>5.0555342780543586E-3</v>
      </c>
      <c r="O29" s="11"/>
      <c r="P29" s="6">
        <v>820.13</v>
      </c>
      <c r="Q29" s="2"/>
      <c r="R29" s="7">
        <f t="shared" si="16"/>
        <v>4.7640245827688206E-4</v>
      </c>
      <c r="S29" s="2"/>
      <c r="T29" s="6">
        <v>803.15</v>
      </c>
      <c r="U29" s="2"/>
      <c r="V29" s="7">
        <f t="shared" si="17"/>
        <v>4.6065722327102065E-4</v>
      </c>
      <c r="W29" s="2"/>
      <c r="X29" s="6">
        <f t="shared" si="18"/>
        <v>16.980000000000018</v>
      </c>
      <c r="Y29" s="2"/>
      <c r="Z29" s="7">
        <f t="shared" si="19"/>
        <v>2.1141754342277306E-2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>
        <v>1630.79</v>
      </c>
      <c r="E30" s="2"/>
      <c r="F30" s="7">
        <f t="shared" si="12"/>
        <v>2.4849903483559399E-3</v>
      </c>
      <c r="G30" s="2"/>
      <c r="H30" s="6">
        <v>1667.81</v>
      </c>
      <c r="I30" s="2"/>
      <c r="J30" s="7">
        <f t="shared" si="13"/>
        <v>2.5574139673343005E-3</v>
      </c>
      <c r="K30" s="2"/>
      <c r="L30" s="6">
        <f t="shared" si="14"/>
        <v>-37.019999999999982</v>
      </c>
      <c r="M30" s="2"/>
      <c r="N30" s="7">
        <f t="shared" si="15"/>
        <v>-2.2196773013712583E-2</v>
      </c>
      <c r="O30" s="11"/>
      <c r="P30" s="6">
        <v>5282.72</v>
      </c>
      <c r="Q30" s="2"/>
      <c r="R30" s="7">
        <f t="shared" si="16"/>
        <v>3.0686608152225266E-3</v>
      </c>
      <c r="S30" s="2"/>
      <c r="T30" s="6">
        <v>5490.25</v>
      </c>
      <c r="U30" s="2"/>
      <c r="V30" s="7">
        <f t="shared" si="17"/>
        <v>3.149004943116132E-3</v>
      </c>
      <c r="W30" s="2"/>
      <c r="X30" s="6">
        <f t="shared" si="18"/>
        <v>-207.52999999999975</v>
      </c>
      <c r="Y30" s="2"/>
      <c r="Z30" s="7">
        <f t="shared" si="19"/>
        <v>-3.7799735895450978E-2</v>
      </c>
    </row>
    <row r="31" spans="1:26" s="24" customFormat="1" hidden="1" outlineLevel="2" x14ac:dyDescent="0.25">
      <c r="A31" s="26"/>
      <c r="B31" s="11" t="str">
        <f>CONCATENATE("          ", "6117", " - ", "RETIREMENT STAFF HOURLY")</f>
        <v xml:space="preserve">          6117 - RETIREMENT STAFF HOURLY</v>
      </c>
      <c r="C31" s="11"/>
      <c r="D31" s="6">
        <v>452.39</v>
      </c>
      <c r="E31" s="2"/>
      <c r="F31" s="7">
        <f t="shared" si="12"/>
        <v>6.8934981431866991E-4</v>
      </c>
      <c r="G31" s="2"/>
      <c r="H31" s="6">
        <v>326.04000000000002</v>
      </c>
      <c r="I31" s="2"/>
      <c r="J31" s="7">
        <f t="shared" si="13"/>
        <v>4.999485852163468E-4</v>
      </c>
      <c r="K31" s="2"/>
      <c r="L31" s="6">
        <f t="shared" si="14"/>
        <v>126.34999999999997</v>
      </c>
      <c r="M31" s="2"/>
      <c r="N31" s="7">
        <f t="shared" si="15"/>
        <v>0.38752913752913742</v>
      </c>
      <c r="O31" s="11"/>
      <c r="P31" s="6">
        <v>1680.7</v>
      </c>
      <c r="Q31" s="2"/>
      <c r="R31" s="7">
        <f t="shared" si="16"/>
        <v>9.7629596725635657E-4</v>
      </c>
      <c r="S31" s="2"/>
      <c r="T31" s="6">
        <v>1559.62</v>
      </c>
      <c r="U31" s="2"/>
      <c r="V31" s="7">
        <f t="shared" si="17"/>
        <v>8.9454051990032904E-4</v>
      </c>
      <c r="W31" s="2"/>
      <c r="X31" s="6">
        <f t="shared" si="18"/>
        <v>121.08000000000015</v>
      </c>
      <c r="Y31" s="2"/>
      <c r="Z31" s="7">
        <f t="shared" si="19"/>
        <v>7.7634295533527506E-2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3431.36</v>
      </c>
      <c r="E32" s="2"/>
      <c r="F32" s="7">
        <f t="shared" si="12"/>
        <v>5.2286906847200674E-3</v>
      </c>
      <c r="G32" s="2"/>
      <c r="H32" s="6">
        <v>3412.98</v>
      </c>
      <c r="I32" s="2"/>
      <c r="J32" s="7">
        <f t="shared" si="13"/>
        <v>5.2334514856204372E-3</v>
      </c>
      <c r="K32" s="2"/>
      <c r="L32" s="6">
        <f t="shared" si="14"/>
        <v>18.380000000000109</v>
      </c>
      <c r="M32" s="2"/>
      <c r="N32" s="7">
        <f t="shared" si="15"/>
        <v>5.3853230900855293E-3</v>
      </c>
      <c r="O32" s="11"/>
      <c r="P32" s="6">
        <v>11287.02</v>
      </c>
      <c r="Q32" s="2"/>
      <c r="R32" s="7">
        <f t="shared" si="16"/>
        <v>6.5564777225809731E-3</v>
      </c>
      <c r="S32" s="2"/>
      <c r="T32" s="6">
        <v>11348.58</v>
      </c>
      <c r="U32" s="2"/>
      <c r="V32" s="7">
        <f t="shared" si="17"/>
        <v>6.5091270010197849E-3</v>
      </c>
      <c r="W32" s="2"/>
      <c r="X32" s="6">
        <f t="shared" si="18"/>
        <v>-61.559999999999491</v>
      </c>
      <c r="Y32" s="2"/>
      <c r="Z32" s="7">
        <f t="shared" si="19"/>
        <v>-5.4244672020640023E-3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2413.02</v>
      </c>
      <c r="E33" s="2"/>
      <c r="F33" s="7">
        <f t="shared" si="12"/>
        <v>3.6769488471169497E-3</v>
      </c>
      <c r="G33" s="2"/>
      <c r="H33" s="6">
        <v>2332.0700000000002</v>
      </c>
      <c r="I33" s="2"/>
      <c r="J33" s="7">
        <f t="shared" si="13"/>
        <v>3.5759879067767328E-3</v>
      </c>
      <c r="K33" s="2"/>
      <c r="L33" s="6">
        <f t="shared" si="14"/>
        <v>80.949999999999818</v>
      </c>
      <c r="M33" s="2"/>
      <c r="N33" s="7">
        <f t="shared" si="15"/>
        <v>3.4711651022482089E-2</v>
      </c>
      <c r="O33" s="11"/>
      <c r="P33" s="6">
        <v>11466.98</v>
      </c>
      <c r="Q33" s="2"/>
      <c r="R33" s="7">
        <f t="shared" si="16"/>
        <v>6.6610140599805412E-3</v>
      </c>
      <c r="S33" s="2"/>
      <c r="T33" s="6">
        <v>10088.040000000001</v>
      </c>
      <c r="U33" s="2"/>
      <c r="V33" s="7">
        <f t="shared" si="17"/>
        <v>5.7861277403311812E-3</v>
      </c>
      <c r="W33" s="2"/>
      <c r="X33" s="6">
        <f t="shared" si="18"/>
        <v>1378.9399999999987</v>
      </c>
      <c r="Y33" s="2"/>
      <c r="Z33" s="7">
        <f t="shared" si="19"/>
        <v>0.13669057616742186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1366.61</v>
      </c>
      <c r="E34" s="2"/>
      <c r="F34" s="7">
        <f t="shared" si="12"/>
        <v>2.0824340718098044E-3</v>
      </c>
      <c r="G34" s="2"/>
      <c r="H34" s="6">
        <v>1353.35</v>
      </c>
      <c r="I34" s="2"/>
      <c r="J34" s="7">
        <f t="shared" si="13"/>
        <v>2.0752221132454389E-3</v>
      </c>
      <c r="K34" s="2"/>
      <c r="L34" s="6">
        <f t="shared" si="14"/>
        <v>13.259999999999991</v>
      </c>
      <c r="M34" s="2"/>
      <c r="N34" s="7">
        <f t="shared" si="15"/>
        <v>9.7979088927476199E-3</v>
      </c>
      <c r="O34" s="11"/>
      <c r="P34" s="6">
        <v>3879.44</v>
      </c>
      <c r="Q34" s="2"/>
      <c r="R34" s="7">
        <f t="shared" si="16"/>
        <v>2.2535143852043791E-3</v>
      </c>
      <c r="S34" s="2"/>
      <c r="T34" s="6">
        <v>3491.73</v>
      </c>
      <c r="U34" s="2"/>
      <c r="V34" s="7">
        <f t="shared" si="17"/>
        <v>2.002727567966284E-3</v>
      </c>
      <c r="W34" s="2"/>
      <c r="X34" s="6">
        <f t="shared" si="18"/>
        <v>387.71000000000004</v>
      </c>
      <c r="Y34" s="2"/>
      <c r="Z34" s="7">
        <f t="shared" si="19"/>
        <v>0.11103664945456837</v>
      </c>
    </row>
    <row r="35" spans="1:26" s="27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116498.82</v>
      </c>
      <c r="E35" s="1"/>
      <c r="F35" s="5">
        <f t="shared" ref="F35:F41" si="20">IF(D$12=0,0,D35/D$12)</f>
        <v>0.17752036944968755</v>
      </c>
      <c r="G35" s="1"/>
      <c r="H35" s="1">
        <f>SUM(OSRRefH22_1x_0)</f>
        <v>108572.41999999998</v>
      </c>
      <c r="I35" s="1"/>
      <c r="J35" s="5">
        <f t="shared" ref="J35:J41" si="21">IF(H$12=0,0,H35/H$12)</f>
        <v>0.16648456561316091</v>
      </c>
      <c r="K35" s="1"/>
      <c r="L35" s="1">
        <f t="shared" ref="L35:L41" si="22">+D35-H35</f>
        <v>7926.4000000000233</v>
      </c>
      <c r="M35" s="1"/>
      <c r="N35" s="5">
        <f t="shared" ref="N35:N41" si="23">IF(H35=0,0,L35/H35)</f>
        <v>7.300564913262525E-2</v>
      </c>
      <c r="O35" s="13"/>
      <c r="P35" s="1">
        <f>SUM(OSRRefP22_1x_0)</f>
        <v>351081.57999999996</v>
      </c>
      <c r="Q35" s="1"/>
      <c r="R35" s="5">
        <f t="shared" ref="R35:R41" si="24">IF(P$12=0,0,P35/P$12)</f>
        <v>0.20393855579936329</v>
      </c>
      <c r="S35" s="1"/>
      <c r="T35" s="1">
        <f>SUM(OSRRefT22_1x_0)</f>
        <v>307273.37</v>
      </c>
      <c r="U35" s="1"/>
      <c r="V35" s="5">
        <f t="shared" ref="V35:V41" si="25">IF(T$12=0,0,T35/T$12)</f>
        <v>0.17624067410736344</v>
      </c>
      <c r="W35" s="1"/>
      <c r="X35" s="1">
        <f t="shared" ref="X35:X41" si="26">+P35-T35</f>
        <v>43808.209999999963</v>
      </c>
      <c r="Y35" s="1"/>
      <c r="Z35" s="5">
        <f t="shared" ref="Z35:Z41" si="27">IF(T35=0,0,X35/T35)</f>
        <v>0.14257079941551709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>
        <v>16527.080000000002</v>
      </c>
      <c r="E36" s="2"/>
      <c r="F36" s="7">
        <f t="shared" si="20"/>
        <v>2.5183888965781304E-2</v>
      </c>
      <c r="G36" s="2"/>
      <c r="H36" s="6">
        <v>16083.329999999998</v>
      </c>
      <c r="I36" s="2"/>
      <c r="J36" s="7">
        <f t="shared" si="21"/>
        <v>2.4662121454630186E-2</v>
      </c>
      <c r="K36" s="2"/>
      <c r="L36" s="6">
        <f t="shared" si="22"/>
        <v>443.75000000000364</v>
      </c>
      <c r="M36" s="2"/>
      <c r="N36" s="7">
        <f t="shared" si="23"/>
        <v>2.7590679293405265E-2</v>
      </c>
      <c r="O36" s="11"/>
      <c r="P36" s="6">
        <v>60667.590000000004</v>
      </c>
      <c r="Q36" s="2"/>
      <c r="R36" s="7">
        <f t="shared" si="24"/>
        <v>3.5240984982544216E-2</v>
      </c>
      <c r="S36" s="2"/>
      <c r="T36" s="6">
        <v>58714.79</v>
      </c>
      <c r="U36" s="2"/>
      <c r="V36" s="7">
        <f t="shared" si="25"/>
        <v>3.367663839424901E-2</v>
      </c>
      <c r="W36" s="2"/>
      <c r="X36" s="6">
        <f t="shared" si="26"/>
        <v>1952.8000000000029</v>
      </c>
      <c r="Y36" s="2"/>
      <c r="Z36" s="7">
        <f t="shared" si="27"/>
        <v>3.3259081740733519E-2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6">
        <v>29811.79</v>
      </c>
      <c r="E37" s="2"/>
      <c r="F37" s="7">
        <f t="shared" si="20"/>
        <v>4.5427069345050024E-2</v>
      </c>
      <c r="G37" s="2"/>
      <c r="H37" s="6">
        <v>29769.32</v>
      </c>
      <c r="I37" s="2"/>
      <c r="J37" s="7">
        <f t="shared" si="21"/>
        <v>4.5648170214859209E-2</v>
      </c>
      <c r="K37" s="2"/>
      <c r="L37" s="6">
        <f t="shared" si="22"/>
        <v>42.470000000001164</v>
      </c>
      <c r="M37" s="2"/>
      <c r="N37" s="7">
        <f t="shared" si="23"/>
        <v>1.4266365506501715E-3</v>
      </c>
      <c r="O37" s="11"/>
      <c r="P37" s="6">
        <v>72618.81</v>
      </c>
      <c r="Q37" s="2"/>
      <c r="R37" s="7">
        <f t="shared" si="24"/>
        <v>4.2183287528979339E-2</v>
      </c>
      <c r="S37" s="2"/>
      <c r="T37" s="6">
        <v>82829.260000000009</v>
      </c>
      <c r="U37" s="2"/>
      <c r="V37" s="7">
        <f t="shared" si="25"/>
        <v>4.7507809147971647E-2</v>
      </c>
      <c r="W37" s="2"/>
      <c r="X37" s="6">
        <f t="shared" si="26"/>
        <v>-10210.450000000012</v>
      </c>
      <c r="Y37" s="2"/>
      <c r="Z37" s="7">
        <f t="shared" si="27"/>
        <v>-0.12327105179981096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6">
        <v>21276.43</v>
      </c>
      <c r="E38" s="2"/>
      <c r="F38" s="7">
        <f t="shared" si="20"/>
        <v>3.2420926788532416E-2</v>
      </c>
      <c r="G38" s="2"/>
      <c r="H38" s="6">
        <v>14764.78</v>
      </c>
      <c r="I38" s="2"/>
      <c r="J38" s="7">
        <f t="shared" si="21"/>
        <v>2.2640261538555431E-2</v>
      </c>
      <c r="K38" s="2"/>
      <c r="L38" s="6">
        <f t="shared" si="22"/>
        <v>6511.65</v>
      </c>
      <c r="M38" s="2"/>
      <c r="N38" s="7">
        <f t="shared" si="23"/>
        <v>0.44102587373465768</v>
      </c>
      <c r="O38" s="11"/>
      <c r="P38" s="6">
        <v>61894.009999999995</v>
      </c>
      <c r="Q38" s="2"/>
      <c r="R38" s="7">
        <f t="shared" si="24"/>
        <v>3.5953395823362051E-2</v>
      </c>
      <c r="S38" s="2"/>
      <c r="T38" s="6">
        <v>34316.140000000007</v>
      </c>
      <c r="U38" s="2"/>
      <c r="V38" s="7">
        <f t="shared" si="25"/>
        <v>1.9682472471866535E-2</v>
      </c>
      <c r="W38" s="2"/>
      <c r="X38" s="6">
        <f t="shared" si="26"/>
        <v>27577.869999999988</v>
      </c>
      <c r="Y38" s="2"/>
      <c r="Z38" s="7">
        <f t="shared" si="27"/>
        <v>0.803641376914769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6">
        <v>1806</v>
      </c>
      <c r="E39" s="2"/>
      <c r="F39" s="7">
        <f t="shared" si="20"/>
        <v>2.7519745455459178E-3</v>
      </c>
      <c r="G39" s="2"/>
      <c r="H39" s="6"/>
      <c r="I39" s="2"/>
      <c r="J39" s="7">
        <f t="shared" si="21"/>
        <v>0</v>
      </c>
      <c r="K39" s="2"/>
      <c r="L39" s="6">
        <f t="shared" si="22"/>
        <v>1806</v>
      </c>
      <c r="M39" s="2"/>
      <c r="N39" s="7">
        <f t="shared" si="23"/>
        <v>0</v>
      </c>
      <c r="O39" s="11"/>
      <c r="P39" s="6">
        <v>8513.07</v>
      </c>
      <c r="Q39" s="2"/>
      <c r="R39" s="7">
        <f t="shared" si="24"/>
        <v>4.9451275718278521E-3</v>
      </c>
      <c r="S39" s="2"/>
      <c r="T39" s="6"/>
      <c r="U39" s="2"/>
      <c r="V39" s="7">
        <f t="shared" si="25"/>
        <v>0</v>
      </c>
      <c r="W39" s="2"/>
      <c r="X39" s="6">
        <f t="shared" si="26"/>
        <v>8513.07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6">
        <v>42141.020000000004</v>
      </c>
      <c r="E40" s="2"/>
      <c r="F40" s="7">
        <f t="shared" si="20"/>
        <v>6.4214293667409439E-2</v>
      </c>
      <c r="G40" s="2"/>
      <c r="H40" s="6">
        <v>40623.49</v>
      </c>
      <c r="I40" s="2"/>
      <c r="J40" s="7">
        <f t="shared" si="21"/>
        <v>6.2291916182218167E-2</v>
      </c>
      <c r="K40" s="2"/>
      <c r="L40" s="6">
        <f t="shared" si="22"/>
        <v>1517.5300000000061</v>
      </c>
      <c r="M40" s="2"/>
      <c r="N40" s="7">
        <f t="shared" si="23"/>
        <v>3.7355973108169835E-2</v>
      </c>
      <c r="O40" s="11"/>
      <c r="P40" s="6">
        <v>136021.1</v>
      </c>
      <c r="Q40" s="2"/>
      <c r="R40" s="7">
        <f t="shared" si="24"/>
        <v>7.9012822866527999E-2</v>
      </c>
      <c r="S40" s="2"/>
      <c r="T40" s="6">
        <v>116068.18</v>
      </c>
      <c r="U40" s="2"/>
      <c r="V40" s="7">
        <f t="shared" si="25"/>
        <v>6.6572427951093832E-2</v>
      </c>
      <c r="W40" s="2"/>
      <c r="X40" s="6">
        <f t="shared" si="26"/>
        <v>19952.920000000013</v>
      </c>
      <c r="Y40" s="2"/>
      <c r="Z40" s="7">
        <f t="shared" si="27"/>
        <v>0.17190689127717876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6">
        <v>4936.5</v>
      </c>
      <c r="E41" s="2"/>
      <c r="F41" s="7">
        <f t="shared" si="20"/>
        <v>7.5222161373684517E-3</v>
      </c>
      <c r="G41" s="2"/>
      <c r="H41" s="6">
        <v>7331.5</v>
      </c>
      <c r="I41" s="2"/>
      <c r="J41" s="7">
        <f t="shared" si="21"/>
        <v>1.1242096222897947E-2</v>
      </c>
      <c r="K41" s="2"/>
      <c r="L41" s="6">
        <f t="shared" si="22"/>
        <v>-2395</v>
      </c>
      <c r="M41" s="2"/>
      <c r="N41" s="7">
        <f t="shared" si="23"/>
        <v>-0.32667257723521792</v>
      </c>
      <c r="O41" s="11"/>
      <c r="P41" s="6">
        <v>11367</v>
      </c>
      <c r="Q41" s="2"/>
      <c r="R41" s="7">
        <f t="shared" si="24"/>
        <v>6.602937026121857E-3</v>
      </c>
      <c r="S41" s="2"/>
      <c r="T41" s="6">
        <v>15345</v>
      </c>
      <c r="U41" s="2"/>
      <c r="V41" s="7">
        <f t="shared" si="25"/>
        <v>8.801326142182422E-3</v>
      </c>
      <c r="W41" s="2"/>
      <c r="X41" s="6">
        <f t="shared" si="26"/>
        <v>-3978</v>
      </c>
      <c r="Y41" s="2"/>
      <c r="Z41" s="7">
        <f t="shared" si="27"/>
        <v>-0.25923753665689148</v>
      </c>
    </row>
    <row r="42" spans="1:26" s="27" customFormat="1" outlineLevel="1" collapsed="1" x14ac:dyDescent="0.25">
      <c r="A42" s="25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474</v>
      </c>
      <c r="E42" s="1"/>
      <c r="F42" s="5">
        <f t="shared" ref="F42:F61" si="28">IF(D$12=0,0,D42/D$12)</f>
        <v>7.2227903354859645E-4</v>
      </c>
      <c r="G42" s="1"/>
      <c r="H42" s="1">
        <f>SUM(OSRRefH22_2x_0)</f>
        <v>161.97999999999999</v>
      </c>
      <c r="I42" s="1"/>
      <c r="J42" s="5">
        <f t="shared" ref="J42:J61" si="29">IF(H$12=0,0,H42/H$12)</f>
        <v>2.4837956027893464E-4</v>
      </c>
      <c r="K42" s="1"/>
      <c r="L42" s="1">
        <f t="shared" ref="L42:L61" si="30">+D42-H42</f>
        <v>312.02</v>
      </c>
      <c r="M42" s="1"/>
      <c r="N42" s="5">
        <f t="shared" ref="N42:N61" si="31">IF(H42=0,0,L42/H42)</f>
        <v>1.9262871959501173</v>
      </c>
      <c r="O42" s="13"/>
      <c r="P42" s="1">
        <f>SUM(OSRRefP22_2x_0)</f>
        <v>2543.6799999999998</v>
      </c>
      <c r="Q42" s="1"/>
      <c r="R42" s="5">
        <f t="shared" ref="R42:R61" si="32">IF(P$12=0,0,P42/P$12)</f>
        <v>1.4775894127391259E-3</v>
      </c>
      <c r="S42" s="1"/>
      <c r="T42" s="1">
        <f>SUM(OSRRefT22_2x_0)</f>
        <v>4411.66</v>
      </c>
      <c r="U42" s="1"/>
      <c r="V42" s="5">
        <f t="shared" ref="V42:V61" si="33">IF(T$12=0,0,T42/T$12)</f>
        <v>2.5303654928915285E-3</v>
      </c>
      <c r="W42" s="1"/>
      <c r="X42" s="1">
        <f t="shared" ref="X42:X61" si="34">+P42-T42</f>
        <v>-1867.98</v>
      </c>
      <c r="Y42" s="1"/>
      <c r="Z42" s="5">
        <f t="shared" ref="Z42:Z61" si="35">IF(T42=0,0,X42/T42)</f>
        <v>-0.42341884914068628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6">
        <v>474</v>
      </c>
      <c r="E43" s="2"/>
      <c r="F43" s="7">
        <f t="shared" si="28"/>
        <v>7.2227903354859645E-4</v>
      </c>
      <c r="G43" s="2"/>
      <c r="H43" s="6">
        <v>161.97999999999999</v>
      </c>
      <c r="I43" s="2"/>
      <c r="J43" s="7">
        <f t="shared" si="29"/>
        <v>2.4837956027893464E-4</v>
      </c>
      <c r="K43" s="2"/>
      <c r="L43" s="6">
        <f t="shared" si="30"/>
        <v>312.02</v>
      </c>
      <c r="M43" s="2"/>
      <c r="N43" s="7">
        <f t="shared" si="31"/>
        <v>1.9262871959501173</v>
      </c>
      <c r="O43" s="11"/>
      <c r="P43" s="6">
        <v>2543.6799999999998</v>
      </c>
      <c r="Q43" s="2"/>
      <c r="R43" s="7">
        <f t="shared" si="32"/>
        <v>1.4775894127391259E-3</v>
      </c>
      <c r="S43" s="2"/>
      <c r="T43" s="6">
        <v>4411.66</v>
      </c>
      <c r="U43" s="2"/>
      <c r="V43" s="7">
        <f t="shared" si="33"/>
        <v>2.5303654928915285E-3</v>
      </c>
      <c r="W43" s="2"/>
      <c r="X43" s="6">
        <f t="shared" si="34"/>
        <v>-1867.98</v>
      </c>
      <c r="Y43" s="2"/>
      <c r="Z43" s="7">
        <f t="shared" si="35"/>
        <v>-0.42341884914068628</v>
      </c>
    </row>
    <row r="44" spans="1:26" s="27" customFormat="1" outlineLevel="1" collapsed="1" x14ac:dyDescent="0.25">
      <c r="A44" s="25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3"/>
      <c r="P44" s="1">
        <f>SUM(OSRRefP22_3x_0)</f>
        <v>1</v>
      </c>
      <c r="Q44" s="1"/>
      <c r="R44" s="5">
        <f t="shared" si="32"/>
        <v>5.8088651589001999E-7</v>
      </c>
      <c r="S44" s="1"/>
      <c r="T44" s="1">
        <f>SUM(OSRRefT22_3x_0)</f>
        <v>16.36</v>
      </c>
      <c r="U44" s="1"/>
      <c r="V44" s="5">
        <f t="shared" si="33"/>
        <v>9.3834927133336219E-6</v>
      </c>
      <c r="W44" s="1"/>
      <c r="X44" s="1">
        <f t="shared" si="34"/>
        <v>-15.36</v>
      </c>
      <c r="Y44" s="1"/>
      <c r="Z44" s="5">
        <f t="shared" si="35"/>
        <v>-0.93887530562347188</v>
      </c>
    </row>
    <row r="45" spans="1:26" s="24" customFormat="1" hidden="1" outlineLevel="2" x14ac:dyDescent="0.25">
      <c r="A45" s="26"/>
      <c r="B45" s="11" t="str">
        <f>CONCATENATE("          ", "6272", " - ", "CASH (OVER/SHORT)")</f>
        <v xml:space="preserve">          6272 - CASH (OVER/SHORT)</v>
      </c>
      <c r="C45" s="11"/>
      <c r="D45" s="6"/>
      <c r="E45" s="2"/>
      <c r="F45" s="7">
        <f t="shared" si="28"/>
        <v>0</v>
      </c>
      <c r="G45" s="2"/>
      <c r="H45" s="6"/>
      <c r="I45" s="2"/>
      <c r="J45" s="7">
        <f t="shared" si="29"/>
        <v>0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>
        <v>1</v>
      </c>
      <c r="Q45" s="2"/>
      <c r="R45" s="7">
        <f t="shared" si="32"/>
        <v>5.8088651589001999E-7</v>
      </c>
      <c r="S45" s="2"/>
      <c r="T45" s="6">
        <v>16.36</v>
      </c>
      <c r="U45" s="2"/>
      <c r="V45" s="7">
        <f t="shared" si="33"/>
        <v>9.3834927133336219E-6</v>
      </c>
      <c r="W45" s="2"/>
      <c r="X45" s="6">
        <f t="shared" si="34"/>
        <v>-15.36</v>
      </c>
      <c r="Y45" s="2"/>
      <c r="Z45" s="7">
        <f t="shared" si="35"/>
        <v>-0.93887530562347188</v>
      </c>
    </row>
    <row r="46" spans="1:26" s="27" customFormat="1" outlineLevel="1" collapsed="1" x14ac:dyDescent="0.25">
      <c r="A46" s="25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510.6</v>
      </c>
      <c r="E46" s="1"/>
      <c r="F46" s="5">
        <f t="shared" si="28"/>
        <v>7.7804994626564001E-4</v>
      </c>
      <c r="G46" s="1"/>
      <c r="H46" s="1">
        <f>SUM(OSRRefH22_4x_0)</f>
        <v>385.87</v>
      </c>
      <c r="I46" s="1"/>
      <c r="J46" s="5">
        <f t="shared" si="29"/>
        <v>5.9169169604168738E-4</v>
      </c>
      <c r="K46" s="1"/>
      <c r="L46" s="1">
        <f t="shared" si="30"/>
        <v>124.73000000000002</v>
      </c>
      <c r="M46" s="1"/>
      <c r="N46" s="5">
        <f t="shared" si="31"/>
        <v>0.32324357944385418</v>
      </c>
      <c r="O46" s="13"/>
      <c r="P46" s="1">
        <f>SUM(OSRRefP22_4x_0)</f>
        <v>926.87</v>
      </c>
      <c r="Q46" s="1"/>
      <c r="R46" s="5">
        <f t="shared" si="32"/>
        <v>5.384062849829828E-4</v>
      </c>
      <c r="S46" s="1"/>
      <c r="T46" s="1">
        <f>SUM(OSRRefT22_4x_0)</f>
        <v>887.79</v>
      </c>
      <c r="U46" s="1"/>
      <c r="V46" s="5">
        <f t="shared" si="33"/>
        <v>5.0920360611066357E-4</v>
      </c>
      <c r="W46" s="1"/>
      <c r="X46" s="1">
        <f t="shared" si="34"/>
        <v>39.080000000000041</v>
      </c>
      <c r="Y46" s="1"/>
      <c r="Z46" s="5">
        <f t="shared" si="35"/>
        <v>4.4019419006747142E-2</v>
      </c>
    </row>
    <row r="47" spans="1:26" s="24" customFormat="1" hidden="1" outlineLevel="2" x14ac:dyDescent="0.25">
      <c r="A47" s="26"/>
      <c r="B47" s="11" t="str">
        <f>CONCATENATE("          ", "6381", " - ", "BANK/CREDIT CARD FEES")</f>
        <v xml:space="preserve">          6381 - BANK/CREDIT CARD FEES</v>
      </c>
      <c r="C47" s="11"/>
      <c r="D47" s="6">
        <v>510.6</v>
      </c>
      <c r="E47" s="2"/>
      <c r="F47" s="7">
        <f t="shared" si="28"/>
        <v>7.7804994626564001E-4</v>
      </c>
      <c r="G47" s="2"/>
      <c r="H47" s="6">
        <v>385.87</v>
      </c>
      <c r="I47" s="2"/>
      <c r="J47" s="7">
        <f t="shared" si="29"/>
        <v>5.9169169604168738E-4</v>
      </c>
      <c r="K47" s="2"/>
      <c r="L47" s="6">
        <f t="shared" si="30"/>
        <v>124.73000000000002</v>
      </c>
      <c r="M47" s="2"/>
      <c r="N47" s="7">
        <f t="shared" si="31"/>
        <v>0.32324357944385418</v>
      </c>
      <c r="O47" s="11"/>
      <c r="P47" s="6">
        <v>926.87</v>
      </c>
      <c r="Q47" s="2"/>
      <c r="R47" s="7">
        <f t="shared" si="32"/>
        <v>5.384062849829828E-4</v>
      </c>
      <c r="S47" s="2"/>
      <c r="T47" s="6">
        <v>887.79</v>
      </c>
      <c r="U47" s="2"/>
      <c r="V47" s="7">
        <f t="shared" si="33"/>
        <v>5.0920360611066357E-4</v>
      </c>
      <c r="W47" s="2"/>
      <c r="X47" s="6">
        <f t="shared" si="34"/>
        <v>39.080000000000041</v>
      </c>
      <c r="Y47" s="2"/>
      <c r="Z47" s="7">
        <f t="shared" si="35"/>
        <v>4.4019419006747142E-2</v>
      </c>
    </row>
    <row r="48" spans="1:26" s="27" customFormat="1" outlineLevel="1" collapsed="1" x14ac:dyDescent="0.25">
      <c r="A48" s="25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SUM(OSRRefD22_5x_0)</f>
        <v>14351.21</v>
      </c>
      <c r="E48" s="1"/>
      <c r="F48" s="5">
        <f t="shared" si="28"/>
        <v>2.1868308204753061E-2</v>
      </c>
      <c r="G48" s="1"/>
      <c r="H48" s="1">
        <f>SUM(OSRRefH22_5x_0)</f>
        <v>13391.88</v>
      </c>
      <c r="I48" s="1"/>
      <c r="J48" s="5">
        <f t="shared" si="29"/>
        <v>2.0535061524313242E-2</v>
      </c>
      <c r="K48" s="1"/>
      <c r="L48" s="1">
        <f t="shared" si="30"/>
        <v>959.32999999999993</v>
      </c>
      <c r="M48" s="1"/>
      <c r="N48" s="5">
        <f t="shared" si="31"/>
        <v>7.1635199837513472E-2</v>
      </c>
      <c r="O48" s="13"/>
      <c r="P48" s="1">
        <f>SUM(OSRRefP22_5x_0)</f>
        <v>29729</v>
      </c>
      <c r="Q48" s="1"/>
      <c r="R48" s="5">
        <f t="shared" si="32"/>
        <v>1.7269175230894405E-2</v>
      </c>
      <c r="S48" s="1"/>
      <c r="T48" s="1">
        <f>SUM(OSRRefT22_5x_0)</f>
        <v>27670.3</v>
      </c>
      <c r="U48" s="1"/>
      <c r="V48" s="5">
        <f t="shared" si="33"/>
        <v>1.5870663717955705E-2</v>
      </c>
      <c r="W48" s="1"/>
      <c r="X48" s="1">
        <f t="shared" si="34"/>
        <v>2058.7000000000007</v>
      </c>
      <c r="Y48" s="1"/>
      <c r="Z48" s="5">
        <f t="shared" si="35"/>
        <v>7.4401072630220874E-2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6">
        <v>14351.21</v>
      </c>
      <c r="E49" s="2"/>
      <c r="F49" s="7">
        <f t="shared" si="28"/>
        <v>2.1868308204753061E-2</v>
      </c>
      <c r="G49" s="2"/>
      <c r="H49" s="6">
        <v>13391.88</v>
      </c>
      <c r="I49" s="2"/>
      <c r="J49" s="7">
        <f t="shared" si="29"/>
        <v>2.0535061524313242E-2</v>
      </c>
      <c r="K49" s="2"/>
      <c r="L49" s="6">
        <f t="shared" si="30"/>
        <v>959.32999999999993</v>
      </c>
      <c r="M49" s="2"/>
      <c r="N49" s="7">
        <f t="shared" si="31"/>
        <v>7.1635199837513472E-2</v>
      </c>
      <c r="O49" s="11"/>
      <c r="P49" s="6">
        <v>29729</v>
      </c>
      <c r="Q49" s="2"/>
      <c r="R49" s="7">
        <f t="shared" si="32"/>
        <v>1.7269175230894405E-2</v>
      </c>
      <c r="S49" s="2"/>
      <c r="T49" s="6">
        <v>27670.3</v>
      </c>
      <c r="U49" s="2"/>
      <c r="V49" s="7">
        <f t="shared" si="33"/>
        <v>1.5870663717955705E-2</v>
      </c>
      <c r="W49" s="2"/>
      <c r="X49" s="6">
        <f t="shared" si="34"/>
        <v>2058.7000000000007</v>
      </c>
      <c r="Y49" s="2"/>
      <c r="Z49" s="7">
        <f t="shared" si="35"/>
        <v>7.4401072630220874E-2</v>
      </c>
    </row>
    <row r="50" spans="1:26" s="27" customFormat="1" outlineLevel="1" collapsed="1" x14ac:dyDescent="0.25">
      <c r="A50" s="25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SUM(OSRRefP22_6x_0)</f>
        <v>21.33</v>
      </c>
      <c r="Q50" s="1"/>
      <c r="R50" s="5">
        <f t="shared" si="32"/>
        <v>1.2390309383934124E-5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21.33</v>
      </c>
      <c r="Y50" s="1"/>
      <c r="Z50" s="5">
        <f t="shared" si="35"/>
        <v>0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8"/>
        <v>0</v>
      </c>
      <c r="G51" s="2"/>
      <c r="H51" s="6"/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21.33</v>
      </c>
      <c r="Q51" s="2"/>
      <c r="R51" s="7">
        <f t="shared" si="32"/>
        <v>1.2390309383934124E-5</v>
      </c>
      <c r="S51" s="2"/>
      <c r="T51" s="6"/>
      <c r="U51" s="2"/>
      <c r="V51" s="7">
        <f t="shared" si="33"/>
        <v>0</v>
      </c>
      <c r="W51" s="2"/>
      <c r="X51" s="6">
        <f t="shared" si="34"/>
        <v>21.33</v>
      </c>
      <c r="Y51" s="2"/>
      <c r="Z51" s="7">
        <f t="shared" si="35"/>
        <v>0</v>
      </c>
    </row>
    <row r="52" spans="1:26" s="27" customFormat="1" outlineLevel="1" collapsed="1" x14ac:dyDescent="0.25">
      <c r="A52" s="25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SUM(OSRRefD22_7x_0)</f>
        <v>83.78</v>
      </c>
      <c r="E52" s="1"/>
      <c r="F52" s="5">
        <f t="shared" si="28"/>
        <v>1.2766358107742912E-4</v>
      </c>
      <c r="G52" s="1"/>
      <c r="H52" s="1">
        <f>SUM(OSRRefH22_7x_0)</f>
        <v>245.15</v>
      </c>
      <c r="I52" s="1"/>
      <c r="J52" s="5">
        <f t="shared" si="29"/>
        <v>3.7591214472392165E-4</v>
      </c>
      <c r="K52" s="1"/>
      <c r="L52" s="1">
        <f t="shared" si="30"/>
        <v>-161.37</v>
      </c>
      <c r="M52" s="1"/>
      <c r="N52" s="5">
        <f t="shared" si="31"/>
        <v>-0.65825005098919032</v>
      </c>
      <c r="O52" s="13"/>
      <c r="P52" s="1">
        <f>SUM(OSRRefP22_7x_0)</f>
        <v>628.66</v>
      </c>
      <c r="Q52" s="1"/>
      <c r="R52" s="5">
        <f t="shared" si="32"/>
        <v>3.6518011707941994E-4</v>
      </c>
      <c r="S52" s="1"/>
      <c r="T52" s="1">
        <f>SUM(OSRRefT22_7x_0)</f>
        <v>842.05</v>
      </c>
      <c r="U52" s="1"/>
      <c r="V52" s="5">
        <f t="shared" si="33"/>
        <v>4.8296882880578091E-4</v>
      </c>
      <c r="W52" s="1"/>
      <c r="X52" s="1">
        <f t="shared" si="34"/>
        <v>-213.39</v>
      </c>
      <c r="Y52" s="1"/>
      <c r="Z52" s="5">
        <f t="shared" si="35"/>
        <v>-0.25341725550739269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>
        <v>83.78</v>
      </c>
      <c r="E53" s="2"/>
      <c r="F53" s="7">
        <f t="shared" si="28"/>
        <v>1.2766358107742912E-4</v>
      </c>
      <c r="G53" s="2"/>
      <c r="H53" s="6">
        <v>245.15</v>
      </c>
      <c r="I53" s="2"/>
      <c r="J53" s="7">
        <f t="shared" si="29"/>
        <v>3.7591214472392165E-4</v>
      </c>
      <c r="K53" s="2"/>
      <c r="L53" s="6">
        <f t="shared" si="30"/>
        <v>-161.37</v>
      </c>
      <c r="M53" s="2"/>
      <c r="N53" s="7">
        <f t="shared" si="31"/>
        <v>-0.65825005098919032</v>
      </c>
      <c r="O53" s="11"/>
      <c r="P53" s="6">
        <v>628.66</v>
      </c>
      <c r="Q53" s="2"/>
      <c r="R53" s="7">
        <f t="shared" si="32"/>
        <v>3.6518011707941994E-4</v>
      </c>
      <c r="S53" s="2"/>
      <c r="T53" s="6">
        <v>842.05</v>
      </c>
      <c r="U53" s="2"/>
      <c r="V53" s="7">
        <f t="shared" si="33"/>
        <v>4.8296882880578091E-4</v>
      </c>
      <c r="W53" s="2"/>
      <c r="X53" s="6">
        <f t="shared" si="34"/>
        <v>-213.39</v>
      </c>
      <c r="Y53" s="2"/>
      <c r="Z53" s="7">
        <f t="shared" si="35"/>
        <v>-0.25341725550739269</v>
      </c>
    </row>
    <row r="54" spans="1:26" s="27" customFormat="1" outlineLevel="1" collapsed="1" x14ac:dyDescent="0.25">
      <c r="A54" s="25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25</v>
      </c>
      <c r="I54" s="1"/>
      <c r="J54" s="5">
        <f t="shared" si="29"/>
        <v>3.8334911760546771E-5</v>
      </c>
      <c r="K54" s="1"/>
      <c r="L54" s="1">
        <f t="shared" si="30"/>
        <v>-25</v>
      </c>
      <c r="M54" s="1"/>
      <c r="N54" s="5">
        <f t="shared" si="31"/>
        <v>-1</v>
      </c>
      <c r="O54" s="13"/>
      <c r="P54" s="1">
        <f>SUM(OSRRefP22_8x_0)</f>
        <v>1499.55</v>
      </c>
      <c r="Q54" s="1"/>
      <c r="R54" s="5">
        <f t="shared" si="32"/>
        <v>8.7106837490287937E-4</v>
      </c>
      <c r="S54" s="1"/>
      <c r="T54" s="1">
        <f>SUM(OSRRefT22_8x_0)</f>
        <v>1540.54</v>
      </c>
      <c r="U54" s="1"/>
      <c r="V54" s="5">
        <f t="shared" si="33"/>
        <v>8.8359693548893507E-4</v>
      </c>
      <c r="W54" s="1"/>
      <c r="X54" s="1">
        <f t="shared" si="34"/>
        <v>-40.990000000000009</v>
      </c>
      <c r="Y54" s="1"/>
      <c r="Z54" s="5">
        <f t="shared" si="35"/>
        <v>-2.6607553195632707E-2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8"/>
        <v>0</v>
      </c>
      <c r="G55" s="2"/>
      <c r="H55" s="6">
        <v>25</v>
      </c>
      <c r="I55" s="2"/>
      <c r="J55" s="7">
        <f t="shared" si="29"/>
        <v>3.8334911760546771E-5</v>
      </c>
      <c r="K55" s="2"/>
      <c r="L55" s="6">
        <f t="shared" si="30"/>
        <v>-25</v>
      </c>
      <c r="M55" s="2"/>
      <c r="N55" s="7">
        <f t="shared" si="31"/>
        <v>-1</v>
      </c>
      <c r="O55" s="11"/>
      <c r="P55" s="6">
        <v>1499.55</v>
      </c>
      <c r="Q55" s="2"/>
      <c r="R55" s="7">
        <f t="shared" si="32"/>
        <v>8.7106837490287937E-4</v>
      </c>
      <c r="S55" s="2"/>
      <c r="T55" s="6">
        <v>1540.54</v>
      </c>
      <c r="U55" s="2"/>
      <c r="V55" s="7">
        <f t="shared" si="33"/>
        <v>8.8359693548893507E-4</v>
      </c>
      <c r="W55" s="2"/>
      <c r="X55" s="6">
        <f t="shared" si="34"/>
        <v>-40.990000000000009</v>
      </c>
      <c r="Y55" s="2"/>
      <c r="Z55" s="7">
        <f t="shared" si="35"/>
        <v>-2.6607553195632707E-2</v>
      </c>
    </row>
    <row r="56" spans="1:26" s="27" customFormat="1" outlineLevel="1" collapsed="1" x14ac:dyDescent="0.25">
      <c r="A56" s="25"/>
      <c r="B56" s="13" t="str">
        <f>CONCATENATE("     ","R/H Commissions                                   ")</f>
        <v xml:space="preserve">     R/H Commissions                                   </v>
      </c>
      <c r="C56" s="13"/>
      <c r="D56" s="1">
        <f>SUM(OSRRefD22_9x_0)</f>
        <v>51274.86</v>
      </c>
      <c r="E56" s="1"/>
      <c r="F56" s="5">
        <f t="shared" si="28"/>
        <v>7.8132397312530771E-2</v>
      </c>
      <c r="G56" s="1"/>
      <c r="H56" s="1">
        <f>SUM(OSRRefH22_9x_0)</f>
        <v>51100.42</v>
      </c>
      <c r="I56" s="1"/>
      <c r="J56" s="5">
        <f t="shared" si="29"/>
        <v>7.8357203665075176E-2</v>
      </c>
      <c r="K56" s="1"/>
      <c r="L56" s="1">
        <f t="shared" si="30"/>
        <v>174.44000000000233</v>
      </c>
      <c r="M56" s="1"/>
      <c r="N56" s="5">
        <f t="shared" si="31"/>
        <v>3.413670572570682E-3</v>
      </c>
      <c r="O56" s="13"/>
      <c r="P56" s="1">
        <f>SUM(OSRRefP22_9x_0)</f>
        <v>131719.14000000001</v>
      </c>
      <c r="Q56" s="1"/>
      <c r="R56" s="5">
        <f t="shared" si="32"/>
        <v>7.6513872310629769E-2</v>
      </c>
      <c r="S56" s="1"/>
      <c r="T56" s="1">
        <f>SUM(OSRRefT22_9x_0)</f>
        <v>132214.75999999998</v>
      </c>
      <c r="U56" s="1"/>
      <c r="V56" s="5">
        <f t="shared" si="33"/>
        <v>7.5833510822442149E-2</v>
      </c>
      <c r="W56" s="1"/>
      <c r="X56" s="1">
        <f t="shared" si="34"/>
        <v>-495.61999999996624</v>
      </c>
      <c r="Y56" s="1"/>
      <c r="Z56" s="5">
        <f t="shared" si="35"/>
        <v>-3.7485981141588604E-3</v>
      </c>
    </row>
    <row r="57" spans="1:26" s="24" customFormat="1" hidden="1" outlineLevel="2" x14ac:dyDescent="0.25">
      <c r="A57" s="26"/>
      <c r="B57" s="11" t="str">
        <f>CONCATENATE("          ", "6387", " - ", "COMMISSION DUE HOUSING")</f>
        <v xml:space="preserve">          6387 - COMMISSION DUE HOUSING</v>
      </c>
      <c r="C57" s="11"/>
      <c r="D57" s="6">
        <v>51274.86</v>
      </c>
      <c r="E57" s="2"/>
      <c r="F57" s="7">
        <f t="shared" si="28"/>
        <v>7.8132397312530771E-2</v>
      </c>
      <c r="G57" s="2"/>
      <c r="H57" s="6">
        <v>51100.42</v>
      </c>
      <c r="I57" s="2"/>
      <c r="J57" s="7">
        <f t="shared" si="29"/>
        <v>7.8357203665075176E-2</v>
      </c>
      <c r="K57" s="2"/>
      <c r="L57" s="6">
        <f t="shared" si="30"/>
        <v>174.44000000000233</v>
      </c>
      <c r="M57" s="2"/>
      <c r="N57" s="7">
        <f t="shared" si="31"/>
        <v>3.413670572570682E-3</v>
      </c>
      <c r="O57" s="11"/>
      <c r="P57" s="6">
        <v>131719.14000000001</v>
      </c>
      <c r="Q57" s="2"/>
      <c r="R57" s="7">
        <f t="shared" si="32"/>
        <v>7.6513872310629769E-2</v>
      </c>
      <c r="S57" s="2"/>
      <c r="T57" s="6">
        <v>132214.75999999998</v>
      </c>
      <c r="U57" s="2"/>
      <c r="V57" s="7">
        <f t="shared" si="33"/>
        <v>7.5833510822442149E-2</v>
      </c>
      <c r="W57" s="2"/>
      <c r="X57" s="6">
        <f t="shared" si="34"/>
        <v>-495.61999999996624</v>
      </c>
      <c r="Y57" s="2"/>
      <c r="Z57" s="7">
        <f t="shared" si="35"/>
        <v>-3.7485981141588604E-3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220.26</v>
      </c>
      <c r="E58" s="1"/>
      <c r="F58" s="5">
        <f t="shared" si="28"/>
        <v>3.3563118128568321E-4</v>
      </c>
      <c r="G58" s="1"/>
      <c r="H58" s="1">
        <f>SUM(OSRRefH22_10x_0)</f>
        <v>540.23</v>
      </c>
      <c r="I58" s="1"/>
      <c r="J58" s="5">
        <f t="shared" si="29"/>
        <v>8.2838677521600735E-4</v>
      </c>
      <c r="K58" s="1"/>
      <c r="L58" s="1">
        <f t="shared" si="30"/>
        <v>-319.97000000000003</v>
      </c>
      <c r="M58" s="1"/>
      <c r="N58" s="5">
        <f t="shared" si="31"/>
        <v>-0.59228476759898563</v>
      </c>
      <c r="O58" s="13"/>
      <c r="P58" s="1">
        <f>SUM(OSRRefP22_10x_0)</f>
        <v>220.26</v>
      </c>
      <c r="Q58" s="1"/>
      <c r="R58" s="5">
        <f t="shared" si="32"/>
        <v>1.2794606398993578E-4</v>
      </c>
      <c r="S58" s="1"/>
      <c r="T58" s="1">
        <f>SUM(OSRRefT22_10x_0)</f>
        <v>607.70000000000005</v>
      </c>
      <c r="U58" s="1"/>
      <c r="V58" s="5">
        <f t="shared" si="33"/>
        <v>3.4855431062914686E-4</v>
      </c>
      <c r="W58" s="1"/>
      <c r="X58" s="1">
        <f t="shared" si="34"/>
        <v>-387.44000000000005</v>
      </c>
      <c r="Y58" s="1"/>
      <c r="Z58" s="5">
        <f t="shared" si="35"/>
        <v>-0.63755142339970383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28"/>
        <v>0</v>
      </c>
      <c r="G59" s="2"/>
      <c r="H59" s="6">
        <v>540.23</v>
      </c>
      <c r="I59" s="2"/>
      <c r="J59" s="7">
        <f t="shared" si="29"/>
        <v>8.2838677521600735E-4</v>
      </c>
      <c r="K59" s="2"/>
      <c r="L59" s="6">
        <f t="shared" si="30"/>
        <v>-540.23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540.23</v>
      </c>
      <c r="U59" s="2"/>
      <c r="V59" s="7">
        <f t="shared" si="33"/>
        <v>3.0985600663350994E-4</v>
      </c>
      <c r="W59" s="2"/>
      <c r="X59" s="6">
        <f t="shared" si="34"/>
        <v>-540.23</v>
      </c>
      <c r="Y59" s="2"/>
      <c r="Z59" s="7">
        <f t="shared" si="35"/>
        <v>-1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>
        <v>68.48</v>
      </c>
      <c r="E60" s="2"/>
      <c r="F60" s="7">
        <f t="shared" si="28"/>
        <v>1.0434951100718963E-4</v>
      </c>
      <c r="G60" s="2"/>
      <c r="H60" s="6"/>
      <c r="I60" s="2"/>
      <c r="J60" s="7">
        <f t="shared" si="29"/>
        <v>0</v>
      </c>
      <c r="K60" s="2"/>
      <c r="L60" s="6">
        <f t="shared" si="30"/>
        <v>68.48</v>
      </c>
      <c r="M60" s="2"/>
      <c r="N60" s="7">
        <f t="shared" si="31"/>
        <v>0</v>
      </c>
      <c r="O60" s="11"/>
      <c r="P60" s="6">
        <v>68.48</v>
      </c>
      <c r="Q60" s="2"/>
      <c r="R60" s="7">
        <f t="shared" si="32"/>
        <v>3.977910860814857E-5</v>
      </c>
      <c r="S60" s="2"/>
      <c r="T60" s="6">
        <v>67.47</v>
      </c>
      <c r="U60" s="2"/>
      <c r="V60" s="7">
        <f t="shared" si="33"/>
        <v>3.8698303995636885E-5</v>
      </c>
      <c r="W60" s="2"/>
      <c r="X60" s="6">
        <f t="shared" si="34"/>
        <v>1.0100000000000051</v>
      </c>
      <c r="Y60" s="2"/>
      <c r="Z60" s="7">
        <f t="shared" si="35"/>
        <v>1.4969616125685566E-2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151.78</v>
      </c>
      <c r="E61" s="2"/>
      <c r="F61" s="7">
        <f t="shared" si="28"/>
        <v>2.3128167027849361E-4</v>
      </c>
      <c r="G61" s="2"/>
      <c r="H61" s="6"/>
      <c r="I61" s="2"/>
      <c r="J61" s="7">
        <f t="shared" si="29"/>
        <v>0</v>
      </c>
      <c r="K61" s="2"/>
      <c r="L61" s="6">
        <f t="shared" si="30"/>
        <v>151.78</v>
      </c>
      <c r="M61" s="2"/>
      <c r="N61" s="7">
        <f t="shared" si="31"/>
        <v>0</v>
      </c>
      <c r="O61" s="11"/>
      <c r="P61" s="6">
        <v>151.78</v>
      </c>
      <c r="Q61" s="2"/>
      <c r="R61" s="7">
        <f t="shared" si="32"/>
        <v>8.8166955381787228E-5</v>
      </c>
      <c r="S61" s="2"/>
      <c r="T61" s="6"/>
      <c r="U61" s="2"/>
      <c r="V61" s="7">
        <f t="shared" si="33"/>
        <v>0</v>
      </c>
      <c r="W61" s="2"/>
      <c r="X61" s="6">
        <f t="shared" si="34"/>
        <v>151.78</v>
      </c>
      <c r="Y61" s="2"/>
      <c r="Z61" s="7">
        <f t="shared" si="35"/>
        <v>0</v>
      </c>
    </row>
    <row r="62" spans="1:26" s="27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SUM(OSRRefD22_11x_0)</f>
        <v>6495.56</v>
      </c>
      <c r="E62" s="1"/>
      <c r="F62" s="5">
        <f t="shared" ref="F62:F65" si="36">IF(D$12=0,0,D62/D$12)</f>
        <v>9.8979046395715631E-3</v>
      </c>
      <c r="G62" s="1"/>
      <c r="H62" s="1">
        <f>SUM(OSRRefH22_11x_0)</f>
        <v>6699.52</v>
      </c>
      <c r="I62" s="1"/>
      <c r="J62" s="5">
        <f t="shared" ref="J62:J65" si="37">IF(H$12=0,0,H62/H$12)</f>
        <v>1.0273020321520733E-2</v>
      </c>
      <c r="K62" s="1"/>
      <c r="L62" s="1">
        <f t="shared" ref="L62:L65" si="38">+D62-H62</f>
        <v>-203.96000000000004</v>
      </c>
      <c r="M62" s="1"/>
      <c r="N62" s="5">
        <f t="shared" ref="N62:N65" si="39">IF(H62=0,0,L62/H62)</f>
        <v>-3.0443972105464276E-2</v>
      </c>
      <c r="O62" s="13"/>
      <c r="P62" s="1">
        <f>SUM(OSRRefP22_11x_0)</f>
        <v>26403.63</v>
      </c>
      <c r="Q62" s="1"/>
      <c r="R62" s="5">
        <f t="shared" ref="R62:R65" si="40">IF(P$12=0,0,P62/P$12)</f>
        <v>1.5337512637549209E-2</v>
      </c>
      <c r="S62" s="1"/>
      <c r="T62" s="1">
        <f>SUM(OSRRefT22_11x_0)</f>
        <v>23444.46</v>
      </c>
      <c r="U62" s="1"/>
      <c r="V62" s="5">
        <f t="shared" ref="V62:V65" si="41">IF(T$12=0,0,T62/T$12)</f>
        <v>1.3446877724819166E-2</v>
      </c>
      <c r="W62" s="1"/>
      <c r="X62" s="1">
        <f t="shared" ref="X62:X65" si="42">+P62-T62</f>
        <v>2959.1700000000019</v>
      </c>
      <c r="Y62" s="1"/>
      <c r="Z62" s="5">
        <f t="shared" ref="Z62:Z65" si="43">IF(T62=0,0,X62/T62)</f>
        <v>0.12622043757885668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417.32</v>
      </c>
      <c r="E63" s="2"/>
      <c r="F63" s="7">
        <f t="shared" si="36"/>
        <v>6.359103086086503E-4</v>
      </c>
      <c r="G63" s="2"/>
      <c r="H63" s="6">
        <v>417.32</v>
      </c>
      <c r="I63" s="2"/>
      <c r="J63" s="7">
        <f t="shared" si="37"/>
        <v>6.399170150364552E-4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1789.28</v>
      </c>
      <c r="Q63" s="2"/>
      <c r="R63" s="7">
        <f t="shared" si="40"/>
        <v>1.0393686251516949E-3</v>
      </c>
      <c r="S63" s="2"/>
      <c r="T63" s="6">
        <v>1669.28</v>
      </c>
      <c r="U63" s="2"/>
      <c r="V63" s="7">
        <f t="shared" si="41"/>
        <v>9.5743745210963012E-4</v>
      </c>
      <c r="W63" s="2"/>
      <c r="X63" s="6">
        <f t="shared" si="42"/>
        <v>120</v>
      </c>
      <c r="Y63" s="2"/>
      <c r="Z63" s="7">
        <f t="shared" si="43"/>
        <v>7.1887280743793733E-2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6">
        <v>3882.07</v>
      </c>
      <c r="E64" s="2"/>
      <c r="F64" s="7">
        <f t="shared" si="36"/>
        <v>5.915480522717299E-3</v>
      </c>
      <c r="G64" s="2"/>
      <c r="H64" s="6">
        <v>3603.61</v>
      </c>
      <c r="I64" s="2"/>
      <c r="J64" s="7">
        <f t="shared" si="37"/>
        <v>5.5257628547769585E-3</v>
      </c>
      <c r="K64" s="2"/>
      <c r="L64" s="6">
        <f t="shared" si="38"/>
        <v>278.46000000000004</v>
      </c>
      <c r="M64" s="2"/>
      <c r="N64" s="7">
        <f t="shared" si="39"/>
        <v>7.727251284128972E-2</v>
      </c>
      <c r="O64" s="11"/>
      <c r="P64" s="6">
        <v>16785.240000000002</v>
      </c>
      <c r="Q64" s="2"/>
      <c r="R64" s="7">
        <f t="shared" si="40"/>
        <v>9.7503195819777996E-3</v>
      </c>
      <c r="S64" s="2"/>
      <c r="T64" s="6">
        <v>14414.44</v>
      </c>
      <c r="U64" s="2"/>
      <c r="V64" s="7">
        <f t="shared" si="41"/>
        <v>8.2675912412460088E-3</v>
      </c>
      <c r="W64" s="2"/>
      <c r="X64" s="6">
        <f t="shared" si="42"/>
        <v>2370.8000000000011</v>
      </c>
      <c r="Y64" s="2"/>
      <c r="Z64" s="7">
        <f t="shared" si="43"/>
        <v>0.16447395805872453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6">
        <v>2196.17</v>
      </c>
      <c r="E65" s="2"/>
      <c r="F65" s="7">
        <f t="shared" si="36"/>
        <v>3.3465138082456138E-3</v>
      </c>
      <c r="G65" s="2"/>
      <c r="H65" s="6">
        <v>2678.59</v>
      </c>
      <c r="I65" s="2"/>
      <c r="J65" s="7">
        <f t="shared" si="37"/>
        <v>4.1073404517073192E-3</v>
      </c>
      <c r="K65" s="2"/>
      <c r="L65" s="6">
        <f t="shared" si="38"/>
        <v>-482.42000000000007</v>
      </c>
      <c r="M65" s="2"/>
      <c r="N65" s="7">
        <f t="shared" si="39"/>
        <v>-0.1801022179579555</v>
      </c>
      <c r="O65" s="11"/>
      <c r="P65" s="6">
        <v>7829.11</v>
      </c>
      <c r="Q65" s="2"/>
      <c r="R65" s="7">
        <f t="shared" si="40"/>
        <v>4.5478244304197144E-3</v>
      </c>
      <c r="S65" s="2"/>
      <c r="T65" s="6">
        <v>7360.74</v>
      </c>
      <c r="U65" s="2"/>
      <c r="V65" s="7">
        <f t="shared" si="41"/>
        <v>4.2218490314635286E-3</v>
      </c>
      <c r="W65" s="2"/>
      <c r="X65" s="6">
        <f t="shared" si="42"/>
        <v>468.36999999999989</v>
      </c>
      <c r="Y65" s="2"/>
      <c r="Z65" s="7">
        <f t="shared" si="43"/>
        <v>6.3630830595836824E-2</v>
      </c>
    </row>
    <row r="66" spans="1:26" s="27" customFormat="1" outlineLevel="1" collapsed="1" x14ac:dyDescent="0.25">
      <c r="A66" s="25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10919.51</v>
      </c>
      <c r="E66" s="1"/>
      <c r="F66" s="5">
        <f t="shared" ref="F66:F72" si="44">IF(D$12=0,0,D66/D$12)</f>
        <v>1.6639099429586992E-2</v>
      </c>
      <c r="G66" s="1"/>
      <c r="H66" s="1">
        <f>SUM(OSRRefH22_12x_0)</f>
        <v>9599.6700000000019</v>
      </c>
      <c r="I66" s="1"/>
      <c r="J66" s="5">
        <f t="shared" ref="J66:J72" si="45">IF(H$12=0,0,H66/H$12)</f>
        <v>1.4720100095214725E-2</v>
      </c>
      <c r="K66" s="1"/>
      <c r="L66" s="1">
        <f t="shared" ref="L66:L72" si="46">+D66-H66</f>
        <v>1319.8399999999983</v>
      </c>
      <c r="M66" s="1"/>
      <c r="N66" s="5">
        <f t="shared" ref="N66:N72" si="47">IF(H66=0,0,L66/H66)</f>
        <v>0.13748805948537793</v>
      </c>
      <c r="O66" s="13"/>
      <c r="P66" s="1">
        <f>SUM(OSRRefP22_12x_0)</f>
        <v>30967.64</v>
      </c>
      <c r="Q66" s="1"/>
      <c r="R66" s="5">
        <f t="shared" ref="R66:R72" si="48">IF(P$12=0,0,P66/P$12)</f>
        <v>1.7988684504936417E-2</v>
      </c>
      <c r="S66" s="1"/>
      <c r="T66" s="1">
        <f>SUM(OSRRefT22_12x_0)</f>
        <v>35138.129999999997</v>
      </c>
      <c r="U66" s="1"/>
      <c r="V66" s="5">
        <f t="shared" ref="V66:V72" si="49">IF(T$12=0,0,T66/T$12)</f>
        <v>2.0153935624399114E-2</v>
      </c>
      <c r="W66" s="1"/>
      <c r="X66" s="1">
        <f t="shared" ref="X66:X72" si="50">+P66-T66</f>
        <v>-4170.489999999998</v>
      </c>
      <c r="Y66" s="1"/>
      <c r="Z66" s="5">
        <f t="shared" ref="Z66:Z72" si="51">IF(T66=0,0,X66/T66)</f>
        <v>-0.11868844471803133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6">
        <v>5326.32</v>
      </c>
      <c r="E67" s="2"/>
      <c r="F67" s="7">
        <f t="shared" si="44"/>
        <v>8.1162220716678481E-3</v>
      </c>
      <c r="G67" s="2"/>
      <c r="H67" s="6">
        <v>4395.0600000000004</v>
      </c>
      <c r="I67" s="2"/>
      <c r="J67" s="7">
        <f t="shared" si="45"/>
        <v>6.7393694912923491E-3</v>
      </c>
      <c r="K67" s="2"/>
      <c r="L67" s="6">
        <f t="shared" si="46"/>
        <v>931.25999999999931</v>
      </c>
      <c r="M67" s="2"/>
      <c r="N67" s="7">
        <f t="shared" si="47"/>
        <v>0.21188789231546309</v>
      </c>
      <c r="O67" s="11"/>
      <c r="P67" s="6">
        <v>13602.08</v>
      </c>
      <c r="Q67" s="2"/>
      <c r="R67" s="7">
        <f t="shared" si="48"/>
        <v>7.9012648600573221E-3</v>
      </c>
      <c r="S67" s="2"/>
      <c r="T67" s="6">
        <v>15959.94</v>
      </c>
      <c r="U67" s="2"/>
      <c r="V67" s="7">
        <f t="shared" si="49"/>
        <v>9.154033049831407E-3</v>
      </c>
      <c r="W67" s="2"/>
      <c r="X67" s="6">
        <f t="shared" si="50"/>
        <v>-2357.8600000000006</v>
      </c>
      <c r="Y67" s="2"/>
      <c r="Z67" s="7">
        <f t="shared" si="51"/>
        <v>-0.14773614437147009</v>
      </c>
    </row>
    <row r="68" spans="1:26" s="24" customFormat="1" hidden="1" outlineLevel="2" x14ac:dyDescent="0.25">
      <c r="A68" s="26"/>
      <c r="B68" s="11" t="str">
        <f>CONCATENATE("          ", "6239", " - ", "KITCHEN SUPPLIES")</f>
        <v xml:space="preserve">          6239 - KITCHEN SUPPLIES</v>
      </c>
      <c r="C68" s="11"/>
      <c r="D68" s="6">
        <v>273.88</v>
      </c>
      <c r="E68" s="2"/>
      <c r="F68" s="7">
        <f t="shared" si="44"/>
        <v>4.1733709221158141E-4</v>
      </c>
      <c r="G68" s="2"/>
      <c r="H68" s="6">
        <v>1236.42</v>
      </c>
      <c r="I68" s="2"/>
      <c r="J68" s="7">
        <f t="shared" si="45"/>
        <v>1.8959220639590097E-3</v>
      </c>
      <c r="K68" s="2"/>
      <c r="L68" s="6">
        <f t="shared" si="46"/>
        <v>-962.54000000000008</v>
      </c>
      <c r="M68" s="2"/>
      <c r="N68" s="7">
        <f t="shared" si="47"/>
        <v>-0.77848951003704248</v>
      </c>
      <c r="O68" s="11"/>
      <c r="P68" s="6">
        <v>2805.65</v>
      </c>
      <c r="Q68" s="2"/>
      <c r="R68" s="7">
        <f t="shared" si="48"/>
        <v>1.6297642533068346E-3</v>
      </c>
      <c r="S68" s="2"/>
      <c r="T68" s="6">
        <v>3536.18</v>
      </c>
      <c r="U68" s="2"/>
      <c r="V68" s="7">
        <f t="shared" si="49"/>
        <v>2.0282224488408366E-3</v>
      </c>
      <c r="W68" s="2"/>
      <c r="X68" s="6">
        <f t="shared" si="50"/>
        <v>-730.52999999999975</v>
      </c>
      <c r="Y68" s="2"/>
      <c r="Z68" s="7">
        <f t="shared" si="51"/>
        <v>-0.20658733435515153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6">
        <v>28.6</v>
      </c>
      <c r="E69" s="2"/>
      <c r="F69" s="7">
        <f t="shared" si="44"/>
        <v>4.3580549281624172E-5</v>
      </c>
      <c r="G69" s="2"/>
      <c r="H69" s="6">
        <v>239.68</v>
      </c>
      <c r="I69" s="2"/>
      <c r="J69" s="7">
        <f t="shared" si="45"/>
        <v>3.6752446603071406E-4</v>
      </c>
      <c r="K69" s="2"/>
      <c r="L69" s="6">
        <f t="shared" si="46"/>
        <v>-211.08</v>
      </c>
      <c r="M69" s="2"/>
      <c r="N69" s="7">
        <f t="shared" si="47"/>
        <v>-0.8806742323097464</v>
      </c>
      <c r="O69" s="11"/>
      <c r="P69" s="6">
        <v>1151.5</v>
      </c>
      <c r="Q69" s="2"/>
      <c r="R69" s="7">
        <f t="shared" si="48"/>
        <v>6.6889082304735802E-4</v>
      </c>
      <c r="S69" s="2"/>
      <c r="T69" s="6">
        <v>1628.48</v>
      </c>
      <c r="U69" s="2"/>
      <c r="V69" s="7">
        <f t="shared" si="49"/>
        <v>9.3403607663872473E-4</v>
      </c>
      <c r="W69" s="2"/>
      <c r="X69" s="6">
        <f t="shared" si="50"/>
        <v>-476.98</v>
      </c>
      <c r="Y69" s="2"/>
      <c r="Z69" s="7">
        <f t="shared" si="51"/>
        <v>-0.29289889958734527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6">
        <v>5290.71</v>
      </c>
      <c r="E70" s="2"/>
      <c r="F70" s="7">
        <f t="shared" si="44"/>
        <v>8.0619597164259382E-3</v>
      </c>
      <c r="G70" s="2"/>
      <c r="H70" s="6">
        <v>3172.42</v>
      </c>
      <c r="I70" s="2"/>
      <c r="J70" s="7">
        <f t="shared" si="45"/>
        <v>4.8645776306957518E-3</v>
      </c>
      <c r="K70" s="2"/>
      <c r="L70" s="6">
        <f t="shared" si="46"/>
        <v>2118.29</v>
      </c>
      <c r="M70" s="2"/>
      <c r="N70" s="7">
        <f t="shared" si="47"/>
        <v>0.66772054141633197</v>
      </c>
      <c r="O70" s="11"/>
      <c r="P70" s="6">
        <v>11744.99</v>
      </c>
      <c r="Q70" s="2"/>
      <c r="R70" s="7">
        <f t="shared" si="48"/>
        <v>6.8225063202631258E-3</v>
      </c>
      <c r="S70" s="2"/>
      <c r="T70" s="6">
        <v>9173.02</v>
      </c>
      <c r="U70" s="2"/>
      <c r="V70" s="7">
        <f t="shared" si="49"/>
        <v>5.2613060103461852E-3</v>
      </c>
      <c r="W70" s="2"/>
      <c r="X70" s="6">
        <f t="shared" si="50"/>
        <v>2571.9699999999993</v>
      </c>
      <c r="Y70" s="2"/>
      <c r="Z70" s="7">
        <f t="shared" si="51"/>
        <v>0.28038421370497385</v>
      </c>
    </row>
    <row r="71" spans="1:26" s="24" customFormat="1" hidden="1" outlineLevel="2" x14ac:dyDescent="0.25">
      <c r="A71" s="26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4"/>
        <v>0</v>
      </c>
      <c r="G71" s="2"/>
      <c r="H71" s="6">
        <v>145.09</v>
      </c>
      <c r="I71" s="2"/>
      <c r="J71" s="7">
        <f t="shared" si="45"/>
        <v>2.2248049389350926E-4</v>
      </c>
      <c r="K71" s="2"/>
      <c r="L71" s="6">
        <f t="shared" si="46"/>
        <v>-145.09</v>
      </c>
      <c r="M71" s="2"/>
      <c r="N71" s="7">
        <f t="shared" si="47"/>
        <v>-1</v>
      </c>
      <c r="O71" s="11"/>
      <c r="P71" s="6">
        <v>441</v>
      </c>
      <c r="Q71" s="2"/>
      <c r="R71" s="7">
        <f t="shared" si="48"/>
        <v>2.5617095350749882E-4</v>
      </c>
      <c r="S71" s="2"/>
      <c r="T71" s="6">
        <v>1522.08</v>
      </c>
      <c r="U71" s="2"/>
      <c r="V71" s="7">
        <f t="shared" si="49"/>
        <v>8.730089602145989E-4</v>
      </c>
      <c r="W71" s="2"/>
      <c r="X71" s="6">
        <f t="shared" si="50"/>
        <v>-1081.08</v>
      </c>
      <c r="Y71" s="2"/>
      <c r="Z71" s="7">
        <f t="shared" si="51"/>
        <v>-0.71026490066225167</v>
      </c>
    </row>
    <row r="72" spans="1:26" s="24" customFormat="1" hidden="1" outlineLevel="2" x14ac:dyDescent="0.25">
      <c r="A72" s="26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44"/>
        <v>0</v>
      </c>
      <c r="G72" s="2"/>
      <c r="H72" s="6">
        <v>411</v>
      </c>
      <c r="I72" s="2"/>
      <c r="J72" s="7">
        <f t="shared" si="45"/>
        <v>6.3022594934338894E-4</v>
      </c>
      <c r="K72" s="2"/>
      <c r="L72" s="6">
        <f t="shared" si="46"/>
        <v>-411</v>
      </c>
      <c r="M72" s="2"/>
      <c r="N72" s="7">
        <f t="shared" si="47"/>
        <v>-1</v>
      </c>
      <c r="O72" s="11"/>
      <c r="P72" s="6">
        <v>1222.42</v>
      </c>
      <c r="Q72" s="2"/>
      <c r="R72" s="7">
        <f t="shared" si="48"/>
        <v>7.1008729475427826E-4</v>
      </c>
      <c r="S72" s="2"/>
      <c r="T72" s="6">
        <v>3318.43</v>
      </c>
      <c r="U72" s="2"/>
      <c r="V72" s="7">
        <f t="shared" si="49"/>
        <v>1.903329078527365E-3</v>
      </c>
      <c r="W72" s="2"/>
      <c r="X72" s="6">
        <f t="shared" si="50"/>
        <v>-2096.0099999999998</v>
      </c>
      <c r="Y72" s="2"/>
      <c r="Z72" s="7">
        <f t="shared" si="51"/>
        <v>-0.63162700433638796</v>
      </c>
    </row>
    <row r="73" spans="1:26" s="27" customFormat="1" outlineLevel="1" collapsed="1" x14ac:dyDescent="0.25">
      <c r="A73" s="25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SUM(OSRRefD22_13x_0)</f>
        <v>189.1</v>
      </c>
      <c r="E73" s="1"/>
      <c r="F73" s="5">
        <f t="shared" ref="F73:F79" si="52">IF(D$12=0,0,D73/D$12)</f>
        <v>2.8814971570472484E-4</v>
      </c>
      <c r="G73" s="1"/>
      <c r="H73" s="1">
        <f>SUM(OSRRefH22_13x_0)</f>
        <v>173.7</v>
      </c>
      <c r="I73" s="1"/>
      <c r="J73" s="5">
        <f t="shared" ref="J73:J79" si="53">IF(H$12=0,0,H73/H$12)</f>
        <v>2.6635096691227897E-4</v>
      </c>
      <c r="K73" s="1"/>
      <c r="L73" s="1">
        <f t="shared" ref="L73:L79" si="54">+D73-H73</f>
        <v>15.400000000000006</v>
      </c>
      <c r="M73" s="1"/>
      <c r="N73" s="5">
        <f t="shared" ref="N73:N79" si="55">IF(H73=0,0,L73/H73)</f>
        <v>8.8658606793321854E-2</v>
      </c>
      <c r="O73" s="13"/>
      <c r="P73" s="1">
        <f>SUM(OSRRefP22_13x_0)</f>
        <v>744.4</v>
      </c>
      <c r="Q73" s="1"/>
      <c r="R73" s="5">
        <f t="shared" ref="R73:R79" si="56">IF(P$12=0,0,P73/P$12)</f>
        <v>4.3241192242853086E-4</v>
      </c>
      <c r="S73" s="1"/>
      <c r="T73" s="1">
        <f>SUM(OSRRefT22_13x_0)</f>
        <v>732.9</v>
      </c>
      <c r="U73" s="1"/>
      <c r="V73" s="5">
        <f t="shared" ref="V73:V79" si="57">IF(T$12=0,0,T73/T$12)</f>
        <v>4.203644137898662E-4</v>
      </c>
      <c r="W73" s="1"/>
      <c r="X73" s="1">
        <f t="shared" ref="X73:X79" si="58">+P73-T73</f>
        <v>11.5</v>
      </c>
      <c r="Y73" s="1"/>
      <c r="Z73" s="5">
        <f t="shared" ref="Z73:Z79" si="59">IF(T73=0,0,X73/T73)</f>
        <v>1.5691090189657527E-2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6">
        <v>189.1</v>
      </c>
      <c r="E74" s="2"/>
      <c r="F74" s="7">
        <f t="shared" si="52"/>
        <v>2.8814971570472484E-4</v>
      </c>
      <c r="G74" s="2"/>
      <c r="H74" s="6">
        <v>173.7</v>
      </c>
      <c r="I74" s="2"/>
      <c r="J74" s="7">
        <f t="shared" si="53"/>
        <v>2.6635096691227897E-4</v>
      </c>
      <c r="K74" s="2"/>
      <c r="L74" s="6">
        <f t="shared" si="54"/>
        <v>15.400000000000006</v>
      </c>
      <c r="M74" s="2"/>
      <c r="N74" s="7">
        <f t="shared" si="55"/>
        <v>8.8658606793321854E-2</v>
      </c>
      <c r="O74" s="11"/>
      <c r="P74" s="6">
        <v>744.4</v>
      </c>
      <c r="Q74" s="2"/>
      <c r="R74" s="7">
        <f t="shared" si="56"/>
        <v>4.3241192242853086E-4</v>
      </c>
      <c r="S74" s="2"/>
      <c r="T74" s="6">
        <v>732.9</v>
      </c>
      <c r="U74" s="2"/>
      <c r="V74" s="7">
        <f t="shared" si="57"/>
        <v>4.203644137898662E-4</v>
      </c>
      <c r="W74" s="2"/>
      <c r="X74" s="6">
        <f t="shared" si="58"/>
        <v>11.5</v>
      </c>
      <c r="Y74" s="2"/>
      <c r="Z74" s="7">
        <f t="shared" si="59"/>
        <v>1.5691090189657527E-2</v>
      </c>
    </row>
    <row r="75" spans="1:26" s="27" customFormat="1" outlineLevel="1" collapsed="1" x14ac:dyDescent="0.25">
      <c r="A75" s="25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SUM(OSRRefD22_14x_0)</f>
        <v>48</v>
      </c>
      <c r="E75" s="1"/>
      <c r="F75" s="5">
        <f t="shared" si="52"/>
        <v>7.3142180612516098E-5</v>
      </c>
      <c r="G75" s="1"/>
      <c r="H75" s="1">
        <f>SUM(OSRRefH22_14x_0)</f>
        <v>0</v>
      </c>
      <c r="I75" s="1"/>
      <c r="J75" s="5">
        <f t="shared" si="53"/>
        <v>0</v>
      </c>
      <c r="K75" s="1"/>
      <c r="L75" s="1">
        <f t="shared" si="54"/>
        <v>48</v>
      </c>
      <c r="M75" s="1"/>
      <c r="N75" s="5">
        <f t="shared" si="55"/>
        <v>0</v>
      </c>
      <c r="O75" s="13"/>
      <c r="P75" s="1">
        <f>SUM(OSRRefP22_14x_0)</f>
        <v>617.37</v>
      </c>
      <c r="Q75" s="1"/>
      <c r="R75" s="5">
        <f t="shared" si="56"/>
        <v>3.5862190831502161E-4</v>
      </c>
      <c r="S75" s="1"/>
      <c r="T75" s="1">
        <f>SUM(OSRRefT22_14x_0)</f>
        <v>1230.3800000000001</v>
      </c>
      <c r="U75" s="1"/>
      <c r="V75" s="5">
        <f t="shared" si="57"/>
        <v>7.0570059686011143E-4</v>
      </c>
      <c r="W75" s="1"/>
      <c r="X75" s="1">
        <f t="shared" si="58"/>
        <v>-613.0100000000001</v>
      </c>
      <c r="Y75" s="1"/>
      <c r="Z75" s="5">
        <f t="shared" si="59"/>
        <v>-0.49822818966498161</v>
      </c>
    </row>
    <row r="76" spans="1:26" s="24" customFormat="1" hidden="1" outlineLevel="2" x14ac:dyDescent="0.25">
      <c r="A76" s="26"/>
      <c r="B76" s="11" t="str">
        <f>CONCATENATE("          ", "6376", " - ", "TRAINING")</f>
        <v xml:space="preserve">          6376 - TRAINING</v>
      </c>
      <c r="C76" s="11"/>
      <c r="D76" s="6">
        <v>48</v>
      </c>
      <c r="E76" s="2"/>
      <c r="F76" s="7">
        <f t="shared" si="52"/>
        <v>7.3142180612516098E-5</v>
      </c>
      <c r="G76" s="2"/>
      <c r="H76" s="6"/>
      <c r="I76" s="2"/>
      <c r="J76" s="7">
        <f t="shared" si="53"/>
        <v>0</v>
      </c>
      <c r="K76" s="2"/>
      <c r="L76" s="6">
        <f t="shared" si="54"/>
        <v>48</v>
      </c>
      <c r="M76" s="2"/>
      <c r="N76" s="7">
        <f t="shared" si="55"/>
        <v>0</v>
      </c>
      <c r="O76" s="11"/>
      <c r="P76" s="6">
        <v>617.37</v>
      </c>
      <c r="Q76" s="2"/>
      <c r="R76" s="7">
        <f t="shared" si="56"/>
        <v>3.5862190831502161E-4</v>
      </c>
      <c r="S76" s="2"/>
      <c r="T76" s="6">
        <v>1230.3800000000001</v>
      </c>
      <c r="U76" s="2"/>
      <c r="V76" s="7">
        <f t="shared" si="57"/>
        <v>7.0570059686011143E-4</v>
      </c>
      <c r="W76" s="2"/>
      <c r="X76" s="6">
        <f t="shared" si="58"/>
        <v>-613.0100000000001</v>
      </c>
      <c r="Y76" s="2"/>
      <c r="Z76" s="7">
        <f t="shared" si="59"/>
        <v>-0.49822818966498161</v>
      </c>
    </row>
    <row r="77" spans="1:26" s="27" customFormat="1" outlineLevel="1" collapsed="1" x14ac:dyDescent="0.25">
      <c r="A77" s="25"/>
      <c r="B77" s="13" t="str">
        <f>CONCATENATE("     ","Travel                                            ")</f>
        <v xml:space="preserve">     Travel                                            </v>
      </c>
      <c r="C77" s="13"/>
      <c r="D77" s="1">
        <f>SUM(OSRRefD22_15x_0)</f>
        <v>0</v>
      </c>
      <c r="E77" s="1"/>
      <c r="F77" s="5">
        <f t="shared" si="52"/>
        <v>0</v>
      </c>
      <c r="G77" s="1"/>
      <c r="H77" s="1">
        <f>SUM(OSRRefH22_15x_0)</f>
        <v>65</v>
      </c>
      <c r="I77" s="1"/>
      <c r="J77" s="5">
        <f t="shared" si="53"/>
        <v>9.9670770577421614E-5</v>
      </c>
      <c r="K77" s="1"/>
      <c r="L77" s="1">
        <f t="shared" si="54"/>
        <v>-65</v>
      </c>
      <c r="M77" s="1"/>
      <c r="N77" s="5">
        <f t="shared" si="55"/>
        <v>-1</v>
      </c>
      <c r="O77" s="13"/>
      <c r="P77" s="1">
        <f>SUM(OSRRefP22_15x_0)</f>
        <v>1429.86</v>
      </c>
      <c r="Q77" s="1"/>
      <c r="R77" s="5">
        <f t="shared" si="56"/>
        <v>8.3058639361050391E-4</v>
      </c>
      <c r="S77" s="1"/>
      <c r="T77" s="1">
        <f>SUM(OSRRefT22_15x_0)</f>
        <v>233</v>
      </c>
      <c r="U77" s="1"/>
      <c r="V77" s="5">
        <f t="shared" si="57"/>
        <v>1.3364020795884681E-4</v>
      </c>
      <c r="W77" s="1"/>
      <c r="X77" s="1">
        <f t="shared" si="58"/>
        <v>1196.8599999999999</v>
      </c>
      <c r="Y77" s="1"/>
      <c r="Z77" s="5">
        <f t="shared" si="59"/>
        <v>5.1367381974248927</v>
      </c>
    </row>
    <row r="78" spans="1:26" s="24" customFormat="1" hidden="1" outlineLevel="2" x14ac:dyDescent="0.25">
      <c r="A78" s="26"/>
      <c r="B78" s="11" t="str">
        <f>CONCATENATE("          ", "6292", " - ", "TRAVEL/CONFERENCE")</f>
        <v xml:space="preserve">          6292 - TRAVEL/CONFERENCE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1429.86</v>
      </c>
      <c r="Q78" s="2"/>
      <c r="R78" s="7">
        <f t="shared" si="56"/>
        <v>8.3058639361050391E-4</v>
      </c>
      <c r="S78" s="2"/>
      <c r="T78" s="6"/>
      <c r="U78" s="2"/>
      <c r="V78" s="7">
        <f t="shared" si="57"/>
        <v>0</v>
      </c>
      <c r="W78" s="2"/>
      <c r="X78" s="6">
        <f t="shared" si="58"/>
        <v>1429.86</v>
      </c>
      <c r="Y78" s="2"/>
      <c r="Z78" s="7">
        <f t="shared" si="59"/>
        <v>0</v>
      </c>
    </row>
    <row r="79" spans="1:26" s="24" customFormat="1" hidden="1" outlineLevel="2" x14ac:dyDescent="0.25">
      <c r="A79" s="26"/>
      <c r="B79" s="11" t="str">
        <f>CONCATENATE("          ", "6294", " - ", "TRAVEL OPERATIONAL")</f>
        <v xml:space="preserve">          6294 - TRAVEL OPERATIONAL</v>
      </c>
      <c r="C79" s="11"/>
      <c r="D79" s="6"/>
      <c r="E79" s="2"/>
      <c r="F79" s="7">
        <f t="shared" si="52"/>
        <v>0</v>
      </c>
      <c r="G79" s="2"/>
      <c r="H79" s="6">
        <v>65</v>
      </c>
      <c r="I79" s="2"/>
      <c r="J79" s="7">
        <f t="shared" si="53"/>
        <v>9.9670770577421614E-5</v>
      </c>
      <c r="K79" s="2"/>
      <c r="L79" s="6">
        <f t="shared" si="54"/>
        <v>-65</v>
      </c>
      <c r="M79" s="2"/>
      <c r="N79" s="7">
        <f t="shared" si="55"/>
        <v>-1</v>
      </c>
      <c r="O79" s="11"/>
      <c r="P79" s="6"/>
      <c r="Q79" s="2"/>
      <c r="R79" s="7">
        <f t="shared" si="56"/>
        <v>0</v>
      </c>
      <c r="S79" s="2"/>
      <c r="T79" s="6">
        <v>233</v>
      </c>
      <c r="U79" s="2"/>
      <c r="V79" s="7">
        <f t="shared" si="57"/>
        <v>1.3364020795884681E-4</v>
      </c>
      <c r="W79" s="2"/>
      <c r="X79" s="6">
        <f t="shared" si="58"/>
        <v>-233</v>
      </c>
      <c r="Y79" s="2"/>
      <c r="Z79" s="7">
        <f t="shared" si="59"/>
        <v>-1</v>
      </c>
    </row>
    <row r="80" spans="1:26" s="55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1">
        <f>+D22-D24+D81</f>
        <v>267726.29999999993</v>
      </c>
      <c r="E83" s="14"/>
      <c r="F83" s="22">
        <f>IF(D$12=0,0,D83/D$12)</f>
        <v>0.40796011227751378</v>
      </c>
      <c r="G83" s="14"/>
      <c r="H83" s="21">
        <f>+H22-H24+H81</f>
        <v>267336.10999999987</v>
      </c>
      <c r="I83" s="14"/>
      <c r="J83" s="22">
        <f>IF(H$12=0,0,H83/H$12)</f>
        <v>0.40993224749031282</v>
      </c>
      <c r="K83" s="16"/>
      <c r="L83" s="21">
        <f>+D83-H83</f>
        <v>390.19000000006054</v>
      </c>
      <c r="M83" s="16"/>
      <c r="N83" s="22">
        <f>IF(H83=0,0,L83/H83)</f>
        <v>1.4595484313737516E-3</v>
      </c>
      <c r="O83" s="29"/>
      <c r="P83" s="21">
        <f>+P22-P24+P81</f>
        <v>621595.25999999989</v>
      </c>
      <c r="Q83" s="14"/>
      <c r="R83" s="22">
        <f>IF(P$12=0,0,P83/P$12)</f>
        <v>0.36107630487515102</v>
      </c>
      <c r="S83" s="14"/>
      <c r="T83" s="21">
        <f>+T22-T24+T81</f>
        <v>687145.72</v>
      </c>
      <c r="U83" s="14"/>
      <c r="V83" s="22">
        <f>IF(T$12=0,0,T83/T$12)</f>
        <v>0.39412144600356874</v>
      </c>
      <c r="W83" s="16"/>
      <c r="X83" s="21">
        <f>+P83-T83</f>
        <v>-65550.460000000079</v>
      </c>
      <c r="Y83" s="16"/>
      <c r="Z83" s="22">
        <f>IF(T83=0,0,X83/T83)</f>
        <v>-9.5395282386391181E-2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58869.23</v>
      </c>
      <c r="E85" s="4"/>
      <c r="F85" s="12">
        <f>IF(D$12=0,0,D85/D$12)</f>
        <v>8.9704663607911475E-2</v>
      </c>
      <c r="G85" s="4"/>
      <c r="H85" s="4">
        <v>63159.079999999994</v>
      </c>
      <c r="I85" s="4"/>
      <c r="J85" s="12">
        <f>IF(H$12=0,0,H85/H$12)</f>
        <v>9.6847910347092572E-2</v>
      </c>
      <c r="K85" s="4"/>
      <c r="L85" s="4">
        <f>+D85-H85</f>
        <v>-4289.8499999999913</v>
      </c>
      <c r="M85" s="4"/>
      <c r="N85" s="12">
        <f>IF(H85=0,0,L85/H85)</f>
        <v>-6.7921350342658435E-2</v>
      </c>
      <c r="O85" s="10"/>
      <c r="P85" s="4">
        <v>173291.25</v>
      </c>
      <c r="Q85" s="4"/>
      <c r="R85" s="12">
        <f>IF(P$12=0,0,P85/P$12)</f>
        <v>0.10066255044672642</v>
      </c>
      <c r="S85" s="4"/>
      <c r="T85" s="4">
        <v>160121.5</v>
      </c>
      <c r="U85" s="4"/>
      <c r="V85" s="12">
        <f>IF(T$12=0,0,T85/T$12)</f>
        <v>9.1839787805504253E-2</v>
      </c>
      <c r="W85" s="4"/>
      <c r="X85" s="4">
        <f>+P85-T85</f>
        <v>13169.75</v>
      </c>
      <c r="Y85" s="4"/>
      <c r="Z85" s="12">
        <f>IF(T85=0,0,X85/T85)</f>
        <v>8.2248480060454099E-2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1">
        <f>+D83-D85</f>
        <v>208857.06999999992</v>
      </c>
      <c r="E87" s="14"/>
      <c r="F87" s="34">
        <f>IF(D$12=0,0,D87/D$12)</f>
        <v>0.31825544866960231</v>
      </c>
      <c r="G87" s="14"/>
      <c r="H87" s="31">
        <f>+H83-H85</f>
        <v>204177.02999999988</v>
      </c>
      <c r="I87" s="14"/>
      <c r="J87" s="34">
        <f>IF(H$12=0,0,H87/H$12)</f>
        <v>0.31308433714322026</v>
      </c>
      <c r="K87" s="16"/>
      <c r="L87" s="31">
        <f>D87-H87</f>
        <v>4680.0400000000373</v>
      </c>
      <c r="M87" s="16"/>
      <c r="N87" s="34">
        <f>IF(H87=0,0,L87/H87)</f>
        <v>2.29214814222738E-2</v>
      </c>
      <c r="O87" s="29"/>
      <c r="P87" s="31">
        <f>+P83-P85</f>
        <v>448304.00999999989</v>
      </c>
      <c r="Q87" s="14"/>
      <c r="R87" s="34">
        <f>IF(P$12=0,0,P87/P$12)</f>
        <v>0.26041375442842463</v>
      </c>
      <c r="S87" s="14"/>
      <c r="T87" s="31">
        <f>+T83-T85</f>
        <v>527024.22</v>
      </c>
      <c r="U87" s="14"/>
      <c r="V87" s="34">
        <f>IF(T$12=0,0,T87/T$12)</f>
        <v>0.30228165819806452</v>
      </c>
      <c r="W87" s="16"/>
      <c r="X87" s="31">
        <f>P87-T87</f>
        <v>-78720.210000000079</v>
      </c>
      <c r="Y87" s="16"/>
      <c r="Z87" s="34">
        <f>IF(T87=0,0,X87/T87)</f>
        <v>-0.14936734786116676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6">
        <f>SUM(D87:D89)</f>
        <v>208857.06999999992</v>
      </c>
      <c r="E90" s="14"/>
      <c r="F90" s="33">
        <f>IF(D$12=0,0,D90/D$12)</f>
        <v>0.31825544866960231</v>
      </c>
      <c r="G90" s="14"/>
      <c r="H90" s="36">
        <f>SUM(H87:H89)</f>
        <v>204177.02999999988</v>
      </c>
      <c r="I90" s="14"/>
      <c r="J90" s="33">
        <f>IF(H$12=0,0,H90/H$12)</f>
        <v>0.31308433714322026</v>
      </c>
      <c r="K90" s="16"/>
      <c r="L90" s="36">
        <f>+D90-H90</f>
        <v>4680.0400000000373</v>
      </c>
      <c r="M90" s="16"/>
      <c r="N90" s="33">
        <f>IF(H90=0,0,L90/H90)</f>
        <v>2.29214814222738E-2</v>
      </c>
      <c r="O90" s="29"/>
      <c r="P90" s="36">
        <f>SUM(P87:P89)</f>
        <v>448304.00999999989</v>
      </c>
      <c r="Q90" s="14"/>
      <c r="R90" s="33">
        <f>IF(P$12=0,0,P90/P$12)</f>
        <v>0.26041375442842463</v>
      </c>
      <c r="S90" s="14"/>
      <c r="T90" s="36">
        <f>SUM(T87:T89)</f>
        <v>527024.22</v>
      </c>
      <c r="U90" s="14"/>
      <c r="V90" s="33">
        <f>IF(T$12=0,0,T90/T$12)</f>
        <v>0.30228165819806452</v>
      </c>
      <c r="W90" s="16"/>
      <c r="X90" s="36">
        <f>+P90-T90</f>
        <v>-78720.210000000079</v>
      </c>
      <c r="Y90" s="16"/>
      <c r="Z90" s="33">
        <f>IF(T90=0,0,X90/T90)</f>
        <v>-0.14936734786116676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61">
        <v>43791.35577021991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6" t="s">
        <v>313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7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","435", " - ", "Ground Floor Coffee House")</f>
        <v>Department 435 - Ground Floor Coffee House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1755.17</v>
      </c>
      <c r="E12" s="4"/>
      <c r="F12" s="12"/>
      <c r="G12" s="4"/>
      <c r="H12" s="4">
        <f>SUM(OSRRefH13x_0)</f>
        <v>1769.86</v>
      </c>
      <c r="I12" s="4"/>
      <c r="J12" s="12"/>
      <c r="K12" s="4"/>
      <c r="L12" s="4">
        <f t="shared" ref="L12:L15" si="0">+D12-H12</f>
        <v>-14.689999999999827</v>
      </c>
      <c r="M12" s="4"/>
      <c r="N12" s="12">
        <f t="shared" ref="N12:N15" si="1">IF(H12=0,0,L12/H12)</f>
        <v>-8.3000915326635026E-3</v>
      </c>
      <c r="O12" s="10"/>
      <c r="P12" s="4">
        <f>SUM(OSRRefP13x_0)</f>
        <v>3265.88</v>
      </c>
      <c r="Q12" s="4"/>
      <c r="R12" s="12"/>
      <c r="S12" s="4"/>
      <c r="T12" s="4">
        <f>SUM(OSRRefT13x_0)</f>
        <v>3371.93</v>
      </c>
      <c r="U12" s="4"/>
      <c r="V12" s="12"/>
      <c r="W12" s="4"/>
      <c r="X12" s="4">
        <f t="shared" ref="X12:X15" si="2">+P12-T12</f>
        <v>-106.04999999999973</v>
      </c>
      <c r="Y12" s="4"/>
      <c r="Z12" s="12">
        <f t="shared" ref="Z12:Z15" si="3">IF(T12=0,0,X12/T12)</f>
        <v>-3.1450830829821419E-2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--371.82</f>
        <v>371.82</v>
      </c>
      <c r="E13" s="2"/>
      <c r="F13" s="19"/>
      <c r="G13" s="2"/>
      <c r="H13" s="2">
        <f>--264.3</f>
        <v>264.3</v>
      </c>
      <c r="I13" s="2"/>
      <c r="J13" s="19"/>
      <c r="K13" s="2"/>
      <c r="L13" s="2">
        <f t="shared" si="0"/>
        <v>107.51999999999998</v>
      </c>
      <c r="M13" s="2"/>
      <c r="N13" s="19">
        <f t="shared" si="1"/>
        <v>0.40681044267877403</v>
      </c>
      <c r="O13" s="11"/>
      <c r="P13" s="2">
        <f>--651.14</f>
        <v>651.14</v>
      </c>
      <c r="Q13" s="2"/>
      <c r="R13" s="19"/>
      <c r="S13" s="2"/>
      <c r="T13" s="2">
        <f>--435.98</f>
        <v>435.98</v>
      </c>
      <c r="U13" s="2"/>
      <c r="V13" s="19"/>
      <c r="W13" s="2"/>
      <c r="X13" s="2">
        <f t="shared" si="2"/>
        <v>215.15999999999997</v>
      </c>
      <c r="Y13" s="2"/>
      <c r="Z13" s="19">
        <f t="shared" si="3"/>
        <v>0.4935088765539703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--211.35</f>
        <v>211.35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211.35</v>
      </c>
      <c r="M14" s="2"/>
      <c r="N14" s="19">
        <f t="shared" si="1"/>
        <v>0</v>
      </c>
      <c r="O14" s="11"/>
      <c r="P14" s="2">
        <f>--471.63</f>
        <v>471.63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471.63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>--1172</f>
        <v>1172</v>
      </c>
      <c r="E15" s="2"/>
      <c r="F15" s="19"/>
      <c r="G15" s="2"/>
      <c r="H15" s="2">
        <f>--1505.56</f>
        <v>1505.56</v>
      </c>
      <c r="I15" s="2"/>
      <c r="J15" s="19"/>
      <c r="K15" s="2"/>
      <c r="L15" s="2">
        <f t="shared" si="0"/>
        <v>-333.55999999999995</v>
      </c>
      <c r="M15" s="2"/>
      <c r="N15" s="19">
        <f t="shared" si="1"/>
        <v>-0.22155211349929591</v>
      </c>
      <c r="O15" s="11"/>
      <c r="P15" s="2">
        <f>--2143.11</f>
        <v>2143.11</v>
      </c>
      <c r="Q15" s="2"/>
      <c r="R15" s="19"/>
      <c r="S15" s="2"/>
      <c r="T15" s="2">
        <f>--2935.95</f>
        <v>2935.95</v>
      </c>
      <c r="U15" s="2"/>
      <c r="V15" s="19"/>
      <c r="W15" s="2"/>
      <c r="X15" s="2">
        <f t="shared" si="2"/>
        <v>-792.83999999999969</v>
      </c>
      <c r="Y15" s="2"/>
      <c r="Z15" s="19">
        <f t="shared" si="3"/>
        <v>-0.2700454708016144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730.53</v>
      </c>
      <c r="E17" s="4"/>
      <c r="F17" s="12">
        <f t="shared" ref="F17:F19" si="4">IF(D$12=0,0,D17/D$12)</f>
        <v>0.41621609302802576</v>
      </c>
      <c r="G17" s="4"/>
      <c r="H17" s="4">
        <f>SUM(OSRRefH16x_0)</f>
        <v>888.19999999999993</v>
      </c>
      <c r="I17" s="4"/>
      <c r="J17" s="12">
        <f t="shared" ref="J17:J19" si="5">IF(H$12=0,0,H17/H$12)</f>
        <v>0.5018476037652696</v>
      </c>
      <c r="K17" s="4"/>
      <c r="L17" s="4">
        <f t="shared" ref="L17:L19" si="6">+D17-H17</f>
        <v>-157.66999999999996</v>
      </c>
      <c r="M17" s="4"/>
      <c r="N17" s="12">
        <f t="shared" ref="N17:N19" si="7">IF(H17=0,0,L17/H17)</f>
        <v>-0.17751632515199275</v>
      </c>
      <c r="O17" s="10"/>
      <c r="P17" s="4">
        <f>SUM(OSRRefP16x_0)</f>
        <v>1171.1299999999997</v>
      </c>
      <c r="Q17" s="4"/>
      <c r="R17" s="12">
        <f t="shared" ref="R17:R19" si="8">IF(P$12=0,0,P17/P$12)</f>
        <v>0.35859553933396193</v>
      </c>
      <c r="S17" s="4"/>
      <c r="T17" s="4">
        <f>SUM(OSRRefT16x_0)</f>
        <v>1694.22</v>
      </c>
      <c r="U17" s="4"/>
      <c r="V17" s="12">
        <f t="shared" ref="V17:V19" si="9">IF(T$12=0,0,T17/T$12)</f>
        <v>0.50244815283828548</v>
      </c>
      <c r="W17" s="4"/>
      <c r="X17" s="4">
        <f t="shared" ref="X17:X19" si="10">+P17-T17</f>
        <v>-523.09000000000037</v>
      </c>
      <c r="Y17" s="4"/>
      <c r="Z17" s="12">
        <f t="shared" ref="Z17:Z19" si="11">IF(T17=0,0,X17/T17)</f>
        <v>-0.30874974914710035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1154.74</v>
      </c>
      <c r="E18" s="2"/>
      <c r="F18" s="19">
        <f t="shared" si="4"/>
        <v>0.65790778101266545</v>
      </c>
      <c r="G18" s="2"/>
      <c r="H18" s="2">
        <v>642.42999999999995</v>
      </c>
      <c r="I18" s="2"/>
      <c r="J18" s="19">
        <f t="shared" si="5"/>
        <v>0.36298351282022306</v>
      </c>
      <c r="K18" s="2"/>
      <c r="L18" s="2">
        <f t="shared" si="6"/>
        <v>512.31000000000006</v>
      </c>
      <c r="M18" s="2"/>
      <c r="N18" s="19">
        <f t="shared" si="7"/>
        <v>0.79745653222919244</v>
      </c>
      <c r="O18" s="11"/>
      <c r="P18" s="2">
        <v>3859.14</v>
      </c>
      <c r="Q18" s="2"/>
      <c r="R18" s="19">
        <f t="shared" si="8"/>
        <v>1.1816539493184073</v>
      </c>
      <c r="S18" s="2"/>
      <c r="T18" s="2">
        <v>1691.02</v>
      </c>
      <c r="U18" s="2"/>
      <c r="V18" s="19">
        <f t="shared" si="9"/>
        <v>0.50149914144125174</v>
      </c>
      <c r="W18" s="2"/>
      <c r="X18" s="2">
        <f t="shared" si="10"/>
        <v>2168.12</v>
      </c>
      <c r="Y18" s="2"/>
      <c r="Z18" s="19">
        <f t="shared" si="11"/>
        <v>1.2821374081915056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-424.21</v>
      </c>
      <c r="E19" s="2"/>
      <c r="F19" s="19">
        <f t="shared" si="4"/>
        <v>-0.24169168798463964</v>
      </c>
      <c r="G19" s="2"/>
      <c r="H19" s="2">
        <v>245.77</v>
      </c>
      <c r="I19" s="2"/>
      <c r="J19" s="19">
        <f t="shared" si="5"/>
        <v>0.13886409094504651</v>
      </c>
      <c r="K19" s="2"/>
      <c r="L19" s="2">
        <f t="shared" si="6"/>
        <v>-669.98</v>
      </c>
      <c r="M19" s="2"/>
      <c r="N19" s="19">
        <f t="shared" si="7"/>
        <v>-2.7260446759165071</v>
      </c>
      <c r="O19" s="11"/>
      <c r="P19" s="2">
        <v>-2688.01</v>
      </c>
      <c r="Q19" s="2"/>
      <c r="R19" s="19">
        <f t="shared" si="8"/>
        <v>-0.82305840998444524</v>
      </c>
      <c r="S19" s="2"/>
      <c r="T19" s="2">
        <v>3.2</v>
      </c>
      <c r="U19" s="2"/>
      <c r="V19" s="19">
        <f t="shared" si="9"/>
        <v>9.490113970337463E-4</v>
      </c>
      <c r="W19" s="2"/>
      <c r="X19" s="2">
        <f t="shared" si="10"/>
        <v>-2691.21</v>
      </c>
      <c r="Y19" s="2"/>
      <c r="Z19" s="19">
        <f t="shared" si="11"/>
        <v>-841.00312499999995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1024.6400000000001</v>
      </c>
      <c r="E21" s="14"/>
      <c r="F21" s="22">
        <f>IF(D$12=0,0,D21/D$12)</f>
        <v>0.58378390697197424</v>
      </c>
      <c r="G21" s="14"/>
      <c r="H21" s="21">
        <f>H12-H17</f>
        <v>881.66</v>
      </c>
      <c r="I21" s="14"/>
      <c r="J21" s="22">
        <f>IF(H$12=0,0,H21/H$12)</f>
        <v>0.49815239623473045</v>
      </c>
      <c r="K21" s="16"/>
      <c r="L21" s="21">
        <f>+D21-H21</f>
        <v>142.98000000000013</v>
      </c>
      <c r="M21" s="16"/>
      <c r="N21" s="22">
        <f>IF(H21=0,0,L21/H21)</f>
        <v>0.16217135857359996</v>
      </c>
      <c r="O21" s="29"/>
      <c r="P21" s="21">
        <f>P12-P17</f>
        <v>2094.7500000000005</v>
      </c>
      <c r="Q21" s="14"/>
      <c r="R21" s="22">
        <f>IF(P$12=0,0,P21/P$12)</f>
        <v>0.64140446066603807</v>
      </c>
      <c r="S21" s="14"/>
      <c r="T21" s="21">
        <f>T12-T17</f>
        <v>1677.7099999999998</v>
      </c>
      <c r="U21" s="14"/>
      <c r="V21" s="22">
        <f>IF(T$12=0,0,T21/T$12)</f>
        <v>0.49755184716171447</v>
      </c>
      <c r="W21" s="16"/>
      <c r="X21" s="21">
        <f>+P21-T21</f>
        <v>417.04000000000065</v>
      </c>
      <c r="Y21" s="16"/>
      <c r="Z21" s="22">
        <f>IF(T21=0,0,X21/T21)</f>
        <v>0.2485769292666794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0">
        <f>SUM(OSRRefD22x_0)</f>
        <v>3621.0399999999995</v>
      </c>
      <c r="E23" s="20"/>
      <c r="F23" s="35">
        <f t="shared" ref="F23:F27" si="12">IF(D$12=0,0,D23/D$12)</f>
        <v>2.0630708136533777</v>
      </c>
      <c r="G23" s="20"/>
      <c r="H23" s="20">
        <f>SUM(OSRRefH22x_0)</f>
        <v>2804.6500000000005</v>
      </c>
      <c r="I23" s="20"/>
      <c r="J23" s="35">
        <f t="shared" ref="J23:J27" si="13">IF(H$12=0,0,H23/H$12)</f>
        <v>1.5846733639948927</v>
      </c>
      <c r="K23" s="4"/>
      <c r="L23" s="20">
        <f t="shared" ref="L23:L27" si="14">+D23-H23</f>
        <v>816.38999999999896</v>
      </c>
      <c r="M23" s="4"/>
      <c r="N23" s="35">
        <f t="shared" ref="N23:N27" si="15">IF(H23=0,0,L23/H23)</f>
        <v>0.29108444903998676</v>
      </c>
      <c r="O23" s="10"/>
      <c r="P23" s="20">
        <f>SUM(OSRRefP22x_0)</f>
        <v>10129.640000000001</v>
      </c>
      <c r="Q23" s="20"/>
      <c r="R23" s="35">
        <f t="shared" ref="R23:R27" si="16">IF(P$12=0,0,P23/P$12)</f>
        <v>3.1016571337587422</v>
      </c>
      <c r="S23" s="20"/>
      <c r="T23" s="20">
        <f>SUM(OSRRefT22x_0)</f>
        <v>7575.8400000000011</v>
      </c>
      <c r="U23" s="20"/>
      <c r="V23" s="35">
        <f t="shared" ref="V23:V27" si="17">IF(T$12=0,0,T23/T$12)</f>
        <v>2.2467370319075428</v>
      </c>
      <c r="W23" s="4"/>
      <c r="X23" s="20">
        <f t="shared" ref="X23:X27" si="18">+P23-T23</f>
        <v>2553.8000000000002</v>
      </c>
      <c r="Y23" s="4"/>
      <c r="Z23" s="35">
        <f t="shared" ref="Z23:Z27" si="19">IF(T23=0,0,X23/T23)</f>
        <v>0.33709793237449576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217.45</v>
      </c>
      <c r="E24" s="1"/>
      <c r="F24" s="5">
        <f t="shared" si="12"/>
        <v>0.12389113305263877</v>
      </c>
      <c r="G24" s="1"/>
      <c r="H24" s="1">
        <f>SUM(OSRRefH22_0x_0)</f>
        <v>231.8</v>
      </c>
      <c r="I24" s="1"/>
      <c r="J24" s="5">
        <f t="shared" si="13"/>
        <v>0.13097081125060742</v>
      </c>
      <c r="K24" s="1"/>
      <c r="L24" s="1">
        <f t="shared" si="14"/>
        <v>-14.350000000000023</v>
      </c>
      <c r="M24" s="1"/>
      <c r="N24" s="5">
        <f t="shared" si="15"/>
        <v>-6.1906816220880165E-2</v>
      </c>
      <c r="O24" s="13"/>
      <c r="P24" s="1">
        <f>SUM(OSRRefP22_0x_0)</f>
        <v>485.15999999999997</v>
      </c>
      <c r="Q24" s="1"/>
      <c r="R24" s="5">
        <f t="shared" si="16"/>
        <v>0.14855414160961208</v>
      </c>
      <c r="S24" s="1"/>
      <c r="T24" s="1">
        <f>SUM(OSRRefT22_0x_0)</f>
        <v>407.45000000000005</v>
      </c>
      <c r="U24" s="1"/>
      <c r="V24" s="5">
        <f t="shared" si="17"/>
        <v>0.12083584178793749</v>
      </c>
      <c r="W24" s="1"/>
      <c r="X24" s="1">
        <f t="shared" si="18"/>
        <v>77.709999999999923</v>
      </c>
      <c r="Y24" s="1"/>
      <c r="Z24" s="5">
        <f t="shared" si="19"/>
        <v>0.19072278807215587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196.92</v>
      </c>
      <c r="E25" s="2"/>
      <c r="F25" s="7">
        <f t="shared" si="12"/>
        <v>0.11219426038503391</v>
      </c>
      <c r="G25" s="2"/>
      <c r="H25" s="6">
        <v>177.21</v>
      </c>
      <c r="I25" s="2"/>
      <c r="J25" s="7">
        <f t="shared" si="13"/>
        <v>0.10012656368300318</v>
      </c>
      <c r="K25" s="2"/>
      <c r="L25" s="6">
        <f t="shared" si="14"/>
        <v>19.70999999999998</v>
      </c>
      <c r="M25" s="2"/>
      <c r="N25" s="7">
        <f t="shared" si="15"/>
        <v>0.11122397155916697</v>
      </c>
      <c r="O25" s="11"/>
      <c r="P25" s="6">
        <v>358.08</v>
      </c>
      <c r="Q25" s="2"/>
      <c r="R25" s="7">
        <f t="shared" si="16"/>
        <v>0.10964273029015149</v>
      </c>
      <c r="S25" s="2"/>
      <c r="T25" s="6">
        <v>336.51</v>
      </c>
      <c r="U25" s="2"/>
      <c r="V25" s="7">
        <f t="shared" si="17"/>
        <v>9.9797445379945615E-2</v>
      </c>
      <c r="W25" s="2"/>
      <c r="X25" s="6">
        <f t="shared" si="18"/>
        <v>21.569999999999993</v>
      </c>
      <c r="Y25" s="2"/>
      <c r="Z25" s="7">
        <f t="shared" si="19"/>
        <v>6.4099135241151808E-2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13.99</v>
      </c>
      <c r="E26" s="2"/>
      <c r="F26" s="7">
        <f t="shared" si="12"/>
        <v>7.9707378772426608E-3</v>
      </c>
      <c r="G26" s="2"/>
      <c r="H26" s="6">
        <v>49.14</v>
      </c>
      <c r="I26" s="2"/>
      <c r="J26" s="7">
        <f t="shared" si="13"/>
        <v>2.7764907958821604E-2</v>
      </c>
      <c r="K26" s="2"/>
      <c r="L26" s="6">
        <f t="shared" si="14"/>
        <v>-35.15</v>
      </c>
      <c r="M26" s="2"/>
      <c r="N26" s="7">
        <f t="shared" si="15"/>
        <v>-0.71530321530321528</v>
      </c>
      <c r="O26" s="11"/>
      <c r="P26" s="6">
        <v>107.72</v>
      </c>
      <c r="Q26" s="2"/>
      <c r="R26" s="7">
        <f t="shared" si="16"/>
        <v>3.2983453158107461E-2</v>
      </c>
      <c r="S26" s="2"/>
      <c r="T26" s="6">
        <v>58.22</v>
      </c>
      <c r="U26" s="2"/>
      <c r="V26" s="7">
        <f t="shared" si="17"/>
        <v>1.7266076104782722E-2</v>
      </c>
      <c r="W26" s="2"/>
      <c r="X26" s="6">
        <f t="shared" si="18"/>
        <v>49.5</v>
      </c>
      <c r="Y26" s="2"/>
      <c r="Z26" s="7">
        <f t="shared" si="19"/>
        <v>0.85022329096530402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6.54</v>
      </c>
      <c r="E27" s="2"/>
      <c r="F27" s="7">
        <f t="shared" si="12"/>
        <v>3.726134790362187E-3</v>
      </c>
      <c r="G27" s="2"/>
      <c r="H27" s="6">
        <v>5.45</v>
      </c>
      <c r="I27" s="2"/>
      <c r="J27" s="7">
        <f t="shared" si="13"/>
        <v>3.0793396087826158E-3</v>
      </c>
      <c r="K27" s="2"/>
      <c r="L27" s="6">
        <f t="shared" si="14"/>
        <v>1.0899999999999999</v>
      </c>
      <c r="M27" s="2"/>
      <c r="N27" s="7">
        <f t="shared" si="15"/>
        <v>0.19999999999999996</v>
      </c>
      <c r="O27" s="11"/>
      <c r="P27" s="6">
        <v>19.36</v>
      </c>
      <c r="Q27" s="2"/>
      <c r="R27" s="7">
        <f t="shared" si="16"/>
        <v>5.9279581613531415E-3</v>
      </c>
      <c r="S27" s="2"/>
      <c r="T27" s="6">
        <v>12.72</v>
      </c>
      <c r="U27" s="2"/>
      <c r="V27" s="7">
        <f t="shared" si="17"/>
        <v>3.7723203032091418E-3</v>
      </c>
      <c r="W27" s="2"/>
      <c r="X27" s="6">
        <f t="shared" si="18"/>
        <v>6.6399999999999988</v>
      </c>
      <c r="Y27" s="2"/>
      <c r="Z27" s="7">
        <f t="shared" si="19"/>
        <v>0.52201257861635209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2955.97</v>
      </c>
      <c r="E28" s="1"/>
      <c r="F28" s="5">
        <f t="shared" ref="F28:F30" si="20">IF(D$12=0,0,D28/D$12)</f>
        <v>1.6841502532518215</v>
      </c>
      <c r="G28" s="1"/>
      <c r="H28" s="1">
        <f>SUM(OSRRefH22_1x_0)</f>
        <v>2732.48</v>
      </c>
      <c r="I28" s="1"/>
      <c r="J28" s="5">
        <f t="shared" ref="J28:J30" si="21">IF(H$12=0,0,H28/H$12)</f>
        <v>1.5438961273773069</v>
      </c>
      <c r="K28" s="1"/>
      <c r="L28" s="1">
        <f t="shared" ref="L28:L30" si="22">+D28-H28</f>
        <v>223.48999999999978</v>
      </c>
      <c r="M28" s="1"/>
      <c r="N28" s="5">
        <f t="shared" ref="N28:N30" si="23">IF(H28=0,0,L28/H28)</f>
        <v>8.1790168638013735E-2</v>
      </c>
      <c r="O28" s="13"/>
      <c r="P28" s="1">
        <f>SUM(OSRRefP22_1x_0)</f>
        <v>6378.63</v>
      </c>
      <c r="Q28" s="1"/>
      <c r="R28" s="5">
        <f t="shared" ref="R28:R30" si="24">IF(P$12=0,0,P28/P$12)</f>
        <v>1.9531121780347103</v>
      </c>
      <c r="S28" s="1"/>
      <c r="T28" s="1">
        <f>SUM(OSRRefT22_1x_0)</f>
        <v>5718.63</v>
      </c>
      <c r="U28" s="1"/>
      <c r="V28" s="5">
        <f t="shared" ref="V28:V30" si="25">IF(T$12=0,0,T28/T$12)</f>
        <v>1.6959515766934665</v>
      </c>
      <c r="W28" s="1"/>
      <c r="X28" s="1">
        <f t="shared" ref="X28:X30" si="26">+P28-T28</f>
        <v>660</v>
      </c>
      <c r="Y28" s="1"/>
      <c r="Z28" s="5">
        <f t="shared" ref="Z28:Z30" si="27">IF(T28=0,0,X28/T28)</f>
        <v>0.11541225783098399</v>
      </c>
    </row>
    <row r="29" spans="1:26" s="24" customFormat="1" hidden="1" outlineLevel="2" x14ac:dyDescent="0.25">
      <c r="A29" s="26"/>
      <c r="B29" s="11" t="str">
        <f>CONCATENATE("          ", "6005", " - ", "TEMPORARY WAGES-HOURLY")</f>
        <v xml:space="preserve">          6005 - TEMPORARY WAGES-HOURLY</v>
      </c>
      <c r="C29" s="11"/>
      <c r="D29" s="6">
        <v>2573.9699999999998</v>
      </c>
      <c r="E29" s="2"/>
      <c r="F29" s="7">
        <f t="shared" si="20"/>
        <v>1.4665075177902993</v>
      </c>
      <c r="G29" s="2"/>
      <c r="H29" s="6">
        <v>2316.48</v>
      </c>
      <c r="I29" s="2"/>
      <c r="J29" s="7">
        <f t="shared" si="21"/>
        <v>1.3088492875142668</v>
      </c>
      <c r="K29" s="2"/>
      <c r="L29" s="6">
        <f t="shared" si="22"/>
        <v>257.48999999999978</v>
      </c>
      <c r="M29" s="2"/>
      <c r="N29" s="7">
        <f t="shared" si="23"/>
        <v>0.11115571902196426</v>
      </c>
      <c r="O29" s="11"/>
      <c r="P29" s="6">
        <v>4584.63</v>
      </c>
      <c r="Q29" s="2"/>
      <c r="R29" s="7">
        <f t="shared" si="24"/>
        <v>1.4037962203142798</v>
      </c>
      <c r="S29" s="2"/>
      <c r="T29" s="6">
        <v>4398.63</v>
      </c>
      <c r="U29" s="2"/>
      <c r="V29" s="7">
        <f t="shared" si="25"/>
        <v>1.3044843754170461</v>
      </c>
      <c r="W29" s="2"/>
      <c r="X29" s="6">
        <f t="shared" si="26"/>
        <v>186</v>
      </c>
      <c r="Y29" s="2"/>
      <c r="Z29" s="7">
        <f t="shared" si="27"/>
        <v>4.2285893562313721E-2</v>
      </c>
    </row>
    <row r="30" spans="1:26" s="24" customFormat="1" hidden="1" outlineLevel="2" x14ac:dyDescent="0.25">
      <c r="A30" s="26"/>
      <c r="B30" s="11" t="str">
        <f>CONCATENATE("          ", "6007", " - ", "STUDENT HOURLY")</f>
        <v xml:space="preserve">          6007 - STUDENT HOURLY</v>
      </c>
      <c r="C30" s="11"/>
      <c r="D30" s="6">
        <v>382</v>
      </c>
      <c r="E30" s="2"/>
      <c r="F30" s="7">
        <f t="shared" si="20"/>
        <v>0.21764273546152224</v>
      </c>
      <c r="G30" s="2"/>
      <c r="H30" s="6">
        <v>416</v>
      </c>
      <c r="I30" s="2"/>
      <c r="J30" s="7">
        <f t="shared" si="21"/>
        <v>0.23504683986304004</v>
      </c>
      <c r="K30" s="2"/>
      <c r="L30" s="6">
        <f t="shared" si="22"/>
        <v>-34</v>
      </c>
      <c r="M30" s="2"/>
      <c r="N30" s="7">
        <f t="shared" si="23"/>
        <v>-8.1730769230769232E-2</v>
      </c>
      <c r="O30" s="11"/>
      <c r="P30" s="6">
        <v>1794</v>
      </c>
      <c r="Q30" s="2"/>
      <c r="R30" s="7">
        <f t="shared" si="24"/>
        <v>0.54931595772043063</v>
      </c>
      <c r="S30" s="2"/>
      <c r="T30" s="6">
        <v>1320</v>
      </c>
      <c r="U30" s="2"/>
      <c r="V30" s="7">
        <f t="shared" si="25"/>
        <v>0.39146720127642037</v>
      </c>
      <c r="W30" s="2"/>
      <c r="X30" s="6">
        <f t="shared" si="26"/>
        <v>474</v>
      </c>
      <c r="Y30" s="2"/>
      <c r="Z30" s="7">
        <f t="shared" si="27"/>
        <v>0.35909090909090907</v>
      </c>
    </row>
    <row r="31" spans="1:26" s="27" customFormat="1" outlineLevel="1" collapsed="1" x14ac:dyDescent="0.25">
      <c r="A31" s="25"/>
      <c r="B31" s="13" t="str">
        <f>CONCATENATE("     ","Bad Debts/Over/Short                              ")</f>
        <v xml:space="preserve">     Bad Debts/Over/Short                              </v>
      </c>
      <c r="C31" s="13"/>
      <c r="D31" s="1">
        <f>SUM(OSRRefD22_2x_0)</f>
        <v>-0.55000000000000004</v>
      </c>
      <c r="E31" s="1"/>
      <c r="F31" s="5">
        <f t="shared" ref="F31:F43" si="28">IF(D$12=0,0,D31/D$12)</f>
        <v>-3.1335995943412891E-4</v>
      </c>
      <c r="G31" s="1"/>
      <c r="H31" s="1">
        <f>SUM(OSRRefH22_2x_0)</f>
        <v>-1.2</v>
      </c>
      <c r="I31" s="1"/>
      <c r="J31" s="5">
        <f t="shared" ref="J31:J43" si="29">IF(H$12=0,0,H31/H$12)</f>
        <v>-6.7801973037415393E-4</v>
      </c>
      <c r="K31" s="1"/>
      <c r="L31" s="1">
        <f t="shared" ref="L31:L43" si="30">+D31-H31</f>
        <v>0.64999999999999991</v>
      </c>
      <c r="M31" s="1"/>
      <c r="N31" s="5">
        <f t="shared" ref="N31:N43" si="31">IF(H31=0,0,L31/H31)</f>
        <v>-0.54166666666666663</v>
      </c>
      <c r="O31" s="13"/>
      <c r="P31" s="1">
        <f>SUM(OSRRefP22_2x_0)</f>
        <v>-0.86</v>
      </c>
      <c r="Q31" s="1"/>
      <c r="R31" s="5">
        <f t="shared" ref="R31:R43" si="32">IF(P$12=0,0,P31/P$12)</f>
        <v>-2.6332871997746394E-4</v>
      </c>
      <c r="S31" s="1"/>
      <c r="T31" s="1">
        <f>SUM(OSRRefT22_2x_0)</f>
        <v>-1.36</v>
      </c>
      <c r="U31" s="1"/>
      <c r="V31" s="5">
        <f t="shared" ref="V31:V43" si="33">IF(T$12=0,0,T31/T$12)</f>
        <v>-4.0332984373934219E-4</v>
      </c>
      <c r="W31" s="1"/>
      <c r="X31" s="1">
        <f t="shared" ref="X31:X43" si="34">+P31-T31</f>
        <v>0.50000000000000011</v>
      </c>
      <c r="Y31" s="1"/>
      <c r="Z31" s="5">
        <f t="shared" ref="Z31:Z43" si="35">IF(T31=0,0,X31/T31)</f>
        <v>-0.36764705882352949</v>
      </c>
    </row>
    <row r="32" spans="1:26" s="24" customFormat="1" hidden="1" outlineLevel="2" x14ac:dyDescent="0.25">
      <c r="A32" s="26"/>
      <c r="B32" s="11" t="str">
        <f>CONCATENATE("          ", "6272", " - ", "CASH (OVER/SHORT)")</f>
        <v xml:space="preserve">          6272 - CASH (OVER/SHORT)</v>
      </c>
      <c r="C32" s="11"/>
      <c r="D32" s="6">
        <v>-0.55000000000000004</v>
      </c>
      <c r="E32" s="2"/>
      <c r="F32" s="7">
        <f t="shared" si="28"/>
        <v>-3.1335995943412891E-4</v>
      </c>
      <c r="G32" s="2"/>
      <c r="H32" s="6">
        <v>-1.2</v>
      </c>
      <c r="I32" s="2"/>
      <c r="J32" s="7">
        <f t="shared" si="29"/>
        <v>-6.7801973037415393E-4</v>
      </c>
      <c r="K32" s="2"/>
      <c r="L32" s="6">
        <f t="shared" si="30"/>
        <v>0.64999999999999991</v>
      </c>
      <c r="M32" s="2"/>
      <c r="N32" s="7">
        <f t="shared" si="31"/>
        <v>-0.54166666666666663</v>
      </c>
      <c r="O32" s="11"/>
      <c r="P32" s="6">
        <v>-0.86</v>
      </c>
      <c r="Q32" s="2"/>
      <c r="R32" s="7">
        <f t="shared" si="32"/>
        <v>-2.6332871997746394E-4</v>
      </c>
      <c r="S32" s="2"/>
      <c r="T32" s="6">
        <v>-1.36</v>
      </c>
      <c r="U32" s="2"/>
      <c r="V32" s="7">
        <f t="shared" si="33"/>
        <v>-4.0332984373934219E-4</v>
      </c>
      <c r="W32" s="2"/>
      <c r="X32" s="6">
        <f t="shared" si="34"/>
        <v>0.50000000000000011</v>
      </c>
      <c r="Y32" s="2"/>
      <c r="Z32" s="7">
        <f t="shared" si="35"/>
        <v>-0.36764705882352949</v>
      </c>
    </row>
    <row r="33" spans="1:26" s="27" customFormat="1" outlineLevel="1" collapsed="1" x14ac:dyDescent="0.25">
      <c r="A33" s="25"/>
      <c r="B33" s="13" t="str">
        <f>CONCATENATE("     ","Bank/card Fees                                    ")</f>
        <v xml:space="preserve">     Bank/card Fees                                    </v>
      </c>
      <c r="C33" s="13"/>
      <c r="D33" s="1">
        <f>SUM(OSRRefD22_3x_0)</f>
        <v>41.75</v>
      </c>
      <c r="E33" s="1"/>
      <c r="F33" s="5">
        <f t="shared" si="28"/>
        <v>2.3786869647954328E-2</v>
      </c>
      <c r="G33" s="1"/>
      <c r="H33" s="1">
        <f>SUM(OSRRefH22_3x_0)</f>
        <v>37.380000000000003</v>
      </c>
      <c r="I33" s="1"/>
      <c r="J33" s="5">
        <f t="shared" si="29"/>
        <v>2.1120314601154898E-2</v>
      </c>
      <c r="K33" s="1"/>
      <c r="L33" s="1">
        <f t="shared" si="30"/>
        <v>4.3699999999999974</v>
      </c>
      <c r="M33" s="1"/>
      <c r="N33" s="5">
        <f t="shared" si="31"/>
        <v>0.11690743713215615</v>
      </c>
      <c r="O33" s="13"/>
      <c r="P33" s="1">
        <f>SUM(OSRRefP22_3x_0)</f>
        <v>73.3</v>
      </c>
      <c r="Q33" s="1"/>
      <c r="R33" s="5">
        <f t="shared" si="32"/>
        <v>2.2444180435288497E-2</v>
      </c>
      <c r="S33" s="1"/>
      <c r="T33" s="1">
        <f>SUM(OSRRefT22_3x_0)</f>
        <v>67.25</v>
      </c>
      <c r="U33" s="1"/>
      <c r="V33" s="5">
        <f t="shared" si="33"/>
        <v>1.9944067640787325E-2</v>
      </c>
      <c r="W33" s="1"/>
      <c r="X33" s="1">
        <f t="shared" si="34"/>
        <v>6.0499999999999972</v>
      </c>
      <c r="Y33" s="1"/>
      <c r="Z33" s="5">
        <f t="shared" si="35"/>
        <v>8.996282527881036E-2</v>
      </c>
    </row>
    <row r="34" spans="1:26" s="24" customFormat="1" hidden="1" outlineLevel="2" x14ac:dyDescent="0.25">
      <c r="A34" s="26"/>
      <c r="B34" s="11" t="str">
        <f>CONCATENATE("          ", "6381", " - ", "BANK/CREDIT CARD FEES")</f>
        <v xml:space="preserve">          6381 - BANK/CREDIT CARD FEES</v>
      </c>
      <c r="C34" s="11"/>
      <c r="D34" s="6">
        <v>41.75</v>
      </c>
      <c r="E34" s="2"/>
      <c r="F34" s="7">
        <f t="shared" si="28"/>
        <v>2.3786869647954328E-2</v>
      </c>
      <c r="G34" s="2"/>
      <c r="H34" s="6">
        <v>37.380000000000003</v>
      </c>
      <c r="I34" s="2"/>
      <c r="J34" s="7">
        <f t="shared" si="29"/>
        <v>2.1120314601154898E-2</v>
      </c>
      <c r="K34" s="2"/>
      <c r="L34" s="6">
        <f t="shared" si="30"/>
        <v>4.3699999999999974</v>
      </c>
      <c r="M34" s="2"/>
      <c r="N34" s="7">
        <f t="shared" si="31"/>
        <v>0.11690743713215615</v>
      </c>
      <c r="O34" s="11"/>
      <c r="P34" s="6">
        <v>73.3</v>
      </c>
      <c r="Q34" s="2"/>
      <c r="R34" s="7">
        <f t="shared" si="32"/>
        <v>2.2444180435288497E-2</v>
      </c>
      <c r="S34" s="2"/>
      <c r="T34" s="6">
        <v>67.25</v>
      </c>
      <c r="U34" s="2"/>
      <c r="V34" s="7">
        <f t="shared" si="33"/>
        <v>1.9944067640787325E-2</v>
      </c>
      <c r="W34" s="2"/>
      <c r="X34" s="6">
        <f t="shared" si="34"/>
        <v>6.0499999999999972</v>
      </c>
      <c r="Y34" s="2"/>
      <c r="Z34" s="7">
        <f t="shared" si="35"/>
        <v>8.996282527881036E-2</v>
      </c>
    </row>
    <row r="35" spans="1:26" s="27" customFormat="1" outlineLevel="1" collapsed="1" x14ac:dyDescent="0.25">
      <c r="A35" s="25"/>
      <c r="B35" s="13" t="str">
        <f>CONCATENATE("     ","General                                           ")</f>
        <v xml:space="preserve">     General                                           </v>
      </c>
      <c r="C35" s="13"/>
      <c r="D35" s="1">
        <f>SUM(OSRRefD22_4x_0)</f>
        <v>33</v>
      </c>
      <c r="E35" s="1"/>
      <c r="F35" s="5">
        <f t="shared" si="28"/>
        <v>1.8801597566047733E-2</v>
      </c>
      <c r="G35" s="1"/>
      <c r="H35" s="1">
        <f>SUM(OSRRefH22_4x_0)</f>
        <v>17.850000000000001</v>
      </c>
      <c r="I35" s="1"/>
      <c r="J35" s="5">
        <f t="shared" si="29"/>
        <v>1.008554348931554E-2</v>
      </c>
      <c r="K35" s="1"/>
      <c r="L35" s="1">
        <f t="shared" si="30"/>
        <v>15.149999999999999</v>
      </c>
      <c r="M35" s="1"/>
      <c r="N35" s="5">
        <f t="shared" si="31"/>
        <v>0.8487394957983192</v>
      </c>
      <c r="O35" s="13"/>
      <c r="P35" s="1">
        <f>SUM(OSRRefP22_4x_0)</f>
        <v>1146.55</v>
      </c>
      <c r="Q35" s="1"/>
      <c r="R35" s="5">
        <f t="shared" si="32"/>
        <v>0.35106923708158289</v>
      </c>
      <c r="S35" s="1"/>
      <c r="T35" s="1">
        <f>SUM(OSRRefT22_4x_0)</f>
        <v>1058</v>
      </c>
      <c r="U35" s="1"/>
      <c r="V35" s="5">
        <f t="shared" si="33"/>
        <v>0.31376689314428235</v>
      </c>
      <c r="W35" s="1"/>
      <c r="X35" s="1">
        <f t="shared" si="34"/>
        <v>88.549999999999955</v>
      </c>
      <c r="Y35" s="1"/>
      <c r="Z35" s="5">
        <f t="shared" si="35"/>
        <v>8.3695652173913004E-2</v>
      </c>
    </row>
    <row r="36" spans="1:26" s="24" customFormat="1" hidden="1" outlineLevel="2" x14ac:dyDescent="0.25">
      <c r="A36" s="26"/>
      <c r="B36" s="11" t="str">
        <f>CONCATENATE("          ", "6279", " - ", "GENERAL EXPENSE")</f>
        <v xml:space="preserve">          6279 - GENERAL EXPENSE</v>
      </c>
      <c r="C36" s="11"/>
      <c r="D36" s="6">
        <v>33</v>
      </c>
      <c r="E36" s="2"/>
      <c r="F36" s="7">
        <f t="shared" si="28"/>
        <v>1.8801597566047733E-2</v>
      </c>
      <c r="G36" s="2"/>
      <c r="H36" s="6">
        <v>17.850000000000001</v>
      </c>
      <c r="I36" s="2"/>
      <c r="J36" s="7">
        <f t="shared" si="29"/>
        <v>1.008554348931554E-2</v>
      </c>
      <c r="K36" s="2"/>
      <c r="L36" s="6">
        <f t="shared" si="30"/>
        <v>15.149999999999999</v>
      </c>
      <c r="M36" s="2"/>
      <c r="N36" s="7">
        <f t="shared" si="31"/>
        <v>0.8487394957983192</v>
      </c>
      <c r="O36" s="11"/>
      <c r="P36" s="6">
        <v>1146.55</v>
      </c>
      <c r="Q36" s="2"/>
      <c r="R36" s="7">
        <f t="shared" si="32"/>
        <v>0.35106923708158289</v>
      </c>
      <c r="S36" s="2"/>
      <c r="T36" s="6">
        <v>1058</v>
      </c>
      <c r="U36" s="2"/>
      <c r="V36" s="7">
        <f t="shared" si="33"/>
        <v>0.31376689314428235</v>
      </c>
      <c r="W36" s="2"/>
      <c r="X36" s="6">
        <f t="shared" si="34"/>
        <v>88.549999999999955</v>
      </c>
      <c r="Y36" s="2"/>
      <c r="Z36" s="7">
        <f t="shared" si="35"/>
        <v>8.3695652173913004E-2</v>
      </c>
    </row>
    <row r="37" spans="1:26" s="27" customFormat="1" outlineLevel="1" collapsed="1" x14ac:dyDescent="0.25">
      <c r="A37" s="25"/>
      <c r="B37" s="13" t="str">
        <f>CONCATENATE("     ","R/H Commissions                                   ")</f>
        <v xml:space="preserve">     R/H Commissions                                   </v>
      </c>
      <c r="C37" s="13"/>
      <c r="D37" s="1">
        <f>SUM(OSRRefD22_5x_0)</f>
        <v>140.41</v>
      </c>
      <c r="E37" s="1"/>
      <c r="F37" s="5">
        <f t="shared" si="28"/>
        <v>7.9997948916629147E-2</v>
      </c>
      <c r="G37" s="1"/>
      <c r="H37" s="1">
        <f>SUM(OSRRefH22_5x_0)</f>
        <v>141.59</v>
      </c>
      <c r="I37" s="1"/>
      <c r="J37" s="5">
        <f t="shared" si="29"/>
        <v>8.0000678019730376E-2</v>
      </c>
      <c r="K37" s="1"/>
      <c r="L37" s="1">
        <f t="shared" si="30"/>
        <v>-1.1800000000000068</v>
      </c>
      <c r="M37" s="1"/>
      <c r="N37" s="5">
        <f t="shared" si="31"/>
        <v>-8.333921887138971E-3</v>
      </c>
      <c r="O37" s="13"/>
      <c r="P37" s="1">
        <f>SUM(OSRRefP22_5x_0)</f>
        <v>261.27</v>
      </c>
      <c r="Q37" s="1"/>
      <c r="R37" s="5">
        <f t="shared" si="32"/>
        <v>7.9999877521525584E-2</v>
      </c>
      <c r="S37" s="1"/>
      <c r="T37" s="1">
        <f>SUM(OSRRefT22_5x_0)</f>
        <v>269.76</v>
      </c>
      <c r="U37" s="1"/>
      <c r="V37" s="5">
        <f t="shared" si="33"/>
        <v>8.0001660769944805E-2</v>
      </c>
      <c r="W37" s="1"/>
      <c r="X37" s="1">
        <f t="shared" si="34"/>
        <v>-8.4900000000000091</v>
      </c>
      <c r="Y37" s="1"/>
      <c r="Z37" s="5">
        <f t="shared" si="35"/>
        <v>-3.1472419928825657E-2</v>
      </c>
    </row>
    <row r="38" spans="1:26" s="24" customFormat="1" hidden="1" outlineLevel="2" x14ac:dyDescent="0.25">
      <c r="A38" s="26"/>
      <c r="B38" s="11" t="str">
        <f>CONCATENATE("          ", "6387", " - ", "COMMISSION DUE HOUSING")</f>
        <v xml:space="preserve">          6387 - COMMISSION DUE HOUSING</v>
      </c>
      <c r="C38" s="11"/>
      <c r="D38" s="6">
        <v>140.41</v>
      </c>
      <c r="E38" s="2"/>
      <c r="F38" s="7">
        <f t="shared" si="28"/>
        <v>7.9997948916629147E-2</v>
      </c>
      <c r="G38" s="2"/>
      <c r="H38" s="6">
        <v>141.59</v>
      </c>
      <c r="I38" s="2"/>
      <c r="J38" s="7">
        <f t="shared" si="29"/>
        <v>8.0000678019730376E-2</v>
      </c>
      <c r="K38" s="2"/>
      <c r="L38" s="6">
        <f t="shared" si="30"/>
        <v>-1.1800000000000068</v>
      </c>
      <c r="M38" s="2"/>
      <c r="N38" s="7">
        <f t="shared" si="31"/>
        <v>-8.333921887138971E-3</v>
      </c>
      <c r="O38" s="11"/>
      <c r="P38" s="6">
        <v>261.27</v>
      </c>
      <c r="Q38" s="2"/>
      <c r="R38" s="7">
        <f t="shared" si="32"/>
        <v>7.9999877521525584E-2</v>
      </c>
      <c r="S38" s="2"/>
      <c r="T38" s="6">
        <v>269.76</v>
      </c>
      <c r="U38" s="2"/>
      <c r="V38" s="7">
        <f t="shared" si="33"/>
        <v>8.0001660769944805E-2</v>
      </c>
      <c r="W38" s="2"/>
      <c r="X38" s="6">
        <f t="shared" si="34"/>
        <v>-8.4900000000000091</v>
      </c>
      <c r="Y38" s="2"/>
      <c r="Z38" s="7">
        <f t="shared" si="35"/>
        <v>-3.1472419928825657E-2</v>
      </c>
    </row>
    <row r="39" spans="1:26" s="27" customFormat="1" outlineLevel="1" collapsed="1" x14ac:dyDescent="0.25">
      <c r="A39" s="25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157.51</v>
      </c>
      <c r="E39" s="1"/>
      <c r="F39" s="5">
        <f t="shared" si="28"/>
        <v>8.974059492812661E-2</v>
      </c>
      <c r="G39" s="1"/>
      <c r="H39" s="1">
        <f>SUM(OSRRefH22_6x_0)</f>
        <v>-430.75</v>
      </c>
      <c r="I39" s="1"/>
      <c r="J39" s="5">
        <f t="shared" si="29"/>
        <v>-0.24338083238222233</v>
      </c>
      <c r="K39" s="1"/>
      <c r="L39" s="1">
        <f t="shared" si="30"/>
        <v>588.26</v>
      </c>
      <c r="M39" s="1"/>
      <c r="N39" s="5">
        <f t="shared" si="31"/>
        <v>-1.3656645385954731</v>
      </c>
      <c r="O39" s="13"/>
      <c r="P39" s="1">
        <f>SUM(OSRRefP22_6x_0)</f>
        <v>1523.59</v>
      </c>
      <c r="Q39" s="1"/>
      <c r="R39" s="5">
        <f t="shared" si="32"/>
        <v>0.46651744705867937</v>
      </c>
      <c r="S39" s="1"/>
      <c r="T39" s="1">
        <f>SUM(OSRRefT22_6x_0)</f>
        <v>-185.89000000000001</v>
      </c>
      <c r="U39" s="1"/>
      <c r="V39" s="5">
        <f t="shared" si="33"/>
        <v>-5.5128665185813476E-2</v>
      </c>
      <c r="W39" s="1"/>
      <c r="X39" s="1">
        <f t="shared" si="34"/>
        <v>1709.48</v>
      </c>
      <c r="Y39" s="1"/>
      <c r="Z39" s="5">
        <f t="shared" si="35"/>
        <v>-9.196191295927699</v>
      </c>
    </row>
    <row r="40" spans="1:26" s="24" customFormat="1" hidden="1" outlineLevel="2" x14ac:dyDescent="0.25">
      <c r="A40" s="26"/>
      <c r="B40" s="11" t="str">
        <f>CONCATENATE("          ", "6237", " - ", "JANITORIAL SUPPLIES")</f>
        <v xml:space="preserve">          6237 - JANITORIAL SUPPLIES</v>
      </c>
      <c r="C40" s="11"/>
      <c r="D40" s="6">
        <v>47.13</v>
      </c>
      <c r="E40" s="2"/>
      <c r="F40" s="7">
        <f t="shared" si="28"/>
        <v>2.6852099796600901E-2</v>
      </c>
      <c r="G40" s="2"/>
      <c r="H40" s="6"/>
      <c r="I40" s="2"/>
      <c r="J40" s="7">
        <f t="shared" si="29"/>
        <v>0</v>
      </c>
      <c r="K40" s="2"/>
      <c r="L40" s="6">
        <f t="shared" si="30"/>
        <v>47.13</v>
      </c>
      <c r="M40" s="2"/>
      <c r="N40" s="7">
        <f t="shared" si="31"/>
        <v>0</v>
      </c>
      <c r="O40" s="11"/>
      <c r="P40" s="6">
        <v>47.13</v>
      </c>
      <c r="Q40" s="2"/>
      <c r="R40" s="7">
        <f t="shared" si="32"/>
        <v>1.4431026247137066E-2</v>
      </c>
      <c r="S40" s="2"/>
      <c r="T40" s="6">
        <v>58.06</v>
      </c>
      <c r="U40" s="2"/>
      <c r="V40" s="7">
        <f t="shared" si="33"/>
        <v>1.7218625534931035E-2</v>
      </c>
      <c r="W40" s="2"/>
      <c r="X40" s="6">
        <f t="shared" si="34"/>
        <v>-10.93</v>
      </c>
      <c r="Y40" s="2"/>
      <c r="Z40" s="7">
        <f t="shared" si="35"/>
        <v>-0.18825353083017568</v>
      </c>
    </row>
    <row r="41" spans="1:26" s="24" customFormat="1" hidden="1" outlineLevel="2" x14ac:dyDescent="0.25">
      <c r="A41" s="26"/>
      <c r="B41" s="11" t="str">
        <f>CONCATENATE("          ", "6243", " - ", "PAPER SUPPLIES")</f>
        <v xml:space="preserve">          6243 - PAPER SUPPLIES</v>
      </c>
      <c r="C41" s="11"/>
      <c r="D41" s="6"/>
      <c r="E41" s="2"/>
      <c r="F41" s="7">
        <f t="shared" si="28"/>
        <v>0</v>
      </c>
      <c r="G41" s="2"/>
      <c r="H41" s="6"/>
      <c r="I41" s="2"/>
      <c r="J41" s="7">
        <f t="shared" si="29"/>
        <v>0</v>
      </c>
      <c r="K41" s="2"/>
      <c r="L41" s="6">
        <f t="shared" si="30"/>
        <v>0</v>
      </c>
      <c r="M41" s="2"/>
      <c r="N41" s="7">
        <f t="shared" si="31"/>
        <v>0</v>
      </c>
      <c r="O41" s="11"/>
      <c r="P41" s="6"/>
      <c r="Q41" s="2"/>
      <c r="R41" s="7">
        <f t="shared" si="32"/>
        <v>0</v>
      </c>
      <c r="S41" s="2"/>
      <c r="T41" s="6">
        <v>126.09</v>
      </c>
      <c r="U41" s="2"/>
      <c r="V41" s="7">
        <f t="shared" si="33"/>
        <v>3.7394014703745336E-2</v>
      </c>
      <c r="W41" s="2"/>
      <c r="X41" s="6">
        <f t="shared" si="34"/>
        <v>-126.09</v>
      </c>
      <c r="Y41" s="2"/>
      <c r="Z41" s="7">
        <f t="shared" si="35"/>
        <v>-1</v>
      </c>
    </row>
    <row r="42" spans="1:26" s="24" customFormat="1" hidden="1" outlineLevel="2" x14ac:dyDescent="0.25">
      <c r="A42" s="26"/>
      <c r="B42" s="11" t="str">
        <f>CONCATENATE("          ", "6247", " - ", "STORE SUPPLIES")</f>
        <v xml:space="preserve">          6247 - STORE SUPPLIES</v>
      </c>
      <c r="C42" s="11"/>
      <c r="D42" s="6">
        <v>110.38</v>
      </c>
      <c r="E42" s="2"/>
      <c r="F42" s="7">
        <f t="shared" si="28"/>
        <v>6.288849513152571E-2</v>
      </c>
      <c r="G42" s="2"/>
      <c r="H42" s="6">
        <v>-430.75</v>
      </c>
      <c r="I42" s="2"/>
      <c r="J42" s="7">
        <f t="shared" si="29"/>
        <v>-0.24338083238222233</v>
      </c>
      <c r="K42" s="2"/>
      <c r="L42" s="6">
        <f t="shared" si="30"/>
        <v>541.13</v>
      </c>
      <c r="M42" s="2"/>
      <c r="N42" s="7">
        <f t="shared" si="31"/>
        <v>-1.256250725478816</v>
      </c>
      <c r="O42" s="11"/>
      <c r="P42" s="6">
        <v>362.86</v>
      </c>
      <c r="Q42" s="2"/>
      <c r="R42" s="7">
        <f t="shared" si="32"/>
        <v>0.11110634805932858</v>
      </c>
      <c r="S42" s="2"/>
      <c r="T42" s="6">
        <v>-370.04</v>
      </c>
      <c r="U42" s="2"/>
      <c r="V42" s="7">
        <f t="shared" si="33"/>
        <v>-0.10974130542448984</v>
      </c>
      <c r="W42" s="2"/>
      <c r="X42" s="6">
        <f t="shared" si="34"/>
        <v>732.90000000000009</v>
      </c>
      <c r="Y42" s="2"/>
      <c r="Z42" s="7">
        <f t="shared" si="35"/>
        <v>-1.9805966922494866</v>
      </c>
    </row>
    <row r="43" spans="1:26" s="24" customFormat="1" hidden="1" outlineLevel="2" x14ac:dyDescent="0.25">
      <c r="A43" s="26"/>
      <c r="B43" s="11" t="str">
        <f>CONCATENATE("          ", "6248", " - ", "UNIFORMS")</f>
        <v xml:space="preserve">          6248 - UNIFORMS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>
        <v>1113.5999999999999</v>
      </c>
      <c r="Q43" s="2"/>
      <c r="R43" s="7">
        <f t="shared" si="32"/>
        <v>0.34098007275221376</v>
      </c>
      <c r="S43" s="2"/>
      <c r="T43" s="6"/>
      <c r="U43" s="2"/>
      <c r="V43" s="7">
        <f t="shared" si="33"/>
        <v>0</v>
      </c>
      <c r="W43" s="2"/>
      <c r="X43" s="6">
        <f t="shared" si="34"/>
        <v>1113.5999999999999</v>
      </c>
      <c r="Y43" s="2"/>
      <c r="Z43" s="7">
        <f t="shared" si="35"/>
        <v>0</v>
      </c>
    </row>
    <row r="44" spans="1:26" s="27" customFormat="1" outlineLevel="1" collapsed="1" x14ac:dyDescent="0.25">
      <c r="A44" s="25"/>
      <c r="B44" s="13" t="str">
        <f>CONCATENATE("     ","Telephone/Data Lines                              ")</f>
        <v xml:space="preserve">     Telephone/Data Lines                              </v>
      </c>
      <c r="C44" s="13"/>
      <c r="D44" s="1">
        <f>SUM(OSRRefD22_7x_0)</f>
        <v>75.5</v>
      </c>
      <c r="E44" s="1"/>
      <c r="F44" s="5">
        <f t="shared" ref="F44:F45" si="36">IF(D$12=0,0,D44/D$12)</f>
        <v>4.3015776249594052E-2</v>
      </c>
      <c r="G44" s="1"/>
      <c r="H44" s="1">
        <f>SUM(OSRRefH22_7x_0)</f>
        <v>75.5</v>
      </c>
      <c r="I44" s="1"/>
      <c r="J44" s="5">
        <f t="shared" ref="J44:J45" si="37">IF(H$12=0,0,H44/H$12)</f>
        <v>4.2658741369373851E-2</v>
      </c>
      <c r="K44" s="1"/>
      <c r="L44" s="1">
        <f t="shared" ref="L44:L45" si="38">+D44-H44</f>
        <v>0</v>
      </c>
      <c r="M44" s="1"/>
      <c r="N44" s="5">
        <f t="shared" ref="N44:N45" si="39">IF(H44=0,0,L44/H44)</f>
        <v>0</v>
      </c>
      <c r="O44" s="13"/>
      <c r="P44" s="1">
        <f>SUM(OSRRefP22_7x_0)</f>
        <v>262</v>
      </c>
      <c r="Q44" s="1"/>
      <c r="R44" s="5">
        <f t="shared" ref="R44:R45" si="40">IF(P$12=0,0,P44/P$12)</f>
        <v>8.0223400737320413E-2</v>
      </c>
      <c r="S44" s="1"/>
      <c r="T44" s="1">
        <f>SUM(OSRRefT22_7x_0)</f>
        <v>242</v>
      </c>
      <c r="U44" s="1"/>
      <c r="V44" s="5">
        <f t="shared" ref="V44:V45" si="41">IF(T$12=0,0,T44/T$12)</f>
        <v>7.1768986900677068E-2</v>
      </c>
      <c r="W44" s="1"/>
      <c r="X44" s="1">
        <f t="shared" ref="X44:X45" si="42">+P44-T44</f>
        <v>20</v>
      </c>
      <c r="Y44" s="1"/>
      <c r="Z44" s="5">
        <f t="shared" ref="Z44:Z45" si="43">IF(T44=0,0,X44/T44)</f>
        <v>8.2644628099173556E-2</v>
      </c>
    </row>
    <row r="45" spans="1:26" s="24" customFormat="1" hidden="1" outlineLevel="2" x14ac:dyDescent="0.25">
      <c r="A45" s="26"/>
      <c r="B45" s="11" t="str">
        <f>CONCATENATE("          ", "6309", " - ", "TELEPHONE")</f>
        <v xml:space="preserve">          6309 - TELEPHONE</v>
      </c>
      <c r="C45" s="11"/>
      <c r="D45" s="6">
        <v>75.5</v>
      </c>
      <c r="E45" s="2"/>
      <c r="F45" s="7">
        <f t="shared" si="36"/>
        <v>4.3015776249594052E-2</v>
      </c>
      <c r="G45" s="2"/>
      <c r="H45" s="6">
        <v>75.5</v>
      </c>
      <c r="I45" s="2"/>
      <c r="J45" s="7">
        <f t="shared" si="37"/>
        <v>4.2658741369373851E-2</v>
      </c>
      <c r="K45" s="2"/>
      <c r="L45" s="6">
        <f t="shared" si="38"/>
        <v>0</v>
      </c>
      <c r="M45" s="2"/>
      <c r="N45" s="7">
        <f t="shared" si="39"/>
        <v>0</v>
      </c>
      <c r="O45" s="11"/>
      <c r="P45" s="6">
        <v>262</v>
      </c>
      <c r="Q45" s="2"/>
      <c r="R45" s="7">
        <f t="shared" si="40"/>
        <v>8.0223400737320413E-2</v>
      </c>
      <c r="S45" s="2"/>
      <c r="T45" s="6">
        <v>242</v>
      </c>
      <c r="U45" s="2"/>
      <c r="V45" s="7">
        <f t="shared" si="41"/>
        <v>7.1768986900677068E-2</v>
      </c>
      <c r="W45" s="2"/>
      <c r="X45" s="6">
        <f t="shared" si="42"/>
        <v>20</v>
      </c>
      <c r="Y45" s="2"/>
      <c r="Z45" s="7">
        <f t="shared" si="43"/>
        <v>8.2644628099173556E-2</v>
      </c>
    </row>
    <row r="46" spans="1:26" s="55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9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3</v>
      </c>
      <c r="C49" s="28"/>
      <c r="D49" s="21">
        <f>+D21-D23+D47</f>
        <v>-2596.3999999999996</v>
      </c>
      <c r="E49" s="14"/>
      <c r="F49" s="22">
        <f>IF(D$12=0,0,D49/D$12)</f>
        <v>-1.4792869066814038</v>
      </c>
      <c r="G49" s="14"/>
      <c r="H49" s="21">
        <f>+H21-H23+H47</f>
        <v>-1922.9900000000007</v>
      </c>
      <c r="I49" s="14"/>
      <c r="J49" s="22">
        <f>IF(H$12=0,0,H49/H$12)</f>
        <v>-1.0865209677601624</v>
      </c>
      <c r="K49" s="16"/>
      <c r="L49" s="21">
        <f>+D49-H49</f>
        <v>-673.40999999999894</v>
      </c>
      <c r="M49" s="16"/>
      <c r="N49" s="22">
        <f>IF(H49=0,0,L49/H49)</f>
        <v>0.35018902854408951</v>
      </c>
      <c r="O49" s="29"/>
      <c r="P49" s="21">
        <f>+P21-P23+P47</f>
        <v>-8034.8900000000012</v>
      </c>
      <c r="Q49" s="14"/>
      <c r="R49" s="22">
        <f>IF(P$12=0,0,P49/P$12)</f>
        <v>-2.4602526730927043</v>
      </c>
      <c r="S49" s="14"/>
      <c r="T49" s="21">
        <f>+T21-T23+T47</f>
        <v>-5898.130000000001</v>
      </c>
      <c r="U49" s="14"/>
      <c r="V49" s="22">
        <f>IF(T$12=0,0,T49/T$12)</f>
        <v>-1.7491851847458284</v>
      </c>
      <c r="W49" s="16"/>
      <c r="X49" s="21">
        <f>+P49-T49</f>
        <v>-2136.7600000000002</v>
      </c>
      <c r="Y49" s="16"/>
      <c r="Z49" s="22">
        <f>IF(T49=0,0,X49/T49)</f>
        <v>0.362277535422244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>
        <v>166.48</v>
      </c>
      <c r="E51" s="4"/>
      <c r="F51" s="12">
        <f>IF(D$12=0,0,D51/D$12)</f>
        <v>9.4851210993806861E-2</v>
      </c>
      <c r="G51" s="4"/>
      <c r="H51" s="4">
        <v>167.34</v>
      </c>
      <c r="I51" s="4"/>
      <c r="J51" s="12">
        <f>IF(H$12=0,0,H51/H$12)</f>
        <v>9.4549851400675761E-2</v>
      </c>
      <c r="K51" s="4"/>
      <c r="L51" s="4">
        <f>+D51-H51</f>
        <v>-0.86000000000001364</v>
      </c>
      <c r="M51" s="4"/>
      <c r="N51" s="12">
        <f>IF(H51=0,0,L51/H51)</f>
        <v>-5.1392374805785445E-3</v>
      </c>
      <c r="O51" s="10"/>
      <c r="P51" s="4">
        <v>328.75</v>
      </c>
      <c r="Q51" s="4"/>
      <c r="R51" s="12">
        <f>IF(P$12=0,0,P51/P$12)</f>
        <v>0.1006619961541759</v>
      </c>
      <c r="S51" s="4"/>
      <c r="T51" s="4">
        <v>309.68</v>
      </c>
      <c r="U51" s="4"/>
      <c r="V51" s="12">
        <f>IF(T$12=0,0,T51/T$12)</f>
        <v>9.1840577947940802E-2</v>
      </c>
      <c r="W51" s="4"/>
      <c r="X51" s="4">
        <f>+P51-T51</f>
        <v>19.069999999999993</v>
      </c>
      <c r="Y51" s="4"/>
      <c r="Z51" s="12">
        <f>IF(T51=0,0,X51/T51)</f>
        <v>6.1579695169206902E-2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4</v>
      </c>
      <c r="C53" s="28"/>
      <c r="D53" s="31">
        <f>+D49-D51</f>
        <v>-2762.8799999999997</v>
      </c>
      <c r="E53" s="14"/>
      <c r="F53" s="34">
        <f>IF(D$12=0,0,D53/D$12)</f>
        <v>-1.5741381176752107</v>
      </c>
      <c r="G53" s="14"/>
      <c r="H53" s="31">
        <f>+H49-H51</f>
        <v>-2090.3300000000008</v>
      </c>
      <c r="I53" s="14"/>
      <c r="J53" s="34">
        <f>IF(H$12=0,0,H53/H$12)</f>
        <v>-1.1810708191608381</v>
      </c>
      <c r="K53" s="16"/>
      <c r="L53" s="31">
        <f>D53-H53</f>
        <v>-672.54999999999882</v>
      </c>
      <c r="M53" s="16"/>
      <c r="N53" s="34">
        <f>IF(H53=0,0,L53/H53)</f>
        <v>0.3217434567747669</v>
      </c>
      <c r="O53" s="29"/>
      <c r="P53" s="31">
        <f>+P49-P51</f>
        <v>-8363.6400000000012</v>
      </c>
      <c r="Q53" s="14"/>
      <c r="R53" s="34">
        <f>IF(P$12=0,0,P53/P$12)</f>
        <v>-2.56091466924688</v>
      </c>
      <c r="S53" s="14"/>
      <c r="T53" s="31">
        <f>+T49-T51</f>
        <v>-6207.8100000000013</v>
      </c>
      <c r="U53" s="14"/>
      <c r="V53" s="34">
        <f>IF(T$12=0,0,T53/T$12)</f>
        <v>-1.8410257626937694</v>
      </c>
      <c r="W53" s="16"/>
      <c r="X53" s="31">
        <f>P53-T53</f>
        <v>-2155.83</v>
      </c>
      <c r="Y53" s="16"/>
      <c r="Z53" s="34">
        <f>IF(T53=0,0,X53/T53)</f>
        <v>0.34727705905947498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8" t="s">
        <v>5</v>
      </c>
      <c r="C56" s="28"/>
      <c r="D56" s="36">
        <f>SUM(D53:D55)</f>
        <v>-2762.8799999999997</v>
      </c>
      <c r="E56" s="14"/>
      <c r="F56" s="33">
        <f>IF(D$12=0,0,D56/D$12)</f>
        <v>-1.5741381176752107</v>
      </c>
      <c r="G56" s="14"/>
      <c r="H56" s="36">
        <f>SUM(H53:H55)</f>
        <v>-2090.3300000000008</v>
      </c>
      <c r="I56" s="14"/>
      <c r="J56" s="33">
        <f>IF(H$12=0,0,H56/H$12)</f>
        <v>-1.1810708191608381</v>
      </c>
      <c r="K56" s="16"/>
      <c r="L56" s="36">
        <f>+D56-H56</f>
        <v>-672.54999999999882</v>
      </c>
      <c r="M56" s="16"/>
      <c r="N56" s="33">
        <f>IF(H56=0,0,L56/H56)</f>
        <v>0.3217434567747669</v>
      </c>
      <c r="O56" s="29"/>
      <c r="P56" s="36">
        <f>SUM(P53:P55)</f>
        <v>-8363.6400000000012</v>
      </c>
      <c r="Q56" s="14"/>
      <c r="R56" s="33">
        <f>IF(P$12=0,0,P56/P$12)</f>
        <v>-2.56091466924688</v>
      </c>
      <c r="S56" s="14"/>
      <c r="T56" s="36">
        <f>SUM(T53:T55)</f>
        <v>-6207.8100000000013</v>
      </c>
      <c r="U56" s="14"/>
      <c r="V56" s="33">
        <f>IF(T$12=0,0,T56/T$12)</f>
        <v>-1.8410257626937694</v>
      </c>
      <c r="W56" s="16"/>
      <c r="X56" s="36">
        <f>+P56-T56</f>
        <v>-2155.83</v>
      </c>
      <c r="Y56" s="16"/>
      <c r="Z56" s="33">
        <f>IF(T56=0,0,X56/T56)</f>
        <v>0.34727705905947498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61">
        <v>43791.35578607639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6" t="s">
        <v>313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7"/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","444", " - ", "Parkside Dining Hall")</f>
        <v>Department 444 - Parkside Dining Hall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618690.34</v>
      </c>
      <c r="E12" s="4"/>
      <c r="F12" s="12"/>
      <c r="G12" s="4"/>
      <c r="H12" s="4">
        <f>SUM(OSRRefH13x_0)</f>
        <v>611337.54</v>
      </c>
      <c r="I12" s="4"/>
      <c r="J12" s="12"/>
      <c r="K12" s="4"/>
      <c r="L12" s="4">
        <f t="shared" ref="L12:L15" si="0">+D12-H12</f>
        <v>7352.7999999999302</v>
      </c>
      <c r="M12" s="4"/>
      <c r="N12" s="12">
        <f t="shared" ref="N12:N15" si="1">IF(H12=0,0,L12/H12)</f>
        <v>1.2027398153890451E-2</v>
      </c>
      <c r="O12" s="10"/>
      <c r="P12" s="4">
        <f>SUM(OSRRefP13x_0)</f>
        <v>1561153.27</v>
      </c>
      <c r="Q12" s="4"/>
      <c r="R12" s="12"/>
      <c r="S12" s="4"/>
      <c r="T12" s="4">
        <f>SUM(OSRRefT13x_0)</f>
        <v>1561833.83</v>
      </c>
      <c r="U12" s="4"/>
      <c r="V12" s="12"/>
      <c r="W12" s="4"/>
      <c r="X12" s="4">
        <f t="shared" ref="X12:X15" si="2">+P12-T12</f>
        <v>-680.56000000005588</v>
      </c>
      <c r="Y12" s="4"/>
      <c r="Z12" s="12">
        <f t="shared" ref="Z12:Z15" si="3">IF(T12=0,0,X12/T12)</f>
        <v>-4.3574417900786274E-4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--492.26</f>
        <v>492.26</v>
      </c>
      <c r="E13" s="2"/>
      <c r="F13" s="19"/>
      <c r="G13" s="2"/>
      <c r="H13" s="2">
        <f>--289.08</f>
        <v>289.08</v>
      </c>
      <c r="I13" s="2"/>
      <c r="J13" s="19"/>
      <c r="K13" s="2"/>
      <c r="L13" s="2">
        <f t="shared" si="0"/>
        <v>203.18</v>
      </c>
      <c r="M13" s="2"/>
      <c r="N13" s="19">
        <f t="shared" si="1"/>
        <v>0.70285042202850423</v>
      </c>
      <c r="O13" s="11"/>
      <c r="P13" s="2">
        <f>--1770.29</f>
        <v>1770.29</v>
      </c>
      <c r="Q13" s="2"/>
      <c r="R13" s="19"/>
      <c r="S13" s="2"/>
      <c r="T13" s="2">
        <f>--1112</f>
        <v>1112</v>
      </c>
      <c r="U13" s="2"/>
      <c r="V13" s="19"/>
      <c r="W13" s="2"/>
      <c r="X13" s="2">
        <f t="shared" si="2"/>
        <v>658.29</v>
      </c>
      <c r="Y13" s="2"/>
      <c r="Z13" s="19">
        <f t="shared" si="3"/>
        <v>0.59198741007194244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--612257.84</f>
        <v>612257.84</v>
      </c>
      <c r="E14" s="2"/>
      <c r="F14" s="19"/>
      <c r="G14" s="2"/>
      <c r="H14" s="2">
        <f>--606240.03</f>
        <v>606240.03</v>
      </c>
      <c r="I14" s="2"/>
      <c r="J14" s="19"/>
      <c r="K14" s="2"/>
      <c r="L14" s="2">
        <f t="shared" si="0"/>
        <v>6017.8099999999395</v>
      </c>
      <c r="M14" s="2"/>
      <c r="N14" s="19">
        <f t="shared" si="1"/>
        <v>9.9264477800978263E-3</v>
      </c>
      <c r="O14" s="11"/>
      <c r="P14" s="2">
        <f>--1529583.27</f>
        <v>1529583.27</v>
      </c>
      <c r="Q14" s="2"/>
      <c r="R14" s="19"/>
      <c r="S14" s="2"/>
      <c r="T14" s="2">
        <f>--1523204.59</f>
        <v>1523204.59</v>
      </c>
      <c r="U14" s="2"/>
      <c r="V14" s="19"/>
      <c r="W14" s="2"/>
      <c r="X14" s="2">
        <f t="shared" si="2"/>
        <v>6378.6799999999348</v>
      </c>
      <c r="Y14" s="2"/>
      <c r="Z14" s="19">
        <f t="shared" si="3"/>
        <v>4.1876712044308729E-3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--5940.24</f>
        <v>5940.24</v>
      </c>
      <c r="E15" s="2"/>
      <c r="F15" s="19"/>
      <c r="G15" s="2"/>
      <c r="H15" s="2">
        <f>--4808.43</f>
        <v>4808.43</v>
      </c>
      <c r="I15" s="2"/>
      <c r="J15" s="19"/>
      <c r="K15" s="2"/>
      <c r="L15" s="2">
        <f t="shared" si="0"/>
        <v>1131.8099999999995</v>
      </c>
      <c r="M15" s="2"/>
      <c r="N15" s="19">
        <f t="shared" si="1"/>
        <v>0.23538036323706479</v>
      </c>
      <c r="O15" s="11"/>
      <c r="P15" s="2">
        <f>--29799.71</f>
        <v>29799.71</v>
      </c>
      <c r="Q15" s="2"/>
      <c r="R15" s="19"/>
      <c r="S15" s="2"/>
      <c r="T15" s="2">
        <f>--37517.24</f>
        <v>37517.24</v>
      </c>
      <c r="U15" s="2"/>
      <c r="V15" s="19"/>
      <c r="W15" s="2"/>
      <c r="X15" s="2">
        <f t="shared" si="2"/>
        <v>-7717.5299999999988</v>
      </c>
      <c r="Y15" s="2"/>
      <c r="Z15" s="19">
        <f t="shared" si="3"/>
        <v>-0.2057062299891996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156279.79</v>
      </c>
      <c r="E17" s="4"/>
      <c r="F17" s="12">
        <f t="shared" ref="F17:F19" si="4">IF(D$12=0,0,D17/D$12)</f>
        <v>0.25259775350622093</v>
      </c>
      <c r="G17" s="4"/>
      <c r="H17" s="4">
        <f>SUM(OSRRefH16x_0)</f>
        <v>157640.16999999998</v>
      </c>
      <c r="I17" s="4"/>
      <c r="J17" s="12">
        <f t="shared" ref="J17:J19" si="5">IF(H$12=0,0,H17/H$12)</f>
        <v>0.25786109912373445</v>
      </c>
      <c r="K17" s="4"/>
      <c r="L17" s="4">
        <f t="shared" ref="L17:L19" si="6">+D17-H17</f>
        <v>-1360.3799999999756</v>
      </c>
      <c r="M17" s="4"/>
      <c r="N17" s="12">
        <f t="shared" ref="N17:N19" si="7">IF(H17=0,0,L17/H17)</f>
        <v>-8.6296532159282485E-3</v>
      </c>
      <c r="O17" s="10"/>
      <c r="P17" s="4">
        <f>SUM(OSRRefP16x_0)</f>
        <v>408825.21</v>
      </c>
      <c r="Q17" s="4"/>
      <c r="R17" s="12">
        <f t="shared" ref="R17:R19" si="8">IF(P$12=0,0,P17/P$12)</f>
        <v>0.26187384535280128</v>
      </c>
      <c r="S17" s="4"/>
      <c r="T17" s="4">
        <f>SUM(OSRRefT16x_0)</f>
        <v>423047.61</v>
      </c>
      <c r="U17" s="4"/>
      <c r="V17" s="12">
        <f t="shared" ref="V17:V19" si="9">IF(T$12=0,0,T17/T$12)</f>
        <v>0.27086595377435252</v>
      </c>
      <c r="W17" s="4"/>
      <c r="X17" s="4">
        <f t="shared" ref="X17:X19" si="10">+P17-T17</f>
        <v>-14222.399999999965</v>
      </c>
      <c r="Y17" s="4"/>
      <c r="Z17" s="12">
        <f t="shared" ref="Z17:Z19" si="11">IF(T17=0,0,X17/T17)</f>
        <v>-3.3618911119719992E-2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160725.79</v>
      </c>
      <c r="E18" s="2"/>
      <c r="F18" s="19">
        <f t="shared" si="4"/>
        <v>0.25978390094146292</v>
      </c>
      <c r="G18" s="2"/>
      <c r="H18" s="2">
        <v>162474.41999999998</v>
      </c>
      <c r="I18" s="2"/>
      <c r="J18" s="19">
        <f t="shared" si="5"/>
        <v>0.26576876008628553</v>
      </c>
      <c r="K18" s="2"/>
      <c r="L18" s="2">
        <f t="shared" si="6"/>
        <v>-1748.6299999999756</v>
      </c>
      <c r="M18" s="2"/>
      <c r="N18" s="19">
        <f t="shared" si="7"/>
        <v>-1.0762494182160956E-2</v>
      </c>
      <c r="O18" s="11"/>
      <c r="P18" s="2">
        <v>420669.96</v>
      </c>
      <c r="Q18" s="2"/>
      <c r="R18" s="19">
        <f t="shared" si="8"/>
        <v>0.26946102479739226</v>
      </c>
      <c r="S18" s="2"/>
      <c r="T18" s="2">
        <v>438211.36</v>
      </c>
      <c r="U18" s="2"/>
      <c r="V18" s="19">
        <f t="shared" si="9"/>
        <v>0.28057489316901274</v>
      </c>
      <c r="W18" s="2"/>
      <c r="X18" s="2">
        <f t="shared" si="10"/>
        <v>-17541.399999999965</v>
      </c>
      <c r="Y18" s="2"/>
      <c r="Z18" s="19">
        <f t="shared" si="11"/>
        <v>-4.0029541908726339E-2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-4446</v>
      </c>
      <c r="E19" s="2"/>
      <c r="F19" s="19">
        <f t="shared" si="4"/>
        <v>-7.1861474352419991E-3</v>
      </c>
      <c r="G19" s="2"/>
      <c r="H19" s="2">
        <v>-4834.25</v>
      </c>
      <c r="I19" s="2"/>
      <c r="J19" s="19">
        <f t="shared" si="5"/>
        <v>-7.9076609625510635E-3</v>
      </c>
      <c r="K19" s="2"/>
      <c r="L19" s="2">
        <f t="shared" si="6"/>
        <v>388.25</v>
      </c>
      <c r="M19" s="2"/>
      <c r="N19" s="19">
        <f t="shared" si="7"/>
        <v>-8.0312354553446763E-2</v>
      </c>
      <c r="O19" s="11"/>
      <c r="P19" s="2">
        <v>-11844.75</v>
      </c>
      <c r="Q19" s="2"/>
      <c r="R19" s="19">
        <f t="shared" si="8"/>
        <v>-7.587179444590985E-3</v>
      </c>
      <c r="S19" s="2"/>
      <c r="T19" s="2">
        <v>-15163.750000000002</v>
      </c>
      <c r="U19" s="2"/>
      <c r="V19" s="19">
        <f t="shared" si="9"/>
        <v>-9.7089393946601862E-3</v>
      </c>
      <c r="W19" s="2"/>
      <c r="X19" s="2">
        <f t="shared" si="10"/>
        <v>3319.0000000000018</v>
      </c>
      <c r="Y19" s="2"/>
      <c r="Z19" s="19">
        <f t="shared" si="11"/>
        <v>-0.21887725661528326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462410.54999999993</v>
      </c>
      <c r="E21" s="14"/>
      <c r="F21" s="22">
        <f>IF(D$12=0,0,D21/D$12)</f>
        <v>0.74740224649377907</v>
      </c>
      <c r="G21" s="14"/>
      <c r="H21" s="21">
        <f>H12-H17</f>
        <v>453697.37000000005</v>
      </c>
      <c r="I21" s="14"/>
      <c r="J21" s="22">
        <f>IF(H$12=0,0,H21/H$12)</f>
        <v>0.74213890087626555</v>
      </c>
      <c r="K21" s="16"/>
      <c r="L21" s="21">
        <f>+D21-H21</f>
        <v>8713.1799999998766</v>
      </c>
      <c r="M21" s="16"/>
      <c r="N21" s="22">
        <f>IF(H21=0,0,L21/H21)</f>
        <v>1.9204828099399992E-2</v>
      </c>
      <c r="O21" s="29"/>
      <c r="P21" s="21">
        <f>P12-P17</f>
        <v>1152328.06</v>
      </c>
      <c r="Q21" s="14"/>
      <c r="R21" s="22">
        <f>IF(P$12=0,0,P21/P$12)</f>
        <v>0.73812615464719877</v>
      </c>
      <c r="S21" s="14"/>
      <c r="T21" s="21">
        <f>T12-T17</f>
        <v>1138786.2200000002</v>
      </c>
      <c r="U21" s="14"/>
      <c r="V21" s="22">
        <f>IF(T$12=0,0,T21/T$12)</f>
        <v>0.72913404622564759</v>
      </c>
      <c r="W21" s="16"/>
      <c r="X21" s="21">
        <f>+P21-T21</f>
        <v>13541.839999999851</v>
      </c>
      <c r="Y21" s="16"/>
      <c r="Z21" s="22">
        <f>IF(T21=0,0,X21/T21)</f>
        <v>1.1891468093106929E-2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0">
        <f>SUM(OSRRefD22x_0)</f>
        <v>244306.98</v>
      </c>
      <c r="E23" s="20"/>
      <c r="F23" s="35">
        <f t="shared" ref="F23:F33" si="12">IF(D$12=0,0,D23/D$12)</f>
        <v>0.39487763781797536</v>
      </c>
      <c r="G23" s="20"/>
      <c r="H23" s="20">
        <f>SUM(OSRRefH22x_0)</f>
        <v>242664.74999999997</v>
      </c>
      <c r="I23" s="20"/>
      <c r="J23" s="35">
        <f t="shared" ref="J23:J33" si="13">IF(H$12=0,0,H23/H$12)</f>
        <v>0.39694069825975348</v>
      </c>
      <c r="K23" s="4"/>
      <c r="L23" s="20">
        <f t="shared" ref="L23:L33" si="14">+D23-H23</f>
        <v>1642.2300000000396</v>
      </c>
      <c r="M23" s="4"/>
      <c r="N23" s="35">
        <f t="shared" ref="N23:N33" si="15">IF(H23=0,0,L23/H23)</f>
        <v>6.7674847706559764E-3</v>
      </c>
      <c r="O23" s="10"/>
      <c r="P23" s="20">
        <f>SUM(OSRRefP22x_0)</f>
        <v>744593.5399999998</v>
      </c>
      <c r="Q23" s="20"/>
      <c r="R23" s="35">
        <f t="shared" ref="R23:R33" si="16">IF(P$12=0,0,P23/P$12)</f>
        <v>0.47695095306048957</v>
      </c>
      <c r="S23" s="20"/>
      <c r="T23" s="20">
        <f>SUM(OSRRefT22x_0)</f>
        <v>702118.84000000008</v>
      </c>
      <c r="U23" s="20"/>
      <c r="V23" s="35">
        <f t="shared" ref="V23:V33" si="17">IF(T$12=0,0,T23/T$12)</f>
        <v>0.4495477217317031</v>
      </c>
      <c r="W23" s="4"/>
      <c r="X23" s="20">
        <f t="shared" ref="X23:X33" si="18">+P23-T23</f>
        <v>42474.699999999721</v>
      </c>
      <c r="Y23" s="4"/>
      <c r="Z23" s="35">
        <f t="shared" ref="Z23:Z33" si="19">IF(T23=0,0,X23/T23)</f>
        <v>6.0495029587868225E-2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33648.870000000003</v>
      </c>
      <c r="E24" s="1"/>
      <c r="F24" s="5">
        <f t="shared" si="12"/>
        <v>5.4387256151437573E-2</v>
      </c>
      <c r="G24" s="1"/>
      <c r="H24" s="1">
        <f>SUM(OSRRefH22_0x_0)</f>
        <v>42820.339999999989</v>
      </c>
      <c r="I24" s="1"/>
      <c r="J24" s="5">
        <f t="shared" si="13"/>
        <v>7.004369468297332E-2</v>
      </c>
      <c r="K24" s="1"/>
      <c r="L24" s="1">
        <f t="shared" si="14"/>
        <v>-9171.4699999999866</v>
      </c>
      <c r="M24" s="1"/>
      <c r="N24" s="5">
        <f t="shared" si="15"/>
        <v>-0.21418489437496266</v>
      </c>
      <c r="O24" s="13"/>
      <c r="P24" s="1">
        <f>SUM(OSRRefP22_0x_0)</f>
        <v>133852.91</v>
      </c>
      <c r="Q24" s="1"/>
      <c r="R24" s="5">
        <f t="shared" si="16"/>
        <v>8.5739762118296051E-2</v>
      </c>
      <c r="S24" s="1"/>
      <c r="T24" s="1">
        <f>SUM(OSRRefT22_0x_0)</f>
        <v>128123.18000000001</v>
      </c>
      <c r="U24" s="1"/>
      <c r="V24" s="5">
        <f t="shared" si="17"/>
        <v>8.2033810216545253E-2</v>
      </c>
      <c r="W24" s="1"/>
      <c r="X24" s="1">
        <f t="shared" si="18"/>
        <v>5729.7299999999959</v>
      </c>
      <c r="Y24" s="1"/>
      <c r="Z24" s="5">
        <f t="shared" si="19"/>
        <v>4.4720479151391622E-2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7196.61</v>
      </c>
      <c r="E25" s="2"/>
      <c r="F25" s="7">
        <f t="shared" si="12"/>
        <v>1.1632006408892694E-2</v>
      </c>
      <c r="G25" s="2"/>
      <c r="H25" s="6">
        <v>7285.33</v>
      </c>
      <c r="I25" s="2"/>
      <c r="J25" s="7">
        <f t="shared" si="13"/>
        <v>1.1917033591622722E-2</v>
      </c>
      <c r="K25" s="2"/>
      <c r="L25" s="6">
        <f t="shared" si="14"/>
        <v>-88.720000000000255</v>
      </c>
      <c r="M25" s="2"/>
      <c r="N25" s="7">
        <f t="shared" si="15"/>
        <v>-1.2177897226343935E-2</v>
      </c>
      <c r="O25" s="11"/>
      <c r="P25" s="6">
        <v>21819.870000000003</v>
      </c>
      <c r="Q25" s="2"/>
      <c r="R25" s="7">
        <f t="shared" si="16"/>
        <v>1.3976763473070138E-2</v>
      </c>
      <c r="S25" s="2"/>
      <c r="T25" s="6">
        <v>21489.550000000003</v>
      </c>
      <c r="U25" s="2"/>
      <c r="V25" s="7">
        <f t="shared" si="17"/>
        <v>1.3759178209118445E-2</v>
      </c>
      <c r="W25" s="2"/>
      <c r="X25" s="6">
        <f t="shared" si="18"/>
        <v>330.31999999999971</v>
      </c>
      <c r="Y25" s="2"/>
      <c r="Z25" s="7">
        <f t="shared" si="19"/>
        <v>1.5371192044505337E-2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-1101.7</v>
      </c>
      <c r="E26" s="2"/>
      <c r="F26" s="7">
        <f t="shared" si="12"/>
        <v>-1.7806969476846853E-3</v>
      </c>
      <c r="G26" s="2"/>
      <c r="H26" s="6">
        <v>7231.75</v>
      </c>
      <c r="I26" s="2"/>
      <c r="J26" s="7">
        <f t="shared" si="13"/>
        <v>1.1829389701800416E-2</v>
      </c>
      <c r="K26" s="2"/>
      <c r="L26" s="6">
        <f t="shared" si="14"/>
        <v>-8333.4500000000007</v>
      </c>
      <c r="M26" s="2"/>
      <c r="N26" s="7">
        <f t="shared" si="15"/>
        <v>-1.1523421025339649</v>
      </c>
      <c r="O26" s="11"/>
      <c r="P26" s="6">
        <v>8478.31</v>
      </c>
      <c r="Q26" s="2"/>
      <c r="R26" s="7">
        <f t="shared" si="16"/>
        <v>5.4307992449709949E-3</v>
      </c>
      <c r="S26" s="2"/>
      <c r="T26" s="6">
        <v>12847.6</v>
      </c>
      <c r="U26" s="2"/>
      <c r="V26" s="7">
        <f t="shared" si="17"/>
        <v>8.2259711329213548E-3</v>
      </c>
      <c r="W26" s="2"/>
      <c r="X26" s="6">
        <f t="shared" si="18"/>
        <v>-4369.2900000000009</v>
      </c>
      <c r="Y26" s="2"/>
      <c r="Z26" s="7">
        <f t="shared" si="19"/>
        <v>-0.34008608611725155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>
        <v>16686.48</v>
      </c>
      <c r="E27" s="2"/>
      <c r="F27" s="7">
        <f t="shared" si="12"/>
        <v>2.6970649000273707E-2</v>
      </c>
      <c r="G27" s="2"/>
      <c r="H27" s="6">
        <v>17882.009999999998</v>
      </c>
      <c r="I27" s="2"/>
      <c r="J27" s="7">
        <f t="shared" si="13"/>
        <v>2.9250632964564875E-2</v>
      </c>
      <c r="K27" s="2"/>
      <c r="L27" s="6">
        <f t="shared" si="14"/>
        <v>-1195.5299999999988</v>
      </c>
      <c r="M27" s="2"/>
      <c r="N27" s="7">
        <f t="shared" si="15"/>
        <v>-6.6856578203456932E-2</v>
      </c>
      <c r="O27" s="11"/>
      <c r="P27" s="6">
        <v>66745.919999999998</v>
      </c>
      <c r="Q27" s="2"/>
      <c r="R27" s="7">
        <f t="shared" si="16"/>
        <v>4.275423898641291E-2</v>
      </c>
      <c r="S27" s="2"/>
      <c r="T27" s="6">
        <v>58524.77</v>
      </c>
      <c r="U27" s="2"/>
      <c r="V27" s="7">
        <f t="shared" si="17"/>
        <v>3.7471828869272215E-2</v>
      </c>
      <c r="W27" s="2"/>
      <c r="X27" s="6">
        <f t="shared" si="18"/>
        <v>8221.1500000000015</v>
      </c>
      <c r="Y27" s="2"/>
      <c r="Z27" s="7">
        <f t="shared" si="19"/>
        <v>0.1404729997230233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>
        <v>302.36</v>
      </c>
      <c r="E28" s="2"/>
      <c r="F28" s="7">
        <f t="shared" si="12"/>
        <v>4.8870974775523407E-4</v>
      </c>
      <c r="G28" s="2"/>
      <c r="H28" s="6">
        <v>286.58999999999997</v>
      </c>
      <c r="I28" s="2"/>
      <c r="J28" s="7">
        <f t="shared" si="13"/>
        <v>4.6879175782334577E-4</v>
      </c>
      <c r="K28" s="2"/>
      <c r="L28" s="6">
        <f t="shared" si="14"/>
        <v>15.770000000000039</v>
      </c>
      <c r="M28" s="2"/>
      <c r="N28" s="7">
        <f t="shared" si="15"/>
        <v>5.5026344254859E-2</v>
      </c>
      <c r="O28" s="11"/>
      <c r="P28" s="6">
        <v>944.29</v>
      </c>
      <c r="Q28" s="2"/>
      <c r="R28" s="7">
        <f t="shared" si="16"/>
        <v>6.0486693916991243E-4</v>
      </c>
      <c r="S28" s="2"/>
      <c r="T28" s="6">
        <v>954.35</v>
      </c>
      <c r="U28" s="2"/>
      <c r="V28" s="7">
        <f t="shared" si="17"/>
        <v>6.1104451809703721E-4</v>
      </c>
      <c r="W28" s="2"/>
      <c r="X28" s="6">
        <f t="shared" si="18"/>
        <v>-10.060000000000059</v>
      </c>
      <c r="Y28" s="2"/>
      <c r="Z28" s="7">
        <f t="shared" si="19"/>
        <v>-1.0541206056478293E-2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>
        <v>1777.57</v>
      </c>
      <c r="E29" s="2"/>
      <c r="F29" s="7">
        <f t="shared" si="12"/>
        <v>2.8731174306034905E-3</v>
      </c>
      <c r="G29" s="2"/>
      <c r="H29" s="6">
        <v>1830.9</v>
      </c>
      <c r="I29" s="2"/>
      <c r="J29" s="7">
        <f t="shared" si="13"/>
        <v>2.9949085083176797E-3</v>
      </c>
      <c r="K29" s="2"/>
      <c r="L29" s="6">
        <f t="shared" si="14"/>
        <v>-53.330000000000155</v>
      </c>
      <c r="M29" s="2"/>
      <c r="N29" s="7">
        <f t="shared" si="15"/>
        <v>-2.9127751379103256E-2</v>
      </c>
      <c r="O29" s="11"/>
      <c r="P29" s="6">
        <v>5427.55</v>
      </c>
      <c r="Q29" s="2"/>
      <c r="R29" s="7">
        <f t="shared" si="16"/>
        <v>3.4766285311627347E-3</v>
      </c>
      <c r="S29" s="2"/>
      <c r="T29" s="6">
        <v>5089.28</v>
      </c>
      <c r="U29" s="2"/>
      <c r="V29" s="7">
        <f t="shared" si="17"/>
        <v>3.2585284697028232E-3</v>
      </c>
      <c r="W29" s="2"/>
      <c r="X29" s="6">
        <f t="shared" si="18"/>
        <v>338.27000000000044</v>
      </c>
      <c r="Y29" s="2"/>
      <c r="Z29" s="7">
        <f t="shared" si="19"/>
        <v>6.6467162349094652E-2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6">
        <v>700.37</v>
      </c>
      <c r="E30" s="2"/>
      <c r="F30" s="7">
        <f t="shared" si="12"/>
        <v>1.1320202607333421E-3</v>
      </c>
      <c r="G30" s="2"/>
      <c r="H30" s="6">
        <v>685.45</v>
      </c>
      <c r="I30" s="2"/>
      <c r="J30" s="7">
        <f t="shared" si="13"/>
        <v>1.1212300163997782E-3</v>
      </c>
      <c r="K30" s="2"/>
      <c r="L30" s="6">
        <f t="shared" si="14"/>
        <v>14.919999999999959</v>
      </c>
      <c r="M30" s="2"/>
      <c r="N30" s="7">
        <f t="shared" si="15"/>
        <v>2.1766722590998554E-2</v>
      </c>
      <c r="O30" s="11"/>
      <c r="P30" s="6">
        <v>2994.09</v>
      </c>
      <c r="Q30" s="2"/>
      <c r="R30" s="7">
        <f t="shared" si="16"/>
        <v>1.9178706265016504E-3</v>
      </c>
      <c r="S30" s="2"/>
      <c r="T30" s="6">
        <v>2996.2</v>
      </c>
      <c r="U30" s="2"/>
      <c r="V30" s="7">
        <f t="shared" si="17"/>
        <v>1.9183859015270528E-3</v>
      </c>
      <c r="W30" s="2"/>
      <c r="X30" s="6">
        <f t="shared" si="18"/>
        <v>-2.1099999999996726</v>
      </c>
      <c r="Y30" s="2"/>
      <c r="Z30" s="7">
        <f t="shared" si="19"/>
        <v>-7.0422535211256681E-4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>
        <v>3956.8</v>
      </c>
      <c r="E31" s="2"/>
      <c r="F31" s="7">
        <f t="shared" si="12"/>
        <v>6.3954449329207252E-3</v>
      </c>
      <c r="G31" s="2"/>
      <c r="H31" s="6">
        <v>3823.46</v>
      </c>
      <c r="I31" s="2"/>
      <c r="J31" s="7">
        <f t="shared" si="13"/>
        <v>6.2542535830533161E-3</v>
      </c>
      <c r="K31" s="2"/>
      <c r="L31" s="6">
        <f t="shared" si="14"/>
        <v>133.34000000000015</v>
      </c>
      <c r="M31" s="2"/>
      <c r="N31" s="7">
        <f t="shared" si="15"/>
        <v>3.4874171561883778E-2</v>
      </c>
      <c r="O31" s="11"/>
      <c r="P31" s="6">
        <v>12687.92</v>
      </c>
      <c r="Q31" s="2"/>
      <c r="R31" s="7">
        <f t="shared" si="16"/>
        <v>8.1272737557664659E-3</v>
      </c>
      <c r="S31" s="2"/>
      <c r="T31" s="6">
        <v>12075.79</v>
      </c>
      <c r="U31" s="2"/>
      <c r="V31" s="7">
        <f t="shared" si="17"/>
        <v>7.7318020445235206E-3</v>
      </c>
      <c r="W31" s="2"/>
      <c r="X31" s="6">
        <f t="shared" si="18"/>
        <v>612.1299999999992</v>
      </c>
      <c r="Y31" s="2"/>
      <c r="Z31" s="7">
        <f t="shared" si="19"/>
        <v>5.0690679450371291E-2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>
        <v>2455.56</v>
      </c>
      <c r="E32" s="2"/>
      <c r="F32" s="7">
        <f t="shared" si="12"/>
        <v>3.9689645065413498E-3</v>
      </c>
      <c r="G32" s="2"/>
      <c r="H32" s="6">
        <v>2372.92</v>
      </c>
      <c r="I32" s="2"/>
      <c r="J32" s="7">
        <f t="shared" si="13"/>
        <v>3.8815218185357962E-3</v>
      </c>
      <c r="K32" s="2"/>
      <c r="L32" s="6">
        <f t="shared" si="14"/>
        <v>82.639999999999873</v>
      </c>
      <c r="M32" s="2"/>
      <c r="N32" s="7">
        <f t="shared" si="15"/>
        <v>3.4826289971848973E-2</v>
      </c>
      <c r="O32" s="11"/>
      <c r="P32" s="6">
        <v>9458.93</v>
      </c>
      <c r="Q32" s="2"/>
      <c r="R32" s="7">
        <f t="shared" si="16"/>
        <v>6.0589374418054415E-3</v>
      </c>
      <c r="S32" s="2"/>
      <c r="T32" s="6">
        <v>8886.24</v>
      </c>
      <c r="U32" s="2"/>
      <c r="V32" s="7">
        <f t="shared" si="17"/>
        <v>5.6896193623876103E-3</v>
      </c>
      <c r="W32" s="2"/>
      <c r="X32" s="6">
        <f t="shared" si="18"/>
        <v>572.69000000000051</v>
      </c>
      <c r="Y32" s="2"/>
      <c r="Z32" s="7">
        <f t="shared" si="19"/>
        <v>6.4446830155386367E-2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>
        <v>1674.82</v>
      </c>
      <c r="E33" s="2"/>
      <c r="F33" s="7">
        <f t="shared" si="12"/>
        <v>2.7070408114017101E-3</v>
      </c>
      <c r="G33" s="2"/>
      <c r="H33" s="6">
        <v>1421.93</v>
      </c>
      <c r="I33" s="2"/>
      <c r="J33" s="7">
        <f t="shared" si="13"/>
        <v>2.3259327408554037E-3</v>
      </c>
      <c r="K33" s="2"/>
      <c r="L33" s="6">
        <f t="shared" si="14"/>
        <v>252.88999999999987</v>
      </c>
      <c r="M33" s="2"/>
      <c r="N33" s="7">
        <f t="shared" si="15"/>
        <v>0.17784982383099018</v>
      </c>
      <c r="O33" s="11"/>
      <c r="P33" s="6">
        <v>5296.03</v>
      </c>
      <c r="Q33" s="2"/>
      <c r="R33" s="7">
        <f t="shared" si="16"/>
        <v>3.3923831194357999E-3</v>
      </c>
      <c r="S33" s="2"/>
      <c r="T33" s="6">
        <v>5259.4</v>
      </c>
      <c r="U33" s="2"/>
      <c r="V33" s="7">
        <f t="shared" si="17"/>
        <v>3.3674517089951877E-3</v>
      </c>
      <c r="W33" s="2"/>
      <c r="X33" s="6">
        <f t="shared" si="18"/>
        <v>36.630000000000109</v>
      </c>
      <c r="Y33" s="2"/>
      <c r="Z33" s="7">
        <f t="shared" si="19"/>
        <v>6.9646727763623441E-3</v>
      </c>
    </row>
    <row r="34" spans="1:26" s="27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131723.5</v>
      </c>
      <c r="E34" s="1"/>
      <c r="F34" s="5">
        <f t="shared" ref="F34:F40" si="20">IF(D$12=0,0,D34/D$12)</f>
        <v>0.21290699318175876</v>
      </c>
      <c r="G34" s="1"/>
      <c r="H34" s="1">
        <f>SUM(OSRRefH22_1x_0)</f>
        <v>128435.45</v>
      </c>
      <c r="I34" s="1"/>
      <c r="J34" s="5">
        <f t="shared" ref="J34:J40" si="21">IF(H$12=0,0,H34/H$12)</f>
        <v>0.21008925772822651</v>
      </c>
      <c r="K34" s="1"/>
      <c r="L34" s="1">
        <f t="shared" ref="L34:L40" si="22">+D34-H34</f>
        <v>3288.0500000000029</v>
      </c>
      <c r="M34" s="1"/>
      <c r="N34" s="5">
        <f t="shared" ref="N34:N40" si="23">IF(H34=0,0,L34/H34)</f>
        <v>2.5600797910545748E-2</v>
      </c>
      <c r="O34" s="13"/>
      <c r="P34" s="1">
        <f>SUM(OSRRefP22_1x_0)</f>
        <v>394856.61</v>
      </c>
      <c r="Q34" s="1"/>
      <c r="R34" s="5">
        <f t="shared" ref="R34:R40" si="24">IF(P$12=0,0,P34/P$12)</f>
        <v>0.25292622933813536</v>
      </c>
      <c r="S34" s="1"/>
      <c r="T34" s="1">
        <f>SUM(OSRRefT22_1x_0)</f>
        <v>373670.45000000007</v>
      </c>
      <c r="U34" s="1"/>
      <c r="V34" s="5">
        <f t="shared" ref="V34:V40" si="25">IF(T$12=0,0,T34/T$12)</f>
        <v>0.23925109241615033</v>
      </c>
      <c r="W34" s="1"/>
      <c r="X34" s="1">
        <f t="shared" ref="X34:X40" si="26">+P34-T34</f>
        <v>21186.159999999916</v>
      </c>
      <c r="Y34" s="1"/>
      <c r="Z34" s="5">
        <f t="shared" ref="Z34:Z40" si="27">IF(T34=0,0,X34/T34)</f>
        <v>5.6697445570020086E-2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16194.98</v>
      </c>
      <c r="E35" s="2"/>
      <c r="F35" s="7">
        <f t="shared" si="20"/>
        <v>2.6176228967790253E-2</v>
      </c>
      <c r="G35" s="2"/>
      <c r="H35" s="6">
        <v>16964.580000000002</v>
      </c>
      <c r="I35" s="2"/>
      <c r="J35" s="7">
        <f t="shared" si="21"/>
        <v>2.7749939910446202E-2</v>
      </c>
      <c r="K35" s="2"/>
      <c r="L35" s="6">
        <f t="shared" si="22"/>
        <v>-769.60000000000218</v>
      </c>
      <c r="M35" s="2"/>
      <c r="N35" s="7">
        <f t="shared" si="23"/>
        <v>-4.5365107771604254E-2</v>
      </c>
      <c r="O35" s="11"/>
      <c r="P35" s="6">
        <v>62629.65</v>
      </c>
      <c r="Q35" s="2"/>
      <c r="R35" s="7">
        <f t="shared" si="24"/>
        <v>4.0117553608301382E-2</v>
      </c>
      <c r="S35" s="2"/>
      <c r="T35" s="6">
        <v>57575.44</v>
      </c>
      <c r="U35" s="2"/>
      <c r="V35" s="7">
        <f t="shared" si="25"/>
        <v>3.6863998521532854E-2</v>
      </c>
      <c r="W35" s="2"/>
      <c r="X35" s="6">
        <f t="shared" si="26"/>
        <v>5054.2099999999991</v>
      </c>
      <c r="Y35" s="2"/>
      <c r="Z35" s="7">
        <f t="shared" si="27"/>
        <v>8.7784131567209892E-2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30893.91</v>
      </c>
      <c r="E36" s="2"/>
      <c r="F36" s="7">
        <f t="shared" si="20"/>
        <v>4.9934366196827965E-2</v>
      </c>
      <c r="G36" s="2"/>
      <c r="H36" s="6">
        <v>30768.83</v>
      </c>
      <c r="I36" s="2"/>
      <c r="J36" s="7">
        <f t="shared" si="21"/>
        <v>5.0330346145600675E-2</v>
      </c>
      <c r="K36" s="2"/>
      <c r="L36" s="6">
        <f t="shared" si="22"/>
        <v>125.07999999999811</v>
      </c>
      <c r="M36" s="2"/>
      <c r="N36" s="7">
        <f t="shared" si="23"/>
        <v>4.0651529486170944E-3</v>
      </c>
      <c r="O36" s="11"/>
      <c r="P36" s="6">
        <v>84906.18</v>
      </c>
      <c r="Q36" s="2"/>
      <c r="R36" s="7">
        <f t="shared" si="24"/>
        <v>5.4386831601742722E-2</v>
      </c>
      <c r="S36" s="2"/>
      <c r="T36" s="6">
        <v>87255.44</v>
      </c>
      <c r="U36" s="2"/>
      <c r="V36" s="7">
        <f t="shared" si="25"/>
        <v>5.5867300556551522E-2</v>
      </c>
      <c r="W36" s="2"/>
      <c r="X36" s="6">
        <f t="shared" si="26"/>
        <v>-2349.2600000000093</v>
      </c>
      <c r="Y36" s="2"/>
      <c r="Z36" s="7">
        <f t="shared" si="27"/>
        <v>-2.6923937349923502E-2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29286.91</v>
      </c>
      <c r="E37" s="2"/>
      <c r="F37" s="7">
        <f t="shared" si="20"/>
        <v>4.7336944035686737E-2</v>
      </c>
      <c r="G37" s="2"/>
      <c r="H37" s="6">
        <v>30057.83</v>
      </c>
      <c r="I37" s="2"/>
      <c r="J37" s="7">
        <f t="shared" si="21"/>
        <v>4.9167322523658533E-2</v>
      </c>
      <c r="K37" s="2"/>
      <c r="L37" s="6">
        <f t="shared" si="22"/>
        <v>-770.92000000000189</v>
      </c>
      <c r="M37" s="2"/>
      <c r="N37" s="7">
        <f t="shared" si="23"/>
        <v>-2.5647892745417813E-2</v>
      </c>
      <c r="O37" s="11"/>
      <c r="P37" s="6">
        <v>82642.87</v>
      </c>
      <c r="Q37" s="2"/>
      <c r="R37" s="7">
        <f t="shared" si="24"/>
        <v>5.2937063636294975E-2</v>
      </c>
      <c r="S37" s="2"/>
      <c r="T37" s="6">
        <v>82471.520000000004</v>
      </c>
      <c r="U37" s="2"/>
      <c r="V37" s="7">
        <f t="shared" si="25"/>
        <v>5.2804285843904404E-2</v>
      </c>
      <c r="W37" s="2"/>
      <c r="X37" s="6">
        <f t="shared" si="26"/>
        <v>171.34999999999127</v>
      </c>
      <c r="Y37" s="2"/>
      <c r="Z37" s="7">
        <f t="shared" si="27"/>
        <v>2.0776869396852546E-3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>
        <v>1281</v>
      </c>
      <c r="E38" s="2"/>
      <c r="F38" s="7">
        <f t="shared" si="20"/>
        <v>2.070502668588619E-3</v>
      </c>
      <c r="G38" s="2"/>
      <c r="H38" s="6">
        <v>1527.51</v>
      </c>
      <c r="I38" s="2"/>
      <c r="J38" s="7">
        <f t="shared" si="21"/>
        <v>2.4986360235623676E-3</v>
      </c>
      <c r="K38" s="2"/>
      <c r="L38" s="6">
        <f t="shared" si="22"/>
        <v>-246.51</v>
      </c>
      <c r="M38" s="2"/>
      <c r="N38" s="7">
        <f t="shared" si="23"/>
        <v>-0.16138028556277864</v>
      </c>
      <c r="O38" s="11"/>
      <c r="P38" s="6">
        <v>7209</v>
      </c>
      <c r="Q38" s="2"/>
      <c r="R38" s="7">
        <f t="shared" si="24"/>
        <v>4.6177400634083805E-3</v>
      </c>
      <c r="S38" s="2"/>
      <c r="T38" s="6">
        <v>5938.57</v>
      </c>
      <c r="U38" s="2"/>
      <c r="V38" s="7">
        <f t="shared" si="25"/>
        <v>3.8023059085613479E-3</v>
      </c>
      <c r="W38" s="2"/>
      <c r="X38" s="6">
        <f t="shared" si="26"/>
        <v>1270.4300000000003</v>
      </c>
      <c r="Y38" s="2"/>
      <c r="Z38" s="7">
        <f t="shared" si="27"/>
        <v>0.21392860570810823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35433.699999999997</v>
      </c>
      <c r="E39" s="2"/>
      <c r="F39" s="7">
        <f t="shared" si="20"/>
        <v>5.7272108046813854E-2</v>
      </c>
      <c r="G39" s="2"/>
      <c r="H39" s="6">
        <v>29374.449999999997</v>
      </c>
      <c r="I39" s="2"/>
      <c r="J39" s="7">
        <f t="shared" si="21"/>
        <v>4.8049478525398578E-2</v>
      </c>
      <c r="K39" s="2"/>
      <c r="L39" s="6">
        <f t="shared" si="22"/>
        <v>6059.25</v>
      </c>
      <c r="M39" s="2"/>
      <c r="N39" s="7">
        <f t="shared" si="23"/>
        <v>0.20627620261826182</v>
      </c>
      <c r="O39" s="11"/>
      <c r="P39" s="6">
        <v>116209.91</v>
      </c>
      <c r="Q39" s="2"/>
      <c r="R39" s="7">
        <f t="shared" si="24"/>
        <v>7.4438501480383154E-2</v>
      </c>
      <c r="S39" s="2"/>
      <c r="T39" s="6">
        <v>104687.73000000001</v>
      </c>
      <c r="U39" s="2"/>
      <c r="V39" s="7">
        <f t="shared" si="25"/>
        <v>6.7028724816391008E-2</v>
      </c>
      <c r="W39" s="2"/>
      <c r="X39" s="6">
        <f t="shared" si="26"/>
        <v>11522.179999999993</v>
      </c>
      <c r="Y39" s="2"/>
      <c r="Z39" s="7">
        <f t="shared" si="27"/>
        <v>0.1100623731166966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>
        <v>18633</v>
      </c>
      <c r="E40" s="2"/>
      <c r="F40" s="7">
        <f t="shared" si="20"/>
        <v>3.0116843266051321E-2</v>
      </c>
      <c r="G40" s="2"/>
      <c r="H40" s="6">
        <v>19742.25</v>
      </c>
      <c r="I40" s="2"/>
      <c r="J40" s="7">
        <f t="shared" si="21"/>
        <v>3.2293534599560171E-2</v>
      </c>
      <c r="K40" s="2"/>
      <c r="L40" s="6">
        <f t="shared" si="22"/>
        <v>-1109.25</v>
      </c>
      <c r="M40" s="2"/>
      <c r="N40" s="7">
        <f t="shared" si="23"/>
        <v>-5.6186604870265548E-2</v>
      </c>
      <c r="O40" s="11"/>
      <c r="P40" s="6">
        <v>41259</v>
      </c>
      <c r="Q40" s="2"/>
      <c r="R40" s="7">
        <f t="shared" si="24"/>
        <v>2.6428538948004766E-2</v>
      </c>
      <c r="S40" s="2"/>
      <c r="T40" s="6">
        <v>35741.75</v>
      </c>
      <c r="U40" s="2"/>
      <c r="V40" s="7">
        <f t="shared" si="25"/>
        <v>2.288447676920918E-2</v>
      </c>
      <c r="W40" s="2"/>
      <c r="X40" s="6">
        <f t="shared" si="26"/>
        <v>5517.25</v>
      </c>
      <c r="Y40" s="2"/>
      <c r="Z40" s="7">
        <f t="shared" si="27"/>
        <v>0.15436429385802319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201.6</v>
      </c>
      <c r="E41" s="1"/>
      <c r="F41" s="5">
        <f t="shared" ref="F41:F62" si="28">IF(D$12=0,0,D41/D$12)</f>
        <v>3.2584960030247121E-4</v>
      </c>
      <c r="G41" s="1"/>
      <c r="H41" s="1">
        <f>SUM(OSRRefH22_2x_0)</f>
        <v>128.44999999999999</v>
      </c>
      <c r="I41" s="1"/>
      <c r="J41" s="5">
        <f t="shared" ref="J41:J62" si="29">IF(H$12=0,0,H41/H$12)</f>
        <v>2.1011305800065866E-4</v>
      </c>
      <c r="K41" s="1"/>
      <c r="L41" s="1">
        <f t="shared" ref="L41:L62" si="30">+D41-H41</f>
        <v>73.150000000000006</v>
      </c>
      <c r="M41" s="1"/>
      <c r="N41" s="5">
        <f t="shared" ref="N41:N62" si="31">IF(H41=0,0,L41/H41)</f>
        <v>0.56948228882833796</v>
      </c>
      <c r="O41" s="13"/>
      <c r="P41" s="1">
        <f>SUM(OSRRefP22_2x_0)</f>
        <v>2362.48</v>
      </c>
      <c r="Q41" s="1"/>
      <c r="R41" s="5">
        <f t="shared" ref="R41:R62" si="32">IF(P$12=0,0,P41/P$12)</f>
        <v>1.5132915168540755E-3</v>
      </c>
      <c r="S41" s="1"/>
      <c r="T41" s="1">
        <f>SUM(OSRRefT22_2x_0)</f>
        <v>2731.19</v>
      </c>
      <c r="U41" s="1"/>
      <c r="V41" s="5">
        <f t="shared" ref="V41:V62" si="33">IF(T$12=0,0,T41/T$12)</f>
        <v>1.7487071591988758E-3</v>
      </c>
      <c r="W41" s="1"/>
      <c r="X41" s="1">
        <f t="shared" ref="X41:X62" si="34">+P41-T41</f>
        <v>-368.71000000000004</v>
      </c>
      <c r="Y41" s="1"/>
      <c r="Z41" s="5">
        <f t="shared" ref="Z41:Z62" si="35">IF(T41=0,0,X41/T41)</f>
        <v>-0.13499976200850181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>
        <v>201.6</v>
      </c>
      <c r="E42" s="2"/>
      <c r="F42" s="7">
        <f t="shared" si="28"/>
        <v>3.2584960030247121E-4</v>
      </c>
      <c r="G42" s="2"/>
      <c r="H42" s="6">
        <v>128.44999999999999</v>
      </c>
      <c r="I42" s="2"/>
      <c r="J42" s="7">
        <f t="shared" si="29"/>
        <v>2.1011305800065866E-4</v>
      </c>
      <c r="K42" s="2"/>
      <c r="L42" s="6">
        <f t="shared" si="30"/>
        <v>73.150000000000006</v>
      </c>
      <c r="M42" s="2"/>
      <c r="N42" s="7">
        <f t="shared" si="31"/>
        <v>0.56948228882833796</v>
      </c>
      <c r="O42" s="11"/>
      <c r="P42" s="6">
        <v>2362.48</v>
      </c>
      <c r="Q42" s="2"/>
      <c r="R42" s="7">
        <f t="shared" si="32"/>
        <v>1.5132915168540755E-3</v>
      </c>
      <c r="S42" s="2"/>
      <c r="T42" s="6">
        <v>2731.19</v>
      </c>
      <c r="U42" s="2"/>
      <c r="V42" s="7">
        <f t="shared" si="33"/>
        <v>1.7487071591988758E-3</v>
      </c>
      <c r="W42" s="2"/>
      <c r="X42" s="6">
        <f t="shared" si="34"/>
        <v>-368.71000000000004</v>
      </c>
      <c r="Y42" s="2"/>
      <c r="Z42" s="7">
        <f t="shared" si="35"/>
        <v>-0.13499976200850181</v>
      </c>
    </row>
    <row r="43" spans="1:26" s="27" customFormat="1" outlineLevel="1" collapsed="1" x14ac:dyDescent="0.25">
      <c r="A43" s="25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13.29</v>
      </c>
      <c r="E43" s="1"/>
      <c r="F43" s="5">
        <f t="shared" si="28"/>
        <v>2.1480859067558739E-5</v>
      </c>
      <c r="G43" s="1"/>
      <c r="H43" s="1">
        <f>SUM(OSRRefH22_3x_0)</f>
        <v>2.08</v>
      </c>
      <c r="I43" s="1"/>
      <c r="J43" s="5">
        <f t="shared" si="29"/>
        <v>3.4023757153862986E-6</v>
      </c>
      <c r="K43" s="1"/>
      <c r="L43" s="1">
        <f t="shared" si="30"/>
        <v>11.209999999999999</v>
      </c>
      <c r="M43" s="1"/>
      <c r="N43" s="5">
        <f t="shared" si="31"/>
        <v>5.3894230769230766</v>
      </c>
      <c r="O43" s="13"/>
      <c r="P43" s="1">
        <f>SUM(OSRRefP22_3x_0)</f>
        <v>16.239999999999998</v>
      </c>
      <c r="Q43" s="1"/>
      <c r="R43" s="5">
        <f t="shared" si="32"/>
        <v>1.0402566046574016E-5</v>
      </c>
      <c r="S43" s="1"/>
      <c r="T43" s="1">
        <f>SUM(OSRRefT22_3x_0)</f>
        <v>-18.87</v>
      </c>
      <c r="U43" s="1"/>
      <c r="V43" s="5">
        <f t="shared" si="33"/>
        <v>-1.2081951125363958E-5</v>
      </c>
      <c r="W43" s="1"/>
      <c r="X43" s="1">
        <f t="shared" si="34"/>
        <v>35.11</v>
      </c>
      <c r="Y43" s="1"/>
      <c r="Z43" s="5">
        <f t="shared" si="35"/>
        <v>-1.8606253312135663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>
        <v>13.29</v>
      </c>
      <c r="E44" s="2"/>
      <c r="F44" s="7">
        <f t="shared" si="28"/>
        <v>2.1480859067558739E-5</v>
      </c>
      <c r="G44" s="2"/>
      <c r="H44" s="6">
        <v>2.08</v>
      </c>
      <c r="I44" s="2"/>
      <c r="J44" s="7">
        <f t="shared" si="29"/>
        <v>3.4023757153862986E-6</v>
      </c>
      <c r="K44" s="2"/>
      <c r="L44" s="6">
        <f t="shared" si="30"/>
        <v>11.209999999999999</v>
      </c>
      <c r="M44" s="2"/>
      <c r="N44" s="7">
        <f t="shared" si="31"/>
        <v>5.3894230769230766</v>
      </c>
      <c r="O44" s="11"/>
      <c r="P44" s="6">
        <v>16.239999999999998</v>
      </c>
      <c r="Q44" s="2"/>
      <c r="R44" s="7">
        <f t="shared" si="32"/>
        <v>1.0402566046574016E-5</v>
      </c>
      <c r="S44" s="2"/>
      <c r="T44" s="6">
        <v>-18.87</v>
      </c>
      <c r="U44" s="2"/>
      <c r="V44" s="7">
        <f t="shared" si="33"/>
        <v>-1.2081951125363958E-5</v>
      </c>
      <c r="W44" s="2"/>
      <c r="X44" s="6">
        <f t="shared" si="34"/>
        <v>35.11</v>
      </c>
      <c r="Y44" s="2"/>
      <c r="Z44" s="7">
        <f t="shared" si="35"/>
        <v>-1.8606253312135663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185.95</v>
      </c>
      <c r="E45" s="1"/>
      <c r="F45" s="5">
        <f t="shared" si="28"/>
        <v>3.0055423202502243E-4</v>
      </c>
      <c r="G45" s="1"/>
      <c r="H45" s="1">
        <f>SUM(OSRRefH22_4x_0)</f>
        <v>150.01</v>
      </c>
      <c r="I45" s="1"/>
      <c r="J45" s="5">
        <f t="shared" si="29"/>
        <v>2.4537999089668203E-4</v>
      </c>
      <c r="K45" s="1"/>
      <c r="L45" s="1">
        <f t="shared" si="30"/>
        <v>35.94</v>
      </c>
      <c r="M45" s="1"/>
      <c r="N45" s="5">
        <f t="shared" si="31"/>
        <v>0.23958402773148457</v>
      </c>
      <c r="O45" s="13"/>
      <c r="P45" s="1">
        <f>SUM(OSRRefP22_4x_0)</f>
        <v>710.33</v>
      </c>
      <c r="Q45" s="1"/>
      <c r="R45" s="5">
        <f t="shared" si="32"/>
        <v>4.5500337068121445E-4</v>
      </c>
      <c r="S45" s="1"/>
      <c r="T45" s="1">
        <f>SUM(OSRRefT22_4x_0)</f>
        <v>767.89</v>
      </c>
      <c r="U45" s="1"/>
      <c r="V45" s="5">
        <f t="shared" si="33"/>
        <v>4.9165921831773865E-4</v>
      </c>
      <c r="W45" s="1"/>
      <c r="X45" s="1">
        <f t="shared" si="34"/>
        <v>-57.559999999999945</v>
      </c>
      <c r="Y45" s="1"/>
      <c r="Z45" s="5">
        <f t="shared" si="35"/>
        <v>-7.4958652932060513E-2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185.95</v>
      </c>
      <c r="E46" s="2"/>
      <c r="F46" s="7">
        <f t="shared" si="28"/>
        <v>3.0055423202502243E-4</v>
      </c>
      <c r="G46" s="2"/>
      <c r="H46" s="6">
        <v>150.01</v>
      </c>
      <c r="I46" s="2"/>
      <c r="J46" s="7">
        <f t="shared" si="29"/>
        <v>2.4537999089668203E-4</v>
      </c>
      <c r="K46" s="2"/>
      <c r="L46" s="6">
        <f t="shared" si="30"/>
        <v>35.94</v>
      </c>
      <c r="M46" s="2"/>
      <c r="N46" s="7">
        <f t="shared" si="31"/>
        <v>0.23958402773148457</v>
      </c>
      <c r="O46" s="11"/>
      <c r="P46" s="6">
        <v>710.33</v>
      </c>
      <c r="Q46" s="2"/>
      <c r="R46" s="7">
        <f t="shared" si="32"/>
        <v>4.5500337068121445E-4</v>
      </c>
      <c r="S46" s="2"/>
      <c r="T46" s="6">
        <v>767.89</v>
      </c>
      <c r="U46" s="2"/>
      <c r="V46" s="7">
        <f t="shared" si="33"/>
        <v>4.9165921831773865E-4</v>
      </c>
      <c r="W46" s="2"/>
      <c r="X46" s="6">
        <f t="shared" si="34"/>
        <v>-57.559999999999945</v>
      </c>
      <c r="Y46" s="2"/>
      <c r="Z46" s="7">
        <f t="shared" si="35"/>
        <v>-7.4958652932060513E-2</v>
      </c>
    </row>
    <row r="47" spans="1:26" s="27" customFormat="1" outlineLevel="1" collapsed="1" x14ac:dyDescent="0.25">
      <c r="A47" s="25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5160.45</v>
      </c>
      <c r="E47" s="1"/>
      <c r="F47" s="5">
        <f t="shared" si="28"/>
        <v>8.3409254458377356E-3</v>
      </c>
      <c r="G47" s="1"/>
      <c r="H47" s="1">
        <f>SUM(OSRRefH22_5x_0)</f>
        <v>4610.93</v>
      </c>
      <c r="I47" s="1"/>
      <c r="J47" s="5">
        <f t="shared" si="29"/>
        <v>7.54236358526257E-3</v>
      </c>
      <c r="K47" s="1"/>
      <c r="L47" s="1">
        <f t="shared" si="30"/>
        <v>549.51999999999953</v>
      </c>
      <c r="M47" s="1"/>
      <c r="N47" s="5">
        <f t="shared" si="31"/>
        <v>0.11917769300336363</v>
      </c>
      <c r="O47" s="13"/>
      <c r="P47" s="1">
        <f>SUM(OSRRefP22_5x_0)</f>
        <v>11346.48</v>
      </c>
      <c r="Q47" s="1"/>
      <c r="R47" s="5">
        <f t="shared" si="32"/>
        <v>7.2680115514859086E-3</v>
      </c>
      <c r="S47" s="1"/>
      <c r="T47" s="1">
        <f>SUM(OSRRefT22_5x_0)</f>
        <v>9331.42</v>
      </c>
      <c r="U47" s="1"/>
      <c r="V47" s="5">
        <f t="shared" si="33"/>
        <v>5.9746560874532981E-3</v>
      </c>
      <c r="W47" s="1"/>
      <c r="X47" s="1">
        <f t="shared" si="34"/>
        <v>2015.0599999999995</v>
      </c>
      <c r="Y47" s="1"/>
      <c r="Z47" s="5">
        <f t="shared" si="35"/>
        <v>0.21594355414288494</v>
      </c>
    </row>
    <row r="48" spans="1:26" s="24" customFormat="1" hidden="1" outlineLevel="2" x14ac:dyDescent="0.25">
      <c r="A48" s="26"/>
      <c r="B48" s="11" t="str">
        <f>CONCATENATE("          ", "6399", " - ", "DONATION-ON CAMPUS")</f>
        <v xml:space="preserve">          6399 - DONATION-ON CAMPUS</v>
      </c>
      <c r="C48" s="11"/>
      <c r="D48" s="6">
        <v>5160.45</v>
      </c>
      <c r="E48" s="2"/>
      <c r="F48" s="7">
        <f t="shared" si="28"/>
        <v>8.3409254458377356E-3</v>
      </c>
      <c r="G48" s="2"/>
      <c r="H48" s="6">
        <v>4610.93</v>
      </c>
      <c r="I48" s="2"/>
      <c r="J48" s="7">
        <f t="shared" si="29"/>
        <v>7.54236358526257E-3</v>
      </c>
      <c r="K48" s="2"/>
      <c r="L48" s="6">
        <f t="shared" si="30"/>
        <v>549.51999999999953</v>
      </c>
      <c r="M48" s="2"/>
      <c r="N48" s="7">
        <f t="shared" si="31"/>
        <v>0.11917769300336363</v>
      </c>
      <c r="O48" s="11"/>
      <c r="P48" s="6">
        <v>11346.48</v>
      </c>
      <c r="Q48" s="2"/>
      <c r="R48" s="7">
        <f t="shared" si="32"/>
        <v>7.2680115514859086E-3</v>
      </c>
      <c r="S48" s="2"/>
      <c r="T48" s="6">
        <v>9331.42</v>
      </c>
      <c r="U48" s="2"/>
      <c r="V48" s="7">
        <f t="shared" si="33"/>
        <v>5.9746560874532981E-3</v>
      </c>
      <c r="W48" s="2"/>
      <c r="X48" s="6">
        <f t="shared" si="34"/>
        <v>2015.0599999999995</v>
      </c>
      <c r="Y48" s="2"/>
      <c r="Z48" s="7">
        <f t="shared" si="35"/>
        <v>0.21594355414288494</v>
      </c>
    </row>
    <row r="49" spans="1:26" s="27" customFormat="1" outlineLevel="1" collapsed="1" x14ac:dyDescent="0.25">
      <c r="A49" s="25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34.36</v>
      </c>
      <c r="E49" s="1"/>
      <c r="F49" s="5">
        <f t="shared" si="28"/>
        <v>5.5536667988060073E-5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34.36</v>
      </c>
      <c r="M49" s="1"/>
      <c r="N49" s="5">
        <f t="shared" si="31"/>
        <v>0</v>
      </c>
      <c r="O49" s="13"/>
      <c r="P49" s="1">
        <f>SUM(OSRRefP22_6x_0)</f>
        <v>839.99</v>
      </c>
      <c r="Q49" s="1"/>
      <c r="R49" s="5">
        <f t="shared" si="32"/>
        <v>5.3805735550872596E-4</v>
      </c>
      <c r="S49" s="1"/>
      <c r="T49" s="1">
        <f>SUM(OSRRefT22_6x_0)</f>
        <v>65</v>
      </c>
      <c r="U49" s="1"/>
      <c r="V49" s="5">
        <f t="shared" si="33"/>
        <v>4.1617743675074577E-5</v>
      </c>
      <c r="W49" s="1"/>
      <c r="X49" s="1">
        <f t="shared" si="34"/>
        <v>774.99</v>
      </c>
      <c r="Y49" s="1"/>
      <c r="Z49" s="5">
        <f t="shared" si="35"/>
        <v>11.922923076923077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6">
        <v>34.36</v>
      </c>
      <c r="E50" s="2"/>
      <c r="F50" s="7">
        <f t="shared" si="28"/>
        <v>5.5536667988060073E-5</v>
      </c>
      <c r="G50" s="2"/>
      <c r="H50" s="6"/>
      <c r="I50" s="2"/>
      <c r="J50" s="7">
        <f t="shared" si="29"/>
        <v>0</v>
      </c>
      <c r="K50" s="2"/>
      <c r="L50" s="6">
        <f t="shared" si="30"/>
        <v>34.36</v>
      </c>
      <c r="M50" s="2"/>
      <c r="N50" s="7">
        <f t="shared" si="31"/>
        <v>0</v>
      </c>
      <c r="O50" s="11"/>
      <c r="P50" s="6">
        <v>839.99</v>
      </c>
      <c r="Q50" s="2"/>
      <c r="R50" s="7">
        <f t="shared" si="32"/>
        <v>5.3805735550872596E-4</v>
      </c>
      <c r="S50" s="2"/>
      <c r="T50" s="6">
        <v>65</v>
      </c>
      <c r="U50" s="2"/>
      <c r="V50" s="7">
        <f t="shared" si="33"/>
        <v>4.1617743675074577E-5</v>
      </c>
      <c r="W50" s="2"/>
      <c r="X50" s="6">
        <f t="shared" si="34"/>
        <v>774.99</v>
      </c>
      <c r="Y50" s="2"/>
      <c r="Z50" s="7">
        <f t="shared" si="35"/>
        <v>11.922923076923077</v>
      </c>
    </row>
    <row r="51" spans="1:26" s="27" customFormat="1" outlineLevel="1" collapsed="1" x14ac:dyDescent="0.25">
      <c r="A51" s="25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3509.87</v>
      </c>
      <c r="E51" s="1"/>
      <c r="F51" s="5">
        <f t="shared" si="28"/>
        <v>5.6730641697104889E-3</v>
      </c>
      <c r="G51" s="1"/>
      <c r="H51" s="1">
        <f>SUM(OSRRefH22_7x_0)</f>
        <v>324.56</v>
      </c>
      <c r="I51" s="1"/>
      <c r="J51" s="5">
        <f t="shared" si="29"/>
        <v>5.3090147220470054E-4</v>
      </c>
      <c r="K51" s="1"/>
      <c r="L51" s="1">
        <f t="shared" si="30"/>
        <v>3185.31</v>
      </c>
      <c r="M51" s="1"/>
      <c r="N51" s="5">
        <f t="shared" si="31"/>
        <v>9.8142408183386731</v>
      </c>
      <c r="O51" s="13"/>
      <c r="P51" s="1">
        <f>SUM(OSRRefP22_7x_0)</f>
        <v>4210.2</v>
      </c>
      <c r="Q51" s="1"/>
      <c r="R51" s="5">
        <f t="shared" si="32"/>
        <v>2.6968524365323845E-3</v>
      </c>
      <c r="S51" s="1"/>
      <c r="T51" s="1">
        <f>SUM(OSRRefT22_7x_0)</f>
        <v>1084.32</v>
      </c>
      <c r="U51" s="1"/>
      <c r="V51" s="5">
        <f t="shared" si="33"/>
        <v>6.942607972577978E-4</v>
      </c>
      <c r="W51" s="1"/>
      <c r="X51" s="1">
        <f t="shared" si="34"/>
        <v>3125.88</v>
      </c>
      <c r="Y51" s="1"/>
      <c r="Z51" s="5">
        <f t="shared" si="35"/>
        <v>2.8828021248339977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>
        <v>3509.87</v>
      </c>
      <c r="E52" s="2"/>
      <c r="F52" s="7">
        <f t="shared" si="28"/>
        <v>5.6730641697104889E-3</v>
      </c>
      <c r="G52" s="2"/>
      <c r="H52" s="6">
        <v>324.56</v>
      </c>
      <c r="I52" s="2"/>
      <c r="J52" s="7">
        <f t="shared" si="29"/>
        <v>5.3090147220470054E-4</v>
      </c>
      <c r="K52" s="2"/>
      <c r="L52" s="6">
        <f t="shared" si="30"/>
        <v>3185.31</v>
      </c>
      <c r="M52" s="2"/>
      <c r="N52" s="7">
        <f t="shared" si="31"/>
        <v>9.8142408183386731</v>
      </c>
      <c r="O52" s="11"/>
      <c r="P52" s="6">
        <v>4210.2</v>
      </c>
      <c r="Q52" s="2"/>
      <c r="R52" s="7">
        <f t="shared" si="32"/>
        <v>2.6968524365323845E-3</v>
      </c>
      <c r="S52" s="2"/>
      <c r="T52" s="6">
        <v>1084.32</v>
      </c>
      <c r="U52" s="2"/>
      <c r="V52" s="7">
        <f t="shared" si="33"/>
        <v>6.942607972577978E-4</v>
      </c>
      <c r="W52" s="2"/>
      <c r="X52" s="6">
        <f t="shared" si="34"/>
        <v>3125.88</v>
      </c>
      <c r="Y52" s="2"/>
      <c r="Z52" s="7">
        <f t="shared" si="35"/>
        <v>2.8828021248339977</v>
      </c>
    </row>
    <row r="53" spans="1:26" s="27" customFormat="1" outlineLevel="1" collapsed="1" x14ac:dyDescent="0.25">
      <c r="A53" s="25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SUM(OSRRefP22_8x_0)</f>
        <v>0</v>
      </c>
      <c r="Q53" s="1"/>
      <c r="R53" s="5">
        <f t="shared" si="32"/>
        <v>0</v>
      </c>
      <c r="S53" s="1"/>
      <c r="T53" s="1">
        <f>SUM(OSRRefT22_8x_0)</f>
        <v>3.7</v>
      </c>
      <c r="U53" s="1"/>
      <c r="V53" s="5">
        <f t="shared" si="33"/>
        <v>2.369010024581168E-6</v>
      </c>
      <c r="W53" s="1"/>
      <c r="X53" s="1">
        <f t="shared" si="34"/>
        <v>-3.7</v>
      </c>
      <c r="Y53" s="1"/>
      <c r="Z53" s="5">
        <f t="shared" si="35"/>
        <v>-1</v>
      </c>
    </row>
    <row r="54" spans="1:26" s="24" customFormat="1" hidden="1" outlineLevel="2" x14ac:dyDescent="0.25">
      <c r="A54" s="26"/>
      <c r="B54" s="11" t="str">
        <f>CONCATENATE("          ", "6307", " - ", "POSTAGE")</f>
        <v xml:space="preserve">          6307 - POSTAGE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3.7</v>
      </c>
      <c r="U54" s="2"/>
      <c r="V54" s="7">
        <f t="shared" si="33"/>
        <v>2.369010024581168E-6</v>
      </c>
      <c r="W54" s="2"/>
      <c r="X54" s="6">
        <f t="shared" si="34"/>
        <v>-3.7</v>
      </c>
      <c r="Y54" s="2"/>
      <c r="Z54" s="7">
        <f t="shared" si="35"/>
        <v>-1</v>
      </c>
    </row>
    <row r="55" spans="1:26" s="27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602.52</v>
      </c>
      <c r="E55" s="1"/>
      <c r="F55" s="5">
        <f t="shared" si="28"/>
        <v>9.7386359709446897E-4</v>
      </c>
      <c r="G55" s="1"/>
      <c r="H55" s="1">
        <f>SUM(OSRRefH22_9x_0)</f>
        <v>336.56</v>
      </c>
      <c r="I55" s="1"/>
      <c r="J55" s="5">
        <f t="shared" si="29"/>
        <v>5.5053056287039073E-4</v>
      </c>
      <c r="K55" s="1"/>
      <c r="L55" s="1">
        <f t="shared" si="30"/>
        <v>265.95999999999998</v>
      </c>
      <c r="M55" s="1"/>
      <c r="N55" s="5">
        <f t="shared" si="31"/>
        <v>0.79023056810078429</v>
      </c>
      <c r="O55" s="13"/>
      <c r="P55" s="1">
        <f>SUM(OSRRefP22_9x_0)</f>
        <v>2539.62</v>
      </c>
      <c r="Q55" s="1"/>
      <c r="R55" s="5">
        <f t="shared" si="32"/>
        <v>1.6267589152216936E-3</v>
      </c>
      <c r="S55" s="1"/>
      <c r="T55" s="1">
        <f>SUM(OSRRefT22_9x_0)</f>
        <v>2087.09</v>
      </c>
      <c r="U55" s="1"/>
      <c r="V55" s="5">
        <f t="shared" si="33"/>
        <v>1.3363073330278676E-3</v>
      </c>
      <c r="W55" s="1"/>
      <c r="X55" s="1">
        <f t="shared" si="34"/>
        <v>452.52999999999975</v>
      </c>
      <c r="Y55" s="1"/>
      <c r="Z55" s="5">
        <f t="shared" si="35"/>
        <v>0.21682342400183974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602.52</v>
      </c>
      <c r="E56" s="2"/>
      <c r="F56" s="7">
        <f t="shared" si="28"/>
        <v>9.7386359709446897E-4</v>
      </c>
      <c r="G56" s="2"/>
      <c r="H56" s="6">
        <v>336.56</v>
      </c>
      <c r="I56" s="2"/>
      <c r="J56" s="7">
        <f t="shared" si="29"/>
        <v>5.5053056287039073E-4</v>
      </c>
      <c r="K56" s="2"/>
      <c r="L56" s="6">
        <f t="shared" si="30"/>
        <v>265.95999999999998</v>
      </c>
      <c r="M56" s="2"/>
      <c r="N56" s="7">
        <f t="shared" si="31"/>
        <v>0.79023056810078429</v>
      </c>
      <c r="O56" s="11"/>
      <c r="P56" s="6">
        <v>2539.62</v>
      </c>
      <c r="Q56" s="2"/>
      <c r="R56" s="7">
        <f t="shared" si="32"/>
        <v>1.6267589152216936E-3</v>
      </c>
      <c r="S56" s="2"/>
      <c r="T56" s="6">
        <v>2087.09</v>
      </c>
      <c r="U56" s="2"/>
      <c r="V56" s="7">
        <f t="shared" si="33"/>
        <v>1.3363073330278676E-3</v>
      </c>
      <c r="W56" s="2"/>
      <c r="X56" s="6">
        <f t="shared" si="34"/>
        <v>452.52999999999975</v>
      </c>
      <c r="Y56" s="2"/>
      <c r="Z56" s="7">
        <f t="shared" si="35"/>
        <v>0.21682342400183974</v>
      </c>
    </row>
    <row r="57" spans="1:26" s="27" customFormat="1" outlineLevel="1" collapsed="1" x14ac:dyDescent="0.25">
      <c r="A57" s="25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48155.83</v>
      </c>
      <c r="E57" s="1"/>
      <c r="F57" s="5">
        <f t="shared" si="28"/>
        <v>7.7835108917330115E-2</v>
      </c>
      <c r="G57" s="1"/>
      <c r="H57" s="1">
        <f>SUM(OSRRefH22_10x_0)</f>
        <v>48538.13</v>
      </c>
      <c r="I57" s="1"/>
      <c r="J57" s="5">
        <f t="shared" si="29"/>
        <v>7.9396612876088055E-2</v>
      </c>
      <c r="K57" s="1"/>
      <c r="L57" s="1">
        <f t="shared" si="30"/>
        <v>-382.29999999999563</v>
      </c>
      <c r="M57" s="1"/>
      <c r="N57" s="5">
        <f t="shared" si="31"/>
        <v>-7.876282007567981E-3</v>
      </c>
      <c r="O57" s="13"/>
      <c r="P57" s="1">
        <f>SUM(OSRRefP22_10x_0)</f>
        <v>120358.84000000001</v>
      </c>
      <c r="Q57" s="1"/>
      <c r="R57" s="5">
        <f t="shared" si="32"/>
        <v>7.7096107289965202E-2</v>
      </c>
      <c r="S57" s="1"/>
      <c r="T57" s="1">
        <f>SUM(OSRRefT22_10x_0)</f>
        <v>119080.21</v>
      </c>
      <c r="U57" s="1"/>
      <c r="V57" s="5">
        <f t="shared" si="33"/>
        <v>7.6243840870062349E-2</v>
      </c>
      <c r="W57" s="1"/>
      <c r="X57" s="1">
        <f t="shared" si="34"/>
        <v>1278.6300000000047</v>
      </c>
      <c r="Y57" s="1"/>
      <c r="Z57" s="5">
        <f t="shared" si="35"/>
        <v>1.073755244469257E-2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6">
        <v>48155.83</v>
      </c>
      <c r="E58" s="2"/>
      <c r="F58" s="7">
        <f t="shared" si="28"/>
        <v>7.7835108917330115E-2</v>
      </c>
      <c r="G58" s="2"/>
      <c r="H58" s="6">
        <v>48538.13</v>
      </c>
      <c r="I58" s="2"/>
      <c r="J58" s="7">
        <f t="shared" si="29"/>
        <v>7.9396612876088055E-2</v>
      </c>
      <c r="K58" s="2"/>
      <c r="L58" s="6">
        <f t="shared" si="30"/>
        <v>-382.29999999999563</v>
      </c>
      <c r="M58" s="2"/>
      <c r="N58" s="7">
        <f t="shared" si="31"/>
        <v>-7.876282007567981E-3</v>
      </c>
      <c r="O58" s="11"/>
      <c r="P58" s="6">
        <v>120358.84000000001</v>
      </c>
      <c r="Q58" s="2"/>
      <c r="R58" s="7">
        <f t="shared" si="32"/>
        <v>7.7096107289965202E-2</v>
      </c>
      <c r="S58" s="2"/>
      <c r="T58" s="6">
        <v>119080.21</v>
      </c>
      <c r="U58" s="2"/>
      <c r="V58" s="7">
        <f t="shared" si="33"/>
        <v>7.6243840870062349E-2</v>
      </c>
      <c r="W58" s="2"/>
      <c r="X58" s="6">
        <f t="shared" si="34"/>
        <v>1278.6300000000047</v>
      </c>
      <c r="Y58" s="2"/>
      <c r="Z58" s="7">
        <f t="shared" si="35"/>
        <v>1.073755244469257E-2</v>
      </c>
    </row>
    <row r="59" spans="1:26" s="27" customFormat="1" outlineLevel="1" collapsed="1" x14ac:dyDescent="0.25">
      <c r="A59" s="25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75.69</v>
      </c>
      <c r="E59" s="1"/>
      <c r="F59" s="5">
        <f t="shared" si="28"/>
        <v>1.2233906868499029E-4</v>
      </c>
      <c r="G59" s="1"/>
      <c r="H59" s="1">
        <f>SUM(OSRRefH22_11x_0)</f>
        <v>550</v>
      </c>
      <c r="I59" s="1"/>
      <c r="J59" s="5">
        <f t="shared" si="29"/>
        <v>8.9966665551080007E-4</v>
      </c>
      <c r="K59" s="1"/>
      <c r="L59" s="1">
        <f t="shared" si="30"/>
        <v>-474.31</v>
      </c>
      <c r="M59" s="1"/>
      <c r="N59" s="5">
        <f t="shared" si="31"/>
        <v>-0.86238181818181814</v>
      </c>
      <c r="O59" s="13"/>
      <c r="P59" s="1">
        <f>SUM(OSRRefP22_11x_0)</f>
        <v>219.19</v>
      </c>
      <c r="Q59" s="1"/>
      <c r="R59" s="5">
        <f t="shared" si="32"/>
        <v>1.4040261402392605E-4</v>
      </c>
      <c r="S59" s="1"/>
      <c r="T59" s="1">
        <f>SUM(OSRRefT22_11x_0)</f>
        <v>2468.84</v>
      </c>
      <c r="U59" s="1"/>
      <c r="V59" s="5">
        <f t="shared" si="33"/>
        <v>1.5807315429964787E-3</v>
      </c>
      <c r="W59" s="1"/>
      <c r="X59" s="1">
        <f t="shared" si="34"/>
        <v>-2249.65</v>
      </c>
      <c r="Y59" s="1"/>
      <c r="Z59" s="5">
        <f t="shared" si="35"/>
        <v>-0.91121741384617871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>
        <v>540.23</v>
      </c>
      <c r="I60" s="2"/>
      <c r="J60" s="7">
        <f t="shared" si="29"/>
        <v>8.8368530419381732E-4</v>
      </c>
      <c r="K60" s="2"/>
      <c r="L60" s="6">
        <f t="shared" si="30"/>
        <v>-540.23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540.23</v>
      </c>
      <c r="U60" s="2"/>
      <c r="V60" s="7">
        <f t="shared" si="33"/>
        <v>3.4589467177823907E-4</v>
      </c>
      <c r="W60" s="2"/>
      <c r="X60" s="6">
        <f t="shared" si="34"/>
        <v>-540.23</v>
      </c>
      <c r="Y60" s="2"/>
      <c r="Z60" s="7">
        <f t="shared" si="35"/>
        <v>-1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>
        <v>75.69</v>
      </c>
      <c r="E61" s="2"/>
      <c r="F61" s="7">
        <f t="shared" si="28"/>
        <v>1.2233906868499029E-4</v>
      </c>
      <c r="G61" s="2"/>
      <c r="H61" s="6">
        <v>9.77</v>
      </c>
      <c r="I61" s="2"/>
      <c r="J61" s="7">
        <f t="shared" si="29"/>
        <v>1.5981351316982756E-5</v>
      </c>
      <c r="K61" s="2"/>
      <c r="L61" s="6">
        <f t="shared" si="30"/>
        <v>65.92</v>
      </c>
      <c r="M61" s="2"/>
      <c r="N61" s="7">
        <f t="shared" si="31"/>
        <v>6.7471852610030707</v>
      </c>
      <c r="O61" s="11"/>
      <c r="P61" s="6">
        <v>113.7</v>
      </c>
      <c r="Q61" s="2"/>
      <c r="R61" s="7">
        <f t="shared" si="32"/>
        <v>7.2830773367947406E-5</v>
      </c>
      <c r="S61" s="2"/>
      <c r="T61" s="6">
        <v>120.01</v>
      </c>
      <c r="U61" s="2"/>
      <c r="V61" s="7">
        <f t="shared" si="33"/>
        <v>7.6839160283779997E-5</v>
      </c>
      <c r="W61" s="2"/>
      <c r="X61" s="6">
        <f t="shared" si="34"/>
        <v>-6.3100000000000023</v>
      </c>
      <c r="Y61" s="2"/>
      <c r="Z61" s="7">
        <f t="shared" si="35"/>
        <v>-5.2578951754020518E-2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105.49</v>
      </c>
      <c r="Q62" s="2"/>
      <c r="R62" s="7">
        <f t="shared" si="32"/>
        <v>6.7571840655978634E-5</v>
      </c>
      <c r="S62" s="2"/>
      <c r="T62" s="6">
        <v>1808.6</v>
      </c>
      <c r="U62" s="2"/>
      <c r="V62" s="7">
        <f t="shared" si="33"/>
        <v>1.1579977109344595E-3</v>
      </c>
      <c r="W62" s="2"/>
      <c r="X62" s="6">
        <f t="shared" si="34"/>
        <v>-1703.11</v>
      </c>
      <c r="Y62" s="2"/>
      <c r="Z62" s="7">
        <f t="shared" si="35"/>
        <v>-0.94167311732832026</v>
      </c>
    </row>
    <row r="63" spans="1:26" s="27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6022.22</v>
      </c>
      <c r="E63" s="1"/>
      <c r="F63" s="5">
        <f t="shared" ref="F63:F66" si="36">IF(D$12=0,0,D63/D$12)</f>
        <v>9.7338193449084728E-3</v>
      </c>
      <c r="G63" s="1"/>
      <c r="H63" s="1">
        <f>SUM(OSRRefH22_12x_0)</f>
        <v>5393.22</v>
      </c>
      <c r="I63" s="1"/>
      <c r="J63" s="5">
        <f t="shared" ref="J63:J66" si="37">IF(H$12=0,0,H63/H$12)</f>
        <v>8.8220003633344684E-3</v>
      </c>
      <c r="K63" s="1"/>
      <c r="L63" s="1">
        <f t="shared" ref="L63:L66" si="38">+D63-H63</f>
        <v>629</v>
      </c>
      <c r="M63" s="1"/>
      <c r="N63" s="5">
        <f t="shared" ref="N63:N66" si="39">IF(H63=0,0,L63/H63)</f>
        <v>0.11662791430722276</v>
      </c>
      <c r="O63" s="13"/>
      <c r="P63" s="1">
        <f>SUM(OSRRefP22_12x_0)</f>
        <v>25909.300000000003</v>
      </c>
      <c r="Q63" s="1"/>
      <c r="R63" s="5">
        <f t="shared" ref="R63:R66" si="40">IF(P$12=0,0,P63/P$12)</f>
        <v>1.6596256432912574E-2</v>
      </c>
      <c r="S63" s="1"/>
      <c r="T63" s="1">
        <f>SUM(OSRRefT22_12x_0)</f>
        <v>21110.690000000002</v>
      </c>
      <c r="U63" s="1"/>
      <c r="V63" s="5">
        <f t="shared" ref="V63:V66" si="41">IF(T$12=0,0,T63/T$12)</f>
        <v>1.3516604388060925E-2</v>
      </c>
      <c r="W63" s="1"/>
      <c r="X63" s="1">
        <f t="shared" ref="X63:X66" si="42">+P63-T63</f>
        <v>4798.6100000000006</v>
      </c>
      <c r="Y63" s="1"/>
      <c r="Z63" s="5">
        <f t="shared" ref="Z63:Z66" si="43">IF(T63=0,0,X63/T63)</f>
        <v>0.22730711312609866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421.34</v>
      </c>
      <c r="E64" s="2"/>
      <c r="F64" s="7">
        <f t="shared" si="36"/>
        <v>6.810191993623175E-4</v>
      </c>
      <c r="G64" s="2"/>
      <c r="H64" s="6">
        <v>421.34</v>
      </c>
      <c r="I64" s="2"/>
      <c r="J64" s="7">
        <f t="shared" si="37"/>
        <v>6.8921008842349183E-4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1685.36</v>
      </c>
      <c r="Q64" s="2"/>
      <c r="R64" s="7">
        <f t="shared" si="40"/>
        <v>1.0795608812964276E-3</v>
      </c>
      <c r="S64" s="2"/>
      <c r="T64" s="6">
        <v>1685.36</v>
      </c>
      <c r="U64" s="2"/>
      <c r="V64" s="7">
        <f t="shared" si="41"/>
        <v>1.0790904689265181E-3</v>
      </c>
      <c r="W64" s="2"/>
      <c r="X64" s="6">
        <f t="shared" si="42"/>
        <v>0</v>
      </c>
      <c r="Y64" s="2"/>
      <c r="Z64" s="7">
        <f t="shared" si="43"/>
        <v>0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6">
        <v>3916.67</v>
      </c>
      <c r="E65" s="2"/>
      <c r="F65" s="7">
        <f t="shared" si="36"/>
        <v>6.3305821131779761E-3</v>
      </c>
      <c r="G65" s="2"/>
      <c r="H65" s="6">
        <v>3635.73</v>
      </c>
      <c r="I65" s="2"/>
      <c r="J65" s="7">
        <f t="shared" si="37"/>
        <v>5.9471728171641477E-3</v>
      </c>
      <c r="K65" s="2"/>
      <c r="L65" s="6">
        <f t="shared" si="38"/>
        <v>280.94000000000005</v>
      </c>
      <c r="M65" s="2"/>
      <c r="N65" s="7">
        <f t="shared" si="39"/>
        <v>7.72719646398385E-2</v>
      </c>
      <c r="O65" s="11"/>
      <c r="P65" s="6">
        <v>18321.18</v>
      </c>
      <c r="Q65" s="2"/>
      <c r="R65" s="7">
        <f t="shared" si="40"/>
        <v>1.1735670258692793E-2</v>
      </c>
      <c r="S65" s="2"/>
      <c r="T65" s="6">
        <v>14542.92</v>
      </c>
      <c r="U65" s="2"/>
      <c r="V65" s="7">
        <f t="shared" si="41"/>
        <v>9.3114387207248548E-3</v>
      </c>
      <c r="W65" s="2"/>
      <c r="X65" s="6">
        <f t="shared" si="42"/>
        <v>3778.26</v>
      </c>
      <c r="Y65" s="2"/>
      <c r="Z65" s="7">
        <f t="shared" si="43"/>
        <v>0.25980064526243701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6">
        <v>1684.21</v>
      </c>
      <c r="E66" s="2"/>
      <c r="F66" s="7">
        <f t="shared" si="36"/>
        <v>2.7222180323681795E-3</v>
      </c>
      <c r="G66" s="2"/>
      <c r="H66" s="6">
        <v>1336.15</v>
      </c>
      <c r="I66" s="2"/>
      <c r="J66" s="7">
        <f t="shared" si="37"/>
        <v>2.1856174577468282E-3</v>
      </c>
      <c r="K66" s="2"/>
      <c r="L66" s="6">
        <f t="shared" si="38"/>
        <v>348.05999999999995</v>
      </c>
      <c r="M66" s="2"/>
      <c r="N66" s="7">
        <f t="shared" si="39"/>
        <v>0.260494704935823</v>
      </c>
      <c r="O66" s="11"/>
      <c r="P66" s="6">
        <v>5902.76</v>
      </c>
      <c r="Q66" s="2"/>
      <c r="R66" s="7">
        <f t="shared" si="40"/>
        <v>3.781025292923353E-3</v>
      </c>
      <c r="S66" s="2"/>
      <c r="T66" s="6">
        <v>4882.41</v>
      </c>
      <c r="U66" s="2"/>
      <c r="V66" s="7">
        <f t="shared" si="41"/>
        <v>3.1260751984095512E-3</v>
      </c>
      <c r="W66" s="2"/>
      <c r="X66" s="6">
        <f t="shared" si="42"/>
        <v>1020.3500000000004</v>
      </c>
      <c r="Y66" s="2"/>
      <c r="Z66" s="7">
        <f t="shared" si="43"/>
        <v>0.20898490704385753</v>
      </c>
    </row>
    <row r="67" spans="1:26" s="27" customFormat="1" outlineLevel="1" collapsed="1" x14ac:dyDescent="0.25">
      <c r="A67" s="25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14345.55</v>
      </c>
      <c r="E67" s="1"/>
      <c r="F67" s="5">
        <f t="shared" ref="F67:F75" si="44">IF(D$12=0,0,D67/D$12)</f>
        <v>2.3186962964380532E-2</v>
      </c>
      <c r="G67" s="1"/>
      <c r="H67" s="1">
        <f>SUM(OSRRefH22_13x_0)</f>
        <v>11213.369999999999</v>
      </c>
      <c r="I67" s="1"/>
      <c r="J67" s="5">
        <f t="shared" ref="J67:J75" si="45">IF(H$12=0,0,H67/H$12)</f>
        <v>1.8342354699827527E-2</v>
      </c>
      <c r="K67" s="1"/>
      <c r="L67" s="1">
        <f t="shared" ref="L67:L75" si="46">+D67-H67</f>
        <v>3132.1800000000003</v>
      </c>
      <c r="M67" s="1"/>
      <c r="N67" s="5">
        <f t="shared" ref="N67:N75" si="47">IF(H67=0,0,L67/H67)</f>
        <v>0.27932548377517202</v>
      </c>
      <c r="O67" s="13"/>
      <c r="P67" s="1">
        <f>SUM(OSRRefP22_13x_0)</f>
        <v>45064.480000000003</v>
      </c>
      <c r="Q67" s="1"/>
      <c r="R67" s="5">
        <f t="shared" ref="R67:R75" si="48">IF(P$12=0,0,P67/P$12)</f>
        <v>2.8866147140056277E-2</v>
      </c>
      <c r="S67" s="1"/>
      <c r="T67" s="1">
        <f>SUM(OSRRefT22_13x_0)</f>
        <v>40252.47</v>
      </c>
      <c r="U67" s="1"/>
      <c r="V67" s="5">
        <f t="shared" ref="V67:V75" si="49">IF(T$12=0,0,T67/T$12)</f>
        <v>2.5772568903825063E-2</v>
      </c>
      <c r="W67" s="1"/>
      <c r="X67" s="1">
        <f t="shared" ref="X67:X75" si="50">+P67-T67</f>
        <v>4812.010000000002</v>
      </c>
      <c r="Y67" s="1"/>
      <c r="Z67" s="5">
        <f t="shared" ref="Z67:Z75" si="51">IF(T67=0,0,X67/T67)</f>
        <v>0.11954570738143527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6">
        <v>100</v>
      </c>
      <c r="E68" s="2"/>
      <c r="F68" s="7">
        <f t="shared" si="44"/>
        <v>1.6163174618178135E-4</v>
      </c>
      <c r="G68" s="2"/>
      <c r="H68" s="6"/>
      <c r="I68" s="2"/>
      <c r="J68" s="7">
        <f t="shared" si="45"/>
        <v>0</v>
      </c>
      <c r="K68" s="2"/>
      <c r="L68" s="6">
        <f t="shared" si="46"/>
        <v>100</v>
      </c>
      <c r="M68" s="2"/>
      <c r="N68" s="7">
        <f t="shared" si="47"/>
        <v>0</v>
      </c>
      <c r="O68" s="11"/>
      <c r="P68" s="6">
        <v>100</v>
      </c>
      <c r="Q68" s="2"/>
      <c r="R68" s="7">
        <f t="shared" si="48"/>
        <v>6.4055209646391727E-5</v>
      </c>
      <c r="S68" s="2"/>
      <c r="T68" s="6"/>
      <c r="U68" s="2"/>
      <c r="V68" s="7">
        <f t="shared" si="49"/>
        <v>0</v>
      </c>
      <c r="W68" s="2"/>
      <c r="X68" s="6">
        <f t="shared" si="50"/>
        <v>100</v>
      </c>
      <c r="Y68" s="2"/>
      <c r="Z68" s="7">
        <f t="shared" si="51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>
        <v>6851.72</v>
      </c>
      <c r="E69" s="2"/>
      <c r="F69" s="7">
        <f t="shared" si="44"/>
        <v>1.1074554679486349E-2</v>
      </c>
      <c r="G69" s="2"/>
      <c r="H69" s="6">
        <v>5849.78</v>
      </c>
      <c r="I69" s="2"/>
      <c r="J69" s="7">
        <f t="shared" si="45"/>
        <v>9.5688218328617604E-3</v>
      </c>
      <c r="K69" s="2"/>
      <c r="L69" s="6">
        <f t="shared" si="46"/>
        <v>1001.9400000000005</v>
      </c>
      <c r="M69" s="2"/>
      <c r="N69" s="7">
        <f t="shared" si="47"/>
        <v>0.17127823610460574</v>
      </c>
      <c r="O69" s="11"/>
      <c r="P69" s="6">
        <v>17515.79</v>
      </c>
      <c r="Q69" s="2"/>
      <c r="R69" s="7">
        <f t="shared" si="48"/>
        <v>1.1219776005721719E-2</v>
      </c>
      <c r="S69" s="2"/>
      <c r="T69" s="6">
        <v>15863.48</v>
      </c>
      <c r="U69" s="2"/>
      <c r="V69" s="7">
        <f t="shared" si="49"/>
        <v>1.0156957606687261E-2</v>
      </c>
      <c r="W69" s="2"/>
      <c r="X69" s="6">
        <f t="shared" si="50"/>
        <v>1652.3100000000013</v>
      </c>
      <c r="Y69" s="2"/>
      <c r="Z69" s="7">
        <f t="shared" si="51"/>
        <v>0.10415810402257268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6">
        <v>3086.82</v>
      </c>
      <c r="E70" s="2"/>
      <c r="F70" s="7">
        <f t="shared" si="44"/>
        <v>4.9892810674884635E-3</v>
      </c>
      <c r="G70" s="2"/>
      <c r="H70" s="6">
        <v>731.35</v>
      </c>
      <c r="I70" s="2"/>
      <c r="J70" s="7">
        <f t="shared" si="45"/>
        <v>1.196311288196043E-3</v>
      </c>
      <c r="K70" s="2"/>
      <c r="L70" s="6">
        <f t="shared" si="46"/>
        <v>2355.4700000000003</v>
      </c>
      <c r="M70" s="2"/>
      <c r="N70" s="7">
        <f t="shared" si="47"/>
        <v>3.220715115881589</v>
      </c>
      <c r="O70" s="11"/>
      <c r="P70" s="6">
        <v>13900.02</v>
      </c>
      <c r="Q70" s="2"/>
      <c r="R70" s="7">
        <f t="shared" si="48"/>
        <v>8.90368695189038E-3</v>
      </c>
      <c r="S70" s="2"/>
      <c r="T70" s="6">
        <v>5110.37</v>
      </c>
      <c r="U70" s="2"/>
      <c r="V70" s="7">
        <f t="shared" si="49"/>
        <v>3.272031826842936E-3</v>
      </c>
      <c r="W70" s="2"/>
      <c r="X70" s="6">
        <f t="shared" si="50"/>
        <v>8789.6500000000015</v>
      </c>
      <c r="Y70" s="2"/>
      <c r="Z70" s="7">
        <f t="shared" si="51"/>
        <v>1.7199635251459291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>
        <v>328.89</v>
      </c>
      <c r="E71" s="2"/>
      <c r="F71" s="7">
        <f t="shared" si="44"/>
        <v>5.3159065001726069E-4</v>
      </c>
      <c r="G71" s="2"/>
      <c r="H71" s="6">
        <v>465.58</v>
      </c>
      <c r="I71" s="2"/>
      <c r="J71" s="7">
        <f t="shared" si="45"/>
        <v>7.6157600267766964E-4</v>
      </c>
      <c r="K71" s="2"/>
      <c r="L71" s="6">
        <f t="shared" si="46"/>
        <v>-136.69</v>
      </c>
      <c r="M71" s="2"/>
      <c r="N71" s="7">
        <f t="shared" si="47"/>
        <v>-0.29359078998238758</v>
      </c>
      <c r="O71" s="11"/>
      <c r="P71" s="6">
        <v>1309.46</v>
      </c>
      <c r="Q71" s="2"/>
      <c r="R71" s="7">
        <f t="shared" si="48"/>
        <v>8.3877734823564125E-4</v>
      </c>
      <c r="S71" s="2"/>
      <c r="T71" s="6">
        <v>1871.3</v>
      </c>
      <c r="U71" s="2"/>
      <c r="V71" s="7">
        <f t="shared" si="49"/>
        <v>1.1981428267564161E-3</v>
      </c>
      <c r="W71" s="2"/>
      <c r="X71" s="6">
        <f t="shared" si="50"/>
        <v>-561.83999999999992</v>
      </c>
      <c r="Y71" s="2"/>
      <c r="Z71" s="7">
        <f t="shared" si="51"/>
        <v>-0.3002404745364185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>
        <v>3978.12</v>
      </c>
      <c r="E72" s="2"/>
      <c r="F72" s="7">
        <f t="shared" si="44"/>
        <v>6.4299048212066801E-3</v>
      </c>
      <c r="G72" s="2"/>
      <c r="H72" s="6">
        <v>4166.66</v>
      </c>
      <c r="I72" s="2"/>
      <c r="J72" s="7">
        <f t="shared" si="45"/>
        <v>6.8156455760920547E-3</v>
      </c>
      <c r="K72" s="2"/>
      <c r="L72" s="6">
        <f t="shared" si="46"/>
        <v>-188.53999999999996</v>
      </c>
      <c r="M72" s="2"/>
      <c r="N72" s="7">
        <f t="shared" si="47"/>
        <v>-4.5249672399475832E-2</v>
      </c>
      <c r="O72" s="11"/>
      <c r="P72" s="6">
        <v>10376.49</v>
      </c>
      <c r="Q72" s="2"/>
      <c r="R72" s="7">
        <f t="shared" si="48"/>
        <v>6.6466824234368733E-3</v>
      </c>
      <c r="S72" s="2"/>
      <c r="T72" s="6">
        <v>14406.23</v>
      </c>
      <c r="U72" s="2"/>
      <c r="V72" s="7">
        <f t="shared" si="49"/>
        <v>9.2239198071410698E-3</v>
      </c>
      <c r="W72" s="2"/>
      <c r="X72" s="6">
        <f t="shared" si="50"/>
        <v>-4029.74</v>
      </c>
      <c r="Y72" s="2"/>
      <c r="Z72" s="7">
        <f t="shared" si="51"/>
        <v>-0.27972203692430286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441</v>
      </c>
      <c r="Q73" s="2"/>
      <c r="R73" s="7">
        <f t="shared" si="48"/>
        <v>2.8248347454058753E-4</v>
      </c>
      <c r="S73" s="2"/>
      <c r="T73" s="6"/>
      <c r="U73" s="2"/>
      <c r="V73" s="7">
        <f t="shared" si="49"/>
        <v>0</v>
      </c>
      <c r="W73" s="2"/>
      <c r="X73" s="6">
        <f t="shared" si="50"/>
        <v>441</v>
      </c>
      <c r="Y73" s="2"/>
      <c r="Z73" s="7">
        <f t="shared" si="51"/>
        <v>0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153.87</v>
      </c>
      <c r="Q74" s="2"/>
      <c r="R74" s="7">
        <f t="shared" si="48"/>
        <v>9.8561751082902965E-5</v>
      </c>
      <c r="S74" s="2"/>
      <c r="T74" s="6"/>
      <c r="U74" s="2"/>
      <c r="V74" s="7">
        <f t="shared" si="49"/>
        <v>0</v>
      </c>
      <c r="W74" s="2"/>
      <c r="X74" s="6">
        <f t="shared" si="50"/>
        <v>153.87</v>
      </c>
      <c r="Y74" s="2"/>
      <c r="Z74" s="7">
        <f t="shared" si="51"/>
        <v>0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44"/>
        <v>0</v>
      </c>
      <c r="G75" s="2"/>
      <c r="H75" s="6"/>
      <c r="I75" s="2"/>
      <c r="J75" s="7">
        <f t="shared" si="45"/>
        <v>0</v>
      </c>
      <c r="K75" s="2"/>
      <c r="L75" s="6">
        <f t="shared" si="46"/>
        <v>0</v>
      </c>
      <c r="M75" s="2"/>
      <c r="N75" s="7">
        <f t="shared" si="47"/>
        <v>0</v>
      </c>
      <c r="O75" s="11"/>
      <c r="P75" s="6">
        <v>1267.8499999999999</v>
      </c>
      <c r="Q75" s="2"/>
      <c r="R75" s="7">
        <f t="shared" si="48"/>
        <v>8.1212397550177754E-4</v>
      </c>
      <c r="S75" s="2"/>
      <c r="T75" s="6">
        <v>3001.09</v>
      </c>
      <c r="U75" s="2"/>
      <c r="V75" s="7">
        <f t="shared" si="49"/>
        <v>1.9215168363973779E-3</v>
      </c>
      <c r="W75" s="2"/>
      <c r="X75" s="6">
        <f t="shared" si="50"/>
        <v>-1733.2400000000002</v>
      </c>
      <c r="Y75" s="2"/>
      <c r="Z75" s="7">
        <f t="shared" si="51"/>
        <v>-0.57753682828572295</v>
      </c>
    </row>
    <row r="76" spans="1:26" s="27" customFormat="1" outlineLevel="1" collapsed="1" x14ac:dyDescent="0.25">
      <c r="A76" s="25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312</v>
      </c>
      <c r="E76" s="1"/>
      <c r="F76" s="5">
        <f t="shared" ref="F76:F81" si="52">IF(D$12=0,0,D76/D$12)</f>
        <v>5.0429104808715776E-4</v>
      </c>
      <c r="G76" s="1"/>
      <c r="H76" s="1">
        <f>SUM(OSRRefH22_14x_0)</f>
        <v>161.65</v>
      </c>
      <c r="I76" s="1"/>
      <c r="J76" s="5">
        <f t="shared" ref="J76:J81" si="53">IF(H$12=0,0,H76/H$12)</f>
        <v>2.6442020884240151E-4</v>
      </c>
      <c r="K76" s="1"/>
      <c r="L76" s="1">
        <f t="shared" ref="L76:L81" si="54">+D76-H76</f>
        <v>150.35</v>
      </c>
      <c r="M76" s="1"/>
      <c r="N76" s="5">
        <f t="shared" ref="N76:N81" si="55">IF(H76=0,0,L76/H76)</f>
        <v>0.93009588617383232</v>
      </c>
      <c r="O76" s="13"/>
      <c r="P76" s="1">
        <f>SUM(OSRRefP22_14x_0)</f>
        <v>1342.45</v>
      </c>
      <c r="Q76" s="1"/>
      <c r="R76" s="5">
        <f t="shared" ref="R76:R81" si="56">IF(P$12=0,0,P76/P$12)</f>
        <v>8.5990916189798586E-4</v>
      </c>
      <c r="S76" s="1"/>
      <c r="T76" s="1">
        <f>SUM(OSRRefT22_14x_0)</f>
        <v>845.45</v>
      </c>
      <c r="U76" s="1"/>
      <c r="V76" s="5">
        <f t="shared" ref="V76:V81" si="57">IF(T$12=0,0,T76/T$12)</f>
        <v>5.4131879061679691E-4</v>
      </c>
      <c r="W76" s="1"/>
      <c r="X76" s="1">
        <f t="shared" ref="X76:X81" si="58">+P76-T76</f>
        <v>497</v>
      </c>
      <c r="Y76" s="1"/>
      <c r="Z76" s="5">
        <f t="shared" ref="Z76:Z81" si="59">IF(T76=0,0,X76/T76)</f>
        <v>0.58785262286356377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6">
        <v>312</v>
      </c>
      <c r="E77" s="2"/>
      <c r="F77" s="7">
        <f t="shared" si="52"/>
        <v>5.0429104808715776E-4</v>
      </c>
      <c r="G77" s="2"/>
      <c r="H77" s="6">
        <v>161.65</v>
      </c>
      <c r="I77" s="2"/>
      <c r="J77" s="7">
        <f t="shared" si="53"/>
        <v>2.6442020884240151E-4</v>
      </c>
      <c r="K77" s="2"/>
      <c r="L77" s="6">
        <f t="shared" si="54"/>
        <v>150.35</v>
      </c>
      <c r="M77" s="2"/>
      <c r="N77" s="7">
        <f t="shared" si="55"/>
        <v>0.93009588617383232</v>
      </c>
      <c r="O77" s="11"/>
      <c r="P77" s="6">
        <v>1342.45</v>
      </c>
      <c r="Q77" s="2"/>
      <c r="R77" s="7">
        <f t="shared" si="56"/>
        <v>8.5990916189798586E-4</v>
      </c>
      <c r="S77" s="2"/>
      <c r="T77" s="6">
        <v>845.45</v>
      </c>
      <c r="U77" s="2"/>
      <c r="V77" s="7">
        <f t="shared" si="57"/>
        <v>5.4131879061679691E-4</v>
      </c>
      <c r="W77" s="2"/>
      <c r="X77" s="6">
        <f t="shared" si="58"/>
        <v>497</v>
      </c>
      <c r="Y77" s="2"/>
      <c r="Z77" s="7">
        <f t="shared" si="59"/>
        <v>0.58785262286356377</v>
      </c>
    </row>
    <row r="78" spans="1:26" s="27" customFormat="1" outlineLevel="1" collapsed="1" x14ac:dyDescent="0.25">
      <c r="A78" s="25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48</v>
      </c>
      <c r="E78" s="1"/>
      <c r="F78" s="5">
        <f t="shared" si="52"/>
        <v>7.7583238167255048E-5</v>
      </c>
      <c r="G78" s="1"/>
      <c r="H78" s="1">
        <f>SUM(OSRRefH22_15x_0)</f>
        <v>0</v>
      </c>
      <c r="I78" s="1"/>
      <c r="J78" s="5">
        <f t="shared" si="53"/>
        <v>0</v>
      </c>
      <c r="K78" s="1"/>
      <c r="L78" s="1">
        <f t="shared" si="54"/>
        <v>48</v>
      </c>
      <c r="M78" s="1"/>
      <c r="N78" s="5">
        <f t="shared" si="55"/>
        <v>0</v>
      </c>
      <c r="O78" s="13"/>
      <c r="P78" s="1">
        <f>SUM(OSRRefP22_15x_0)</f>
        <v>638</v>
      </c>
      <c r="Q78" s="1"/>
      <c r="R78" s="5">
        <f t="shared" si="56"/>
        <v>4.0867223754397929E-4</v>
      </c>
      <c r="S78" s="1"/>
      <c r="T78" s="1">
        <f>SUM(OSRRefT22_15x_0)</f>
        <v>515.80999999999995</v>
      </c>
      <c r="U78" s="1"/>
      <c r="V78" s="5">
        <f t="shared" si="57"/>
        <v>3.3025920561600329E-4</v>
      </c>
      <c r="W78" s="1"/>
      <c r="X78" s="1">
        <f t="shared" si="58"/>
        <v>122.19000000000005</v>
      </c>
      <c r="Y78" s="1"/>
      <c r="Z78" s="5">
        <f t="shared" si="59"/>
        <v>0.23688955235454928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6">
        <v>48</v>
      </c>
      <c r="E79" s="2"/>
      <c r="F79" s="7">
        <f t="shared" si="52"/>
        <v>7.7583238167255048E-5</v>
      </c>
      <c r="G79" s="2"/>
      <c r="H79" s="6"/>
      <c r="I79" s="2"/>
      <c r="J79" s="7">
        <f t="shared" si="53"/>
        <v>0</v>
      </c>
      <c r="K79" s="2"/>
      <c r="L79" s="6">
        <f t="shared" si="54"/>
        <v>48</v>
      </c>
      <c r="M79" s="2"/>
      <c r="N79" s="7">
        <f t="shared" si="55"/>
        <v>0</v>
      </c>
      <c r="O79" s="11"/>
      <c r="P79" s="6">
        <v>638</v>
      </c>
      <c r="Q79" s="2"/>
      <c r="R79" s="7">
        <f t="shared" si="56"/>
        <v>4.0867223754397929E-4</v>
      </c>
      <c r="S79" s="2"/>
      <c r="T79" s="6">
        <v>515.80999999999995</v>
      </c>
      <c r="U79" s="2"/>
      <c r="V79" s="7">
        <f t="shared" si="57"/>
        <v>3.3025920561600329E-4</v>
      </c>
      <c r="W79" s="2"/>
      <c r="X79" s="6">
        <f t="shared" si="58"/>
        <v>122.19000000000005</v>
      </c>
      <c r="Y79" s="2"/>
      <c r="Z79" s="7">
        <f t="shared" si="59"/>
        <v>0.23688955235454928</v>
      </c>
    </row>
    <row r="80" spans="1:26" s="27" customFormat="1" outlineLevel="1" collapsed="1" x14ac:dyDescent="0.25">
      <c r="A80" s="25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267.27999999999997</v>
      </c>
      <c r="E80" s="1"/>
      <c r="F80" s="5">
        <f t="shared" si="52"/>
        <v>4.3200933119466513E-4</v>
      </c>
      <c r="G80" s="1"/>
      <c r="H80" s="1">
        <f>SUM(OSRRefH22_16x_0)</f>
        <v>0</v>
      </c>
      <c r="I80" s="1"/>
      <c r="J80" s="5">
        <f t="shared" si="53"/>
        <v>0</v>
      </c>
      <c r="K80" s="1"/>
      <c r="L80" s="1">
        <f t="shared" si="54"/>
        <v>267.27999999999997</v>
      </c>
      <c r="M80" s="1"/>
      <c r="N80" s="5">
        <f t="shared" si="55"/>
        <v>0</v>
      </c>
      <c r="O80" s="13"/>
      <c r="P80" s="1">
        <f>SUM(OSRRefP22_16x_0)</f>
        <v>326.42</v>
      </c>
      <c r="Q80" s="1"/>
      <c r="R80" s="5">
        <f t="shared" si="56"/>
        <v>2.090890153277519E-4</v>
      </c>
      <c r="S80" s="1"/>
      <c r="T80" s="1">
        <f>SUM(OSRRefT22_16x_0)</f>
        <v>0</v>
      </c>
      <c r="U80" s="1"/>
      <c r="V80" s="5">
        <f t="shared" si="57"/>
        <v>0</v>
      </c>
      <c r="W80" s="1"/>
      <c r="X80" s="1">
        <f t="shared" si="58"/>
        <v>326.42</v>
      </c>
      <c r="Y80" s="1"/>
      <c r="Z80" s="5">
        <f t="shared" si="59"/>
        <v>0</v>
      </c>
    </row>
    <row r="81" spans="1:26" s="24" customFormat="1" hidden="1" outlineLevel="2" x14ac:dyDescent="0.25">
      <c r="A81" s="26"/>
      <c r="B81" s="11" t="str">
        <f>CONCATENATE("          ", "6292", " - ", "TRAVEL/CONFERENCE")</f>
        <v xml:space="preserve">          6292 - TRAVEL/CONFERENCE</v>
      </c>
      <c r="C81" s="11"/>
      <c r="D81" s="6">
        <v>267.27999999999997</v>
      </c>
      <c r="E81" s="2"/>
      <c r="F81" s="7">
        <f t="shared" si="52"/>
        <v>4.3200933119466513E-4</v>
      </c>
      <c r="G81" s="2"/>
      <c r="H81" s="6"/>
      <c r="I81" s="2"/>
      <c r="J81" s="7">
        <f t="shared" si="53"/>
        <v>0</v>
      </c>
      <c r="K81" s="2"/>
      <c r="L81" s="6">
        <f t="shared" si="54"/>
        <v>267.27999999999997</v>
      </c>
      <c r="M81" s="2"/>
      <c r="N81" s="7">
        <f t="shared" si="55"/>
        <v>0</v>
      </c>
      <c r="O81" s="11"/>
      <c r="P81" s="6">
        <v>326.42</v>
      </c>
      <c r="Q81" s="2"/>
      <c r="R81" s="7">
        <f t="shared" si="56"/>
        <v>2.090890153277519E-4</v>
      </c>
      <c r="S81" s="2"/>
      <c r="T81" s="6"/>
      <c r="U81" s="2"/>
      <c r="V81" s="7">
        <f t="shared" si="57"/>
        <v>0</v>
      </c>
      <c r="W81" s="2"/>
      <c r="X81" s="6">
        <f t="shared" si="58"/>
        <v>326.42</v>
      </c>
      <c r="Y81" s="2"/>
      <c r="Z81" s="7">
        <f t="shared" si="59"/>
        <v>0</v>
      </c>
    </row>
    <row r="82" spans="1:26" s="55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1">
        <f>+D21-D23+D83</f>
        <v>218103.56999999992</v>
      </c>
      <c r="E85" s="14"/>
      <c r="F85" s="22">
        <f>IF(D$12=0,0,D85/D$12)</f>
        <v>0.35252460867580371</v>
      </c>
      <c r="G85" s="14"/>
      <c r="H85" s="21">
        <f>+H21-H23+H83</f>
        <v>211032.62000000008</v>
      </c>
      <c r="I85" s="14"/>
      <c r="J85" s="22">
        <f>IF(H$12=0,0,H85/H$12)</f>
        <v>0.34519820261651207</v>
      </c>
      <c r="K85" s="16"/>
      <c r="L85" s="21">
        <f>+D85-H85</f>
        <v>7070.949999999837</v>
      </c>
      <c r="M85" s="16"/>
      <c r="N85" s="22">
        <f>IF(H85=0,0,L85/H85)</f>
        <v>3.3506431375395114E-2</v>
      </c>
      <c r="O85" s="29"/>
      <c r="P85" s="21">
        <f>+P21-P23+P83</f>
        <v>407734.52000000025</v>
      </c>
      <c r="Q85" s="14"/>
      <c r="R85" s="22">
        <f>IF(P$12=0,0,P85/P$12)</f>
        <v>0.2611752015867092</v>
      </c>
      <c r="S85" s="14"/>
      <c r="T85" s="21">
        <f>+T21-T23+T83</f>
        <v>436667.38000000012</v>
      </c>
      <c r="U85" s="14"/>
      <c r="V85" s="22">
        <f>IF(T$12=0,0,T85/T$12)</f>
        <v>0.27958632449394449</v>
      </c>
      <c r="W85" s="16"/>
      <c r="X85" s="21">
        <f>+P85-T85</f>
        <v>-28932.85999999987</v>
      </c>
      <c r="Y85" s="16"/>
      <c r="Z85" s="22">
        <f>IF(T85=0,0,X85/T85)</f>
        <v>-6.6258349776435924E-2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55916.68</v>
      </c>
      <c r="E87" s="4"/>
      <c r="F87" s="12">
        <f>IF(D$12=0,0,D87/D$12)</f>
        <v>9.0379106290878891E-2</v>
      </c>
      <c r="G87" s="4"/>
      <c r="H87" s="4">
        <v>58989.619999999995</v>
      </c>
      <c r="I87" s="4"/>
      <c r="J87" s="12">
        <f>IF(H$12=0,0,H87/H$12)</f>
        <v>9.6492716609550902E-2</v>
      </c>
      <c r="K87" s="4"/>
      <c r="L87" s="4">
        <f>+D87-H87</f>
        <v>-3072.9399999999951</v>
      </c>
      <c r="M87" s="4"/>
      <c r="N87" s="12">
        <f>IF(H87=0,0,L87/H87)</f>
        <v>-5.2092893631116716E-2</v>
      </c>
      <c r="O87" s="10"/>
      <c r="P87" s="4">
        <v>157149.69</v>
      </c>
      <c r="Q87" s="4"/>
      <c r="R87" s="12">
        <f>IF(P$12=0,0,P87/P$12)</f>
        <v>0.10066256338815471</v>
      </c>
      <c r="S87" s="4"/>
      <c r="T87" s="4">
        <v>143438.47</v>
      </c>
      <c r="U87" s="4"/>
      <c r="V87" s="12">
        <f>IF(T$12=0,0,T87/T$12)</f>
        <v>9.1839776578536522E-2</v>
      </c>
      <c r="W87" s="4"/>
      <c r="X87" s="4">
        <f>+P87-T87</f>
        <v>13711.220000000001</v>
      </c>
      <c r="Y87" s="4"/>
      <c r="Z87" s="12">
        <f>IF(T87=0,0,X87/T87)</f>
        <v>9.5589558366036678E-2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1">
        <f>+D85-D87</f>
        <v>162186.88999999993</v>
      </c>
      <c r="E89" s="14"/>
      <c r="F89" s="34">
        <f>IF(D$12=0,0,D89/D$12)</f>
        <v>0.26214550238492479</v>
      </c>
      <c r="G89" s="14"/>
      <c r="H89" s="31">
        <f>+H85-H87</f>
        <v>152043.00000000009</v>
      </c>
      <c r="I89" s="14"/>
      <c r="J89" s="34">
        <f>IF(H$12=0,0,H89/H$12)</f>
        <v>0.24870548600696119</v>
      </c>
      <c r="K89" s="16"/>
      <c r="L89" s="31">
        <f>D89-H89</f>
        <v>10143.889999999839</v>
      </c>
      <c r="M89" s="16"/>
      <c r="N89" s="34">
        <f>IF(H89=0,0,L89/H89)</f>
        <v>6.6717244463736142E-2</v>
      </c>
      <c r="O89" s="29"/>
      <c r="P89" s="31">
        <f>+P85-P87</f>
        <v>250584.83000000025</v>
      </c>
      <c r="Q89" s="14"/>
      <c r="R89" s="34">
        <f>IF(P$12=0,0,P89/P$12)</f>
        <v>0.16051263819855449</v>
      </c>
      <c r="S89" s="14"/>
      <c r="T89" s="31">
        <f>+T85-T87</f>
        <v>293228.91000000015</v>
      </c>
      <c r="U89" s="14"/>
      <c r="V89" s="34">
        <f>IF(T$12=0,0,T89/T$12)</f>
        <v>0.18774654791540796</v>
      </c>
      <c r="W89" s="16"/>
      <c r="X89" s="31">
        <f>P89-T89</f>
        <v>-42644.0799999999</v>
      </c>
      <c r="Y89" s="16"/>
      <c r="Z89" s="34">
        <f>IF(T89=0,0,X89/T89)</f>
        <v>-0.14542931663866254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6">
        <f>SUM(D89:D91)</f>
        <v>162186.88999999993</v>
      </c>
      <c r="E92" s="14"/>
      <c r="F92" s="33">
        <f>IF(D$12=0,0,D92/D$12)</f>
        <v>0.26214550238492479</v>
      </c>
      <c r="G92" s="14"/>
      <c r="H92" s="36">
        <f>SUM(H89:H91)</f>
        <v>152043.00000000009</v>
      </c>
      <c r="I92" s="14"/>
      <c r="J92" s="33">
        <f>IF(H$12=0,0,H92/H$12)</f>
        <v>0.24870548600696119</v>
      </c>
      <c r="K92" s="16"/>
      <c r="L92" s="36">
        <f>+D92-H92</f>
        <v>10143.889999999839</v>
      </c>
      <c r="M92" s="16"/>
      <c r="N92" s="33">
        <f>IF(H92=0,0,L92/H92)</f>
        <v>6.6717244463736142E-2</v>
      </c>
      <c r="O92" s="29"/>
      <c r="P92" s="36">
        <f>SUM(P89:P91)</f>
        <v>250584.83000000025</v>
      </c>
      <c r="Q92" s="14"/>
      <c r="R92" s="33">
        <f>IF(P$12=0,0,P92/P$12)</f>
        <v>0.16051263819855449</v>
      </c>
      <c r="S92" s="14"/>
      <c r="T92" s="36">
        <f>SUM(T89:T91)</f>
        <v>293228.91000000015</v>
      </c>
      <c r="U92" s="14"/>
      <c r="V92" s="33">
        <f>IF(T$12=0,0,T92/T$12)</f>
        <v>0.18774654791540796</v>
      </c>
      <c r="W92" s="16"/>
      <c r="X92" s="36">
        <f>+P92-T92</f>
        <v>-42644.0799999999</v>
      </c>
      <c r="Y92" s="16"/>
      <c r="Z92" s="33">
        <f>IF(T92=0,0,X92/T92)</f>
        <v>-0.14542931663866254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61">
        <v>43791.355802546299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6" t="s">
        <v>313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7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4:24" x14ac:dyDescent="0.25"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","450", " - ", "Beachside Dining Hall")</f>
        <v>Department 450 - Beachside Dining Hall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393945.38999999996</v>
      </c>
      <c r="E12" s="4"/>
      <c r="F12" s="12"/>
      <c r="G12" s="4"/>
      <c r="H12" s="4">
        <f>SUM(OSRRefH13x_0)</f>
        <v>385975.39</v>
      </c>
      <c r="I12" s="4"/>
      <c r="J12" s="12"/>
      <c r="K12" s="4"/>
      <c r="L12" s="4">
        <f t="shared" ref="L12:L15" si="0">+D12-H12</f>
        <v>7969.9999999999418</v>
      </c>
      <c r="M12" s="4"/>
      <c r="N12" s="12">
        <f t="shared" ref="N12:N15" si="1">IF(H12=0,0,L12/H12)</f>
        <v>2.0648984900306575E-2</v>
      </c>
      <c r="O12" s="10"/>
      <c r="P12" s="4">
        <f>SUM(OSRRefP13x_0)</f>
        <v>860039.2300000001</v>
      </c>
      <c r="Q12" s="4"/>
      <c r="R12" s="12"/>
      <c r="S12" s="4"/>
      <c r="T12" s="4">
        <f>SUM(OSRRefT13x_0)</f>
        <v>810712.49</v>
      </c>
      <c r="U12" s="4"/>
      <c r="V12" s="12"/>
      <c r="W12" s="4"/>
      <c r="X12" s="4">
        <f t="shared" ref="X12:X15" si="2">+P12-T12</f>
        <v>49326.740000000107</v>
      </c>
      <c r="Y12" s="4"/>
      <c r="Z12" s="12">
        <f t="shared" ref="Z12:Z15" si="3">IF(T12=0,0,X12/T12)</f>
        <v>6.0843690714571463E-2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--13.66</f>
        <v>13.66</v>
      </c>
      <c r="E13" s="2"/>
      <c r="F13" s="19"/>
      <c r="G13" s="2"/>
      <c r="H13" s="2">
        <f>--235.71</f>
        <v>235.71</v>
      </c>
      <c r="I13" s="2"/>
      <c r="J13" s="19"/>
      <c r="K13" s="2"/>
      <c r="L13" s="2">
        <f t="shared" si="0"/>
        <v>-222.05</v>
      </c>
      <c r="M13" s="2"/>
      <c r="N13" s="19">
        <f t="shared" si="1"/>
        <v>-0.94204743116541512</v>
      </c>
      <c r="O13" s="11"/>
      <c r="P13" s="2">
        <f>--82.55</f>
        <v>82.55</v>
      </c>
      <c r="Q13" s="2"/>
      <c r="R13" s="19"/>
      <c r="S13" s="2"/>
      <c r="T13" s="2">
        <f>--515.62</f>
        <v>515.62</v>
      </c>
      <c r="U13" s="2"/>
      <c r="V13" s="19"/>
      <c r="W13" s="2"/>
      <c r="X13" s="2">
        <f t="shared" si="2"/>
        <v>-433.07</v>
      </c>
      <c r="Y13" s="2"/>
      <c r="Z13" s="19">
        <f t="shared" si="3"/>
        <v>-0.83990147783251234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--392312.79</f>
        <v>392312.79</v>
      </c>
      <c r="E14" s="2"/>
      <c r="F14" s="19"/>
      <c r="G14" s="2"/>
      <c r="H14" s="2">
        <f>--384032.8</f>
        <v>384032.8</v>
      </c>
      <c r="I14" s="2"/>
      <c r="J14" s="19"/>
      <c r="K14" s="2"/>
      <c r="L14" s="2">
        <f t="shared" si="0"/>
        <v>8279.9899999999907</v>
      </c>
      <c r="M14" s="2"/>
      <c r="N14" s="19">
        <f t="shared" si="1"/>
        <v>2.1560632320989224E-2</v>
      </c>
      <c r="O14" s="11"/>
      <c r="P14" s="2">
        <f>--856252.87</f>
        <v>856252.87</v>
      </c>
      <c r="Q14" s="2"/>
      <c r="R14" s="19"/>
      <c r="S14" s="2"/>
      <c r="T14" s="2">
        <f>--806692.51</f>
        <v>806692.51</v>
      </c>
      <c r="U14" s="2"/>
      <c r="V14" s="19"/>
      <c r="W14" s="2"/>
      <c r="X14" s="2">
        <f t="shared" si="2"/>
        <v>49560.359999999986</v>
      </c>
      <c r="Y14" s="2"/>
      <c r="Z14" s="19">
        <f t="shared" si="3"/>
        <v>6.1436494557263195E-2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--1618.94</f>
        <v>1618.94</v>
      </c>
      <c r="E15" s="2"/>
      <c r="F15" s="19"/>
      <c r="G15" s="2"/>
      <c r="H15" s="2">
        <f>--1706.88</f>
        <v>1706.88</v>
      </c>
      <c r="I15" s="2"/>
      <c r="J15" s="19"/>
      <c r="K15" s="2"/>
      <c r="L15" s="2">
        <f t="shared" si="0"/>
        <v>-87.940000000000055</v>
      </c>
      <c r="M15" s="2"/>
      <c r="N15" s="19">
        <f t="shared" si="1"/>
        <v>-5.1520903637045395E-2</v>
      </c>
      <c r="O15" s="11"/>
      <c r="P15" s="2">
        <f>--3703.81</f>
        <v>3703.81</v>
      </c>
      <c r="Q15" s="2"/>
      <c r="R15" s="19"/>
      <c r="S15" s="2"/>
      <c r="T15" s="2">
        <f>--3504.36</f>
        <v>3504.36</v>
      </c>
      <c r="U15" s="2"/>
      <c r="V15" s="19"/>
      <c r="W15" s="2"/>
      <c r="X15" s="2">
        <f t="shared" si="2"/>
        <v>199.44999999999982</v>
      </c>
      <c r="Y15" s="2"/>
      <c r="Z15" s="19">
        <f t="shared" si="3"/>
        <v>5.6914814687988625E-2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84670.98</v>
      </c>
      <c r="E17" s="4"/>
      <c r="F17" s="12">
        <f t="shared" ref="F17:F19" si="4">IF(D$12=0,0,D17/D$12)</f>
        <v>0.21493075474242765</v>
      </c>
      <c r="G17" s="4"/>
      <c r="H17" s="4">
        <f>SUM(OSRRefH16x_0)</f>
        <v>78704.759999999995</v>
      </c>
      <c r="I17" s="4"/>
      <c r="J17" s="12">
        <f t="shared" ref="J17:J19" si="5">IF(H$12=0,0,H17/H$12)</f>
        <v>0.20391134263767435</v>
      </c>
      <c r="K17" s="4"/>
      <c r="L17" s="4">
        <f t="shared" ref="L17:L19" si="6">+D17-H17</f>
        <v>5966.2200000000012</v>
      </c>
      <c r="M17" s="4"/>
      <c r="N17" s="12">
        <f t="shared" ref="N17:N19" si="7">IF(H17=0,0,L17/H17)</f>
        <v>7.5805072018515801E-2</v>
      </c>
      <c r="O17" s="10"/>
      <c r="P17" s="4">
        <f>SUM(OSRRefP16x_0)</f>
        <v>191334.44</v>
      </c>
      <c r="Q17" s="4"/>
      <c r="R17" s="12">
        <f t="shared" ref="R17:R19" si="8">IF(P$12=0,0,P17/P$12)</f>
        <v>0.22247175864291677</v>
      </c>
      <c r="S17" s="4"/>
      <c r="T17" s="4">
        <f>SUM(OSRRefT16x_0)</f>
        <v>177888.26</v>
      </c>
      <c r="U17" s="4"/>
      <c r="V17" s="12">
        <f t="shared" ref="V17:V19" si="9">IF(T$12=0,0,T17/T$12)</f>
        <v>0.21942212830593003</v>
      </c>
      <c r="W17" s="4"/>
      <c r="X17" s="4">
        <f t="shared" ref="X17:X19" si="10">+P17-T17</f>
        <v>13446.179999999993</v>
      </c>
      <c r="Y17" s="4"/>
      <c r="Z17" s="12">
        <f t="shared" ref="Z17:Z19" si="11">IF(T17=0,0,X17/T17)</f>
        <v>7.5587787524595454E-2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83478.98</v>
      </c>
      <c r="E18" s="2"/>
      <c r="F18" s="19">
        <f t="shared" si="4"/>
        <v>0.21190495464358652</v>
      </c>
      <c r="G18" s="2"/>
      <c r="H18" s="2">
        <v>79116.009999999995</v>
      </c>
      <c r="I18" s="2"/>
      <c r="J18" s="19">
        <f t="shared" si="5"/>
        <v>0.20497682507685266</v>
      </c>
      <c r="K18" s="2"/>
      <c r="L18" s="2">
        <f t="shared" si="6"/>
        <v>4362.9700000000012</v>
      </c>
      <c r="M18" s="2"/>
      <c r="N18" s="19">
        <f t="shared" si="7"/>
        <v>5.5146486785670835E-2</v>
      </c>
      <c r="O18" s="11"/>
      <c r="P18" s="2">
        <v>193939.44</v>
      </c>
      <c r="Q18" s="2"/>
      <c r="R18" s="19">
        <f t="shared" si="8"/>
        <v>0.22550069024176952</v>
      </c>
      <c r="S18" s="2"/>
      <c r="T18" s="2">
        <v>183560.26</v>
      </c>
      <c r="U18" s="2"/>
      <c r="V18" s="19">
        <f t="shared" si="9"/>
        <v>0.22641844336208514</v>
      </c>
      <c r="W18" s="2"/>
      <c r="X18" s="2">
        <f t="shared" si="10"/>
        <v>10379.179999999993</v>
      </c>
      <c r="Y18" s="2"/>
      <c r="Z18" s="19">
        <f t="shared" si="11"/>
        <v>5.6543720301986893E-2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1192</v>
      </c>
      <c r="E19" s="2"/>
      <c r="F19" s="19">
        <f t="shared" si="4"/>
        <v>3.0258000988411114E-3</v>
      </c>
      <c r="G19" s="2"/>
      <c r="H19" s="2">
        <v>-411.25</v>
      </c>
      <c r="I19" s="2"/>
      <c r="J19" s="19">
        <f t="shared" si="5"/>
        <v>-1.0654824391783113E-3</v>
      </c>
      <c r="K19" s="2"/>
      <c r="L19" s="2">
        <f t="shared" si="6"/>
        <v>1603.25</v>
      </c>
      <c r="M19" s="2"/>
      <c r="N19" s="19">
        <f t="shared" si="7"/>
        <v>-3.8984802431610941</v>
      </c>
      <c r="O19" s="11"/>
      <c r="P19" s="2">
        <v>-2605</v>
      </c>
      <c r="Q19" s="2"/>
      <c r="R19" s="19">
        <f t="shared" si="8"/>
        <v>-3.0289315988527637E-3</v>
      </c>
      <c r="S19" s="2"/>
      <c r="T19" s="2">
        <v>-5672</v>
      </c>
      <c r="U19" s="2"/>
      <c r="V19" s="19">
        <f t="shared" si="9"/>
        <v>-6.9963150561551113E-3</v>
      </c>
      <c r="W19" s="2"/>
      <c r="X19" s="2">
        <f t="shared" si="10"/>
        <v>3067</v>
      </c>
      <c r="Y19" s="2"/>
      <c r="Z19" s="19">
        <f t="shared" si="11"/>
        <v>-0.54072637517630462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309274.40999999997</v>
      </c>
      <c r="E21" s="14"/>
      <c r="F21" s="22">
        <f>IF(D$12=0,0,D21/D$12)</f>
        <v>0.78506924525757238</v>
      </c>
      <c r="G21" s="14"/>
      <c r="H21" s="21">
        <f>H12-H17</f>
        <v>307270.63</v>
      </c>
      <c r="I21" s="14"/>
      <c r="J21" s="22">
        <f>IF(H$12=0,0,H21/H$12)</f>
        <v>0.79608865736232559</v>
      </c>
      <c r="K21" s="16"/>
      <c r="L21" s="21">
        <f>+D21-H21</f>
        <v>2003.7799999999697</v>
      </c>
      <c r="M21" s="16"/>
      <c r="N21" s="22">
        <f>IF(H21=0,0,L21/H21)</f>
        <v>6.521222025027155E-3</v>
      </c>
      <c r="O21" s="29"/>
      <c r="P21" s="21">
        <f>P12-P17</f>
        <v>668704.79</v>
      </c>
      <c r="Q21" s="14"/>
      <c r="R21" s="22">
        <f>IF(P$12=0,0,P21/P$12)</f>
        <v>0.77752824135708321</v>
      </c>
      <c r="S21" s="14"/>
      <c r="T21" s="21">
        <f>T12-T17</f>
        <v>632824.23</v>
      </c>
      <c r="U21" s="14"/>
      <c r="V21" s="22">
        <f>IF(T$12=0,0,T21/T$12)</f>
        <v>0.78057787169407</v>
      </c>
      <c r="W21" s="16"/>
      <c r="X21" s="21">
        <f>+P21-T21</f>
        <v>35880.560000000056</v>
      </c>
      <c r="Y21" s="16"/>
      <c r="Z21" s="22">
        <f>IF(T21=0,0,X21/T21)</f>
        <v>5.6699093206339549E-2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0">
        <f>SUM(OSRRefD22x_0)</f>
        <v>177256.88999999998</v>
      </c>
      <c r="E23" s="20"/>
      <c r="F23" s="35">
        <f t="shared" ref="F23:F33" si="12">IF(D$12=0,0,D23/D$12)</f>
        <v>0.44995294906230532</v>
      </c>
      <c r="G23" s="20"/>
      <c r="H23" s="20">
        <f>SUM(OSRRefH22x_0)</f>
        <v>165325.12000000008</v>
      </c>
      <c r="I23" s="20"/>
      <c r="J23" s="35">
        <f t="shared" ref="J23:J33" si="13">IF(H$12=0,0,H23/H$12)</f>
        <v>0.42833072854722698</v>
      </c>
      <c r="K23" s="4"/>
      <c r="L23" s="20">
        <f t="shared" ref="L23:L33" si="14">+D23-H23</f>
        <v>11931.769999999902</v>
      </c>
      <c r="M23" s="4"/>
      <c r="N23" s="35">
        <f t="shared" ref="N23:N33" si="15">IF(H23=0,0,L23/H23)</f>
        <v>7.2171549005982244E-2</v>
      </c>
      <c r="O23" s="10"/>
      <c r="P23" s="20">
        <f>SUM(OSRRefP22x_0)</f>
        <v>505479.47000000015</v>
      </c>
      <c r="Q23" s="20"/>
      <c r="R23" s="35">
        <f t="shared" ref="R23:R33" si="16">IF(P$12=0,0,P23/P$12)</f>
        <v>0.58774001506884765</v>
      </c>
      <c r="S23" s="20"/>
      <c r="T23" s="20">
        <f>SUM(OSRRefT22x_0)</f>
        <v>428379.69000000012</v>
      </c>
      <c r="U23" s="20"/>
      <c r="V23" s="35">
        <f t="shared" ref="V23:V33" si="17">IF(T$12=0,0,T23/T$12)</f>
        <v>0.52839902589881171</v>
      </c>
      <c r="W23" s="4"/>
      <c r="X23" s="20">
        <f t="shared" ref="X23:X33" si="18">+P23-T23</f>
        <v>77099.780000000028</v>
      </c>
      <c r="Y23" s="4"/>
      <c r="Z23" s="35">
        <f t="shared" ref="Z23:Z33" si="19">IF(T23=0,0,X23/T23)</f>
        <v>0.17998000792241109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28832.61</v>
      </c>
      <c r="E24" s="1"/>
      <c r="F24" s="5">
        <f t="shared" si="12"/>
        <v>7.3189357540140276E-2</v>
      </c>
      <c r="G24" s="1"/>
      <c r="H24" s="1">
        <f>SUM(OSRRefH22_0x_0)</f>
        <v>33786.82</v>
      </c>
      <c r="I24" s="1"/>
      <c r="J24" s="5">
        <f t="shared" si="13"/>
        <v>8.7536202761528389E-2</v>
      </c>
      <c r="K24" s="1"/>
      <c r="L24" s="1">
        <f t="shared" si="14"/>
        <v>-4954.2099999999991</v>
      </c>
      <c r="M24" s="1"/>
      <c r="N24" s="5">
        <f t="shared" si="15"/>
        <v>-0.1466314379394095</v>
      </c>
      <c r="O24" s="13"/>
      <c r="P24" s="1">
        <f>SUM(OSRRefP22_0x_0)</f>
        <v>103945.04</v>
      </c>
      <c r="Q24" s="1"/>
      <c r="R24" s="5">
        <f t="shared" si="16"/>
        <v>0.12086081236085007</v>
      </c>
      <c r="S24" s="1"/>
      <c r="T24" s="1">
        <f>SUM(OSRRefT22_0x_0)</f>
        <v>101619.18</v>
      </c>
      <c r="U24" s="1"/>
      <c r="V24" s="5">
        <f t="shared" si="17"/>
        <v>0.12534552169043306</v>
      </c>
      <c r="W24" s="1"/>
      <c r="X24" s="1">
        <f t="shared" si="18"/>
        <v>2325.8600000000006</v>
      </c>
      <c r="Y24" s="1"/>
      <c r="Z24" s="5">
        <f t="shared" si="19"/>
        <v>2.2888002048432204E-2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6568.99</v>
      </c>
      <c r="E25" s="2"/>
      <c r="F25" s="7">
        <f t="shared" si="12"/>
        <v>1.6674874657119355E-2</v>
      </c>
      <c r="G25" s="2"/>
      <c r="H25" s="6">
        <v>5197.95</v>
      </c>
      <c r="I25" s="2"/>
      <c r="J25" s="7">
        <f t="shared" si="13"/>
        <v>1.3467050321524385E-2</v>
      </c>
      <c r="K25" s="2"/>
      <c r="L25" s="6">
        <f t="shared" si="14"/>
        <v>1371.04</v>
      </c>
      <c r="M25" s="2"/>
      <c r="N25" s="7">
        <f t="shared" si="15"/>
        <v>0.26376552294654626</v>
      </c>
      <c r="O25" s="11"/>
      <c r="P25" s="6">
        <v>15832.14</v>
      </c>
      <c r="Q25" s="2"/>
      <c r="R25" s="7">
        <f t="shared" si="16"/>
        <v>1.8408625383286293E-2</v>
      </c>
      <c r="S25" s="2"/>
      <c r="T25" s="6">
        <v>13254.34</v>
      </c>
      <c r="U25" s="2"/>
      <c r="V25" s="7">
        <f t="shared" si="17"/>
        <v>1.634900185144551E-2</v>
      </c>
      <c r="W25" s="2"/>
      <c r="X25" s="6">
        <f t="shared" si="18"/>
        <v>2577.7999999999993</v>
      </c>
      <c r="Y25" s="2"/>
      <c r="Z25" s="7">
        <f t="shared" si="19"/>
        <v>0.19448723965131415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-176.52</v>
      </c>
      <c r="E26" s="2"/>
      <c r="F26" s="7">
        <f t="shared" si="12"/>
        <v>-4.4808241061026257E-4</v>
      </c>
      <c r="G26" s="2"/>
      <c r="H26" s="6">
        <v>4967.5200000000004</v>
      </c>
      <c r="I26" s="2"/>
      <c r="J26" s="7">
        <f t="shared" si="13"/>
        <v>1.2870043346546007E-2</v>
      </c>
      <c r="K26" s="2"/>
      <c r="L26" s="6">
        <f t="shared" si="14"/>
        <v>-5144.0400000000009</v>
      </c>
      <c r="M26" s="2"/>
      <c r="N26" s="7">
        <f t="shared" si="15"/>
        <v>-1.0355348342835058</v>
      </c>
      <c r="O26" s="11"/>
      <c r="P26" s="6">
        <v>6094.16</v>
      </c>
      <c r="Q26" s="2"/>
      <c r="R26" s="7">
        <f t="shared" si="16"/>
        <v>7.0859093253222869E-3</v>
      </c>
      <c r="S26" s="2"/>
      <c r="T26" s="6">
        <v>8068.46</v>
      </c>
      <c r="U26" s="2"/>
      <c r="V26" s="7">
        <f t="shared" si="17"/>
        <v>9.95230750669698E-3</v>
      </c>
      <c r="W26" s="2"/>
      <c r="X26" s="6">
        <f t="shared" si="18"/>
        <v>-1974.3000000000002</v>
      </c>
      <c r="Y26" s="2"/>
      <c r="Z26" s="7">
        <f t="shared" si="19"/>
        <v>-0.24469353507360764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>
        <v>12906.84</v>
      </c>
      <c r="E27" s="2"/>
      <c r="F27" s="7">
        <f t="shared" si="12"/>
        <v>3.2763018244736923E-2</v>
      </c>
      <c r="G27" s="2"/>
      <c r="H27" s="6">
        <v>14801.3</v>
      </c>
      <c r="I27" s="2"/>
      <c r="J27" s="7">
        <f t="shared" si="13"/>
        <v>3.8347781707015048E-2</v>
      </c>
      <c r="K27" s="2"/>
      <c r="L27" s="6">
        <f t="shared" si="14"/>
        <v>-1894.4599999999991</v>
      </c>
      <c r="M27" s="2"/>
      <c r="N27" s="7">
        <f t="shared" si="15"/>
        <v>-0.12799281144223812</v>
      </c>
      <c r="O27" s="11"/>
      <c r="P27" s="6">
        <v>52287.409999999996</v>
      </c>
      <c r="Q27" s="2"/>
      <c r="R27" s="7">
        <f t="shared" si="16"/>
        <v>6.0796540641523983E-2</v>
      </c>
      <c r="S27" s="2"/>
      <c r="T27" s="6">
        <v>49844.700000000004</v>
      </c>
      <c r="U27" s="2"/>
      <c r="V27" s="7">
        <f t="shared" si="17"/>
        <v>6.1482585521779744E-2</v>
      </c>
      <c r="W27" s="2"/>
      <c r="X27" s="6">
        <f t="shared" si="18"/>
        <v>2442.7099999999919</v>
      </c>
      <c r="Y27" s="2"/>
      <c r="Z27" s="7">
        <f t="shared" si="19"/>
        <v>4.900641392164045E-2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231.32</v>
      </c>
      <c r="E28" s="2"/>
      <c r="F28" s="7">
        <f t="shared" si="12"/>
        <v>5.8718798562409891E-4</v>
      </c>
      <c r="G28" s="2"/>
      <c r="H28" s="6">
        <v>199.77</v>
      </c>
      <c r="I28" s="2"/>
      <c r="J28" s="7">
        <f t="shared" si="13"/>
        <v>5.1757185866176602E-4</v>
      </c>
      <c r="K28" s="2"/>
      <c r="L28" s="6">
        <f t="shared" si="14"/>
        <v>31.549999999999983</v>
      </c>
      <c r="M28" s="2"/>
      <c r="N28" s="7">
        <f t="shared" si="15"/>
        <v>0.15793162136456917</v>
      </c>
      <c r="O28" s="11"/>
      <c r="P28" s="6">
        <v>651.54999999999995</v>
      </c>
      <c r="Q28" s="2"/>
      <c r="R28" s="7">
        <f t="shared" si="16"/>
        <v>7.5758172101056355E-4</v>
      </c>
      <c r="S28" s="2"/>
      <c r="T28" s="6">
        <v>603.29</v>
      </c>
      <c r="U28" s="2"/>
      <c r="V28" s="7">
        <f t="shared" si="17"/>
        <v>7.4414790377782386E-4</v>
      </c>
      <c r="W28" s="2"/>
      <c r="X28" s="6">
        <f t="shared" si="18"/>
        <v>48.259999999999991</v>
      </c>
      <c r="Y28" s="2"/>
      <c r="Z28" s="7">
        <f t="shared" si="19"/>
        <v>7.9994695751628556E-2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>
        <v>1832.9</v>
      </c>
      <c r="E29" s="2"/>
      <c r="F29" s="7">
        <f t="shared" si="12"/>
        <v>4.6526753365485514E-3</v>
      </c>
      <c r="G29" s="2"/>
      <c r="H29" s="6">
        <v>1781.44</v>
      </c>
      <c r="I29" s="2"/>
      <c r="J29" s="7">
        <f t="shared" si="13"/>
        <v>4.6154237968384464E-3</v>
      </c>
      <c r="K29" s="2"/>
      <c r="L29" s="6">
        <f t="shared" si="14"/>
        <v>51.460000000000036</v>
      </c>
      <c r="M29" s="2"/>
      <c r="N29" s="7">
        <f t="shared" si="15"/>
        <v>2.8886743308783925E-2</v>
      </c>
      <c r="O29" s="11"/>
      <c r="P29" s="6">
        <v>4964.6000000000004</v>
      </c>
      <c r="Q29" s="2"/>
      <c r="R29" s="7">
        <f t="shared" si="16"/>
        <v>5.772527376454676E-3</v>
      </c>
      <c r="S29" s="2"/>
      <c r="T29" s="6">
        <v>4714.55</v>
      </c>
      <c r="U29" s="2"/>
      <c r="V29" s="7">
        <f t="shared" si="17"/>
        <v>5.8153168455564314E-3</v>
      </c>
      <c r="W29" s="2"/>
      <c r="X29" s="6">
        <f t="shared" si="18"/>
        <v>250.05000000000018</v>
      </c>
      <c r="Y29" s="2"/>
      <c r="Z29" s="7">
        <f t="shared" si="19"/>
        <v>5.3037935752086665E-2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6">
        <v>507.48</v>
      </c>
      <c r="E30" s="2"/>
      <c r="F30" s="7">
        <f t="shared" si="12"/>
        <v>1.2881988541609793E-3</v>
      </c>
      <c r="G30" s="2"/>
      <c r="H30" s="6">
        <v>477.91</v>
      </c>
      <c r="I30" s="2"/>
      <c r="J30" s="7">
        <f t="shared" si="13"/>
        <v>1.2381877507786183E-3</v>
      </c>
      <c r="K30" s="2"/>
      <c r="L30" s="6">
        <f t="shared" si="14"/>
        <v>29.569999999999993</v>
      </c>
      <c r="M30" s="2"/>
      <c r="N30" s="7">
        <f t="shared" si="15"/>
        <v>6.1873574522399596E-2</v>
      </c>
      <c r="O30" s="11"/>
      <c r="P30" s="6">
        <v>1818.23</v>
      </c>
      <c r="Q30" s="2"/>
      <c r="R30" s="7">
        <f t="shared" si="16"/>
        <v>2.1141244917397546E-3</v>
      </c>
      <c r="S30" s="2"/>
      <c r="T30" s="6">
        <v>1790.13</v>
      </c>
      <c r="U30" s="2"/>
      <c r="V30" s="7">
        <f t="shared" si="17"/>
        <v>2.208094758722664E-3</v>
      </c>
      <c r="W30" s="2"/>
      <c r="X30" s="6">
        <f t="shared" si="18"/>
        <v>28.099999999999909</v>
      </c>
      <c r="Y30" s="2"/>
      <c r="Z30" s="7">
        <f t="shared" si="19"/>
        <v>1.5697184003396349E-2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>
        <v>3225.9</v>
      </c>
      <c r="E31" s="2"/>
      <c r="F31" s="7">
        <f t="shared" si="12"/>
        <v>8.188698438633844E-3</v>
      </c>
      <c r="G31" s="2"/>
      <c r="H31" s="6">
        <v>3096.33</v>
      </c>
      <c r="I31" s="2"/>
      <c r="J31" s="7">
        <f t="shared" si="13"/>
        <v>8.0220917711877945E-3</v>
      </c>
      <c r="K31" s="2"/>
      <c r="L31" s="6">
        <f t="shared" si="14"/>
        <v>129.57000000000016</v>
      </c>
      <c r="M31" s="2"/>
      <c r="N31" s="7">
        <f t="shared" si="15"/>
        <v>4.1846314830783597E-2</v>
      </c>
      <c r="O31" s="11"/>
      <c r="P31" s="6">
        <v>10003.65</v>
      </c>
      <c r="Q31" s="2"/>
      <c r="R31" s="7">
        <f t="shared" si="16"/>
        <v>1.1631620571540671E-2</v>
      </c>
      <c r="S31" s="2"/>
      <c r="T31" s="6">
        <v>9783.68</v>
      </c>
      <c r="U31" s="2"/>
      <c r="V31" s="7">
        <f t="shared" si="17"/>
        <v>1.2068002060755225E-2</v>
      </c>
      <c r="W31" s="2"/>
      <c r="X31" s="6">
        <f t="shared" si="18"/>
        <v>219.96999999999935</v>
      </c>
      <c r="Y31" s="2"/>
      <c r="Z31" s="7">
        <f t="shared" si="19"/>
        <v>2.2483360044482172E-2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>
        <v>2455.6799999999998</v>
      </c>
      <c r="E32" s="2"/>
      <c r="F32" s="7">
        <f t="shared" si="12"/>
        <v>6.2335543512769629E-3</v>
      </c>
      <c r="G32" s="2"/>
      <c r="H32" s="6">
        <v>2022.48</v>
      </c>
      <c r="I32" s="2"/>
      <c r="J32" s="7">
        <f t="shared" si="13"/>
        <v>5.2399195710379357E-3</v>
      </c>
      <c r="K32" s="2"/>
      <c r="L32" s="6">
        <f t="shared" si="14"/>
        <v>433.19999999999982</v>
      </c>
      <c r="M32" s="2"/>
      <c r="N32" s="7">
        <f t="shared" si="15"/>
        <v>0.21419247656342699</v>
      </c>
      <c r="O32" s="11"/>
      <c r="P32" s="6">
        <v>7864.14</v>
      </c>
      <c r="Q32" s="2"/>
      <c r="R32" s="7">
        <f t="shared" si="16"/>
        <v>9.1439317250679355E-3</v>
      </c>
      <c r="S32" s="2"/>
      <c r="T32" s="6">
        <v>8755.58</v>
      </c>
      <c r="U32" s="2"/>
      <c r="V32" s="7">
        <f t="shared" si="17"/>
        <v>1.0799858282681695E-2</v>
      </c>
      <c r="W32" s="2"/>
      <c r="X32" s="6">
        <f t="shared" si="18"/>
        <v>-891.4399999999996</v>
      </c>
      <c r="Y32" s="2"/>
      <c r="Z32" s="7">
        <f t="shared" si="19"/>
        <v>-0.10181392894588361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>
        <v>1280.02</v>
      </c>
      <c r="E33" s="2"/>
      <c r="F33" s="7">
        <f t="shared" si="12"/>
        <v>3.2492320826498318E-3</v>
      </c>
      <c r="G33" s="2"/>
      <c r="H33" s="6">
        <v>1242.1199999999999</v>
      </c>
      <c r="I33" s="2"/>
      <c r="J33" s="7">
        <f t="shared" si="13"/>
        <v>3.2181326379383925E-3</v>
      </c>
      <c r="K33" s="2"/>
      <c r="L33" s="6">
        <f t="shared" si="14"/>
        <v>37.900000000000091</v>
      </c>
      <c r="M33" s="2"/>
      <c r="N33" s="7">
        <f t="shared" si="15"/>
        <v>3.0512349853476391E-2</v>
      </c>
      <c r="O33" s="11"/>
      <c r="P33" s="6">
        <v>4429.16</v>
      </c>
      <c r="Q33" s="2"/>
      <c r="R33" s="7">
        <f t="shared" si="16"/>
        <v>5.1499511249039178E-3</v>
      </c>
      <c r="S33" s="2"/>
      <c r="T33" s="6">
        <v>4804.45</v>
      </c>
      <c r="U33" s="2"/>
      <c r="V33" s="7">
        <f t="shared" si="17"/>
        <v>5.9262069590170002E-3</v>
      </c>
      <c r="W33" s="2"/>
      <c r="X33" s="6">
        <f t="shared" si="18"/>
        <v>-375.28999999999996</v>
      </c>
      <c r="Y33" s="2"/>
      <c r="Z33" s="7">
        <f t="shared" si="19"/>
        <v>-7.8112999406799943E-2</v>
      </c>
    </row>
    <row r="34" spans="1:26" s="27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100953.88</v>
      </c>
      <c r="E34" s="1"/>
      <c r="F34" s="5">
        <f t="shared" ref="F34:F40" si="20">IF(D$12=0,0,D34/D$12)</f>
        <v>0.25626364100871957</v>
      </c>
      <c r="G34" s="1"/>
      <c r="H34" s="1">
        <f>SUM(OSRRefH22_1x_0)</f>
        <v>83269.260000000009</v>
      </c>
      <c r="I34" s="1"/>
      <c r="J34" s="5">
        <f t="shared" ref="J34:J40" si="21">IF(H$12=0,0,H34/H$12)</f>
        <v>0.21573722614801946</v>
      </c>
      <c r="K34" s="1"/>
      <c r="L34" s="1">
        <f t="shared" ref="L34:L40" si="22">+D34-H34</f>
        <v>17684.619999999995</v>
      </c>
      <c r="M34" s="1"/>
      <c r="N34" s="5">
        <f t="shared" ref="N34:N40" si="23">IF(H34=0,0,L34/H34)</f>
        <v>0.21237873376081393</v>
      </c>
      <c r="O34" s="13"/>
      <c r="P34" s="1">
        <f>SUM(OSRRefP22_1x_0)</f>
        <v>267368.66000000003</v>
      </c>
      <c r="Q34" s="1"/>
      <c r="R34" s="5">
        <f t="shared" ref="R34:R40" si="24">IF(P$12=0,0,P34/P$12)</f>
        <v>0.31087960952664917</v>
      </c>
      <c r="S34" s="1"/>
      <c r="T34" s="1">
        <f>SUM(OSRRefT22_1x_0)</f>
        <v>221865.53999999998</v>
      </c>
      <c r="U34" s="1"/>
      <c r="V34" s="5">
        <f t="shared" ref="V34:V40" si="25">IF(T$12=0,0,T34/T$12)</f>
        <v>0.27366735154160504</v>
      </c>
      <c r="W34" s="1"/>
      <c r="X34" s="1">
        <f t="shared" ref="X34:X40" si="26">+P34-T34</f>
        <v>45503.120000000054</v>
      </c>
      <c r="Y34" s="1"/>
      <c r="Z34" s="5">
        <f t="shared" ref="Z34:Z40" si="27">IF(T34=0,0,X34/T34)</f>
        <v>0.20509322898905372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10827.1</v>
      </c>
      <c r="E35" s="2"/>
      <c r="F35" s="7">
        <f t="shared" si="20"/>
        <v>2.7483758599129694E-2</v>
      </c>
      <c r="G35" s="2"/>
      <c r="H35" s="6">
        <v>10969.92</v>
      </c>
      <c r="I35" s="2"/>
      <c r="J35" s="7">
        <f t="shared" si="21"/>
        <v>2.8421293906847271E-2</v>
      </c>
      <c r="K35" s="2"/>
      <c r="L35" s="6">
        <f t="shared" si="22"/>
        <v>-142.81999999999971</v>
      </c>
      <c r="M35" s="2"/>
      <c r="N35" s="7">
        <f t="shared" si="23"/>
        <v>-1.3019238061900151E-2</v>
      </c>
      <c r="O35" s="11"/>
      <c r="P35" s="6">
        <v>40841.24</v>
      </c>
      <c r="Q35" s="2"/>
      <c r="R35" s="7">
        <f t="shared" si="24"/>
        <v>4.7487647743696522E-2</v>
      </c>
      <c r="S35" s="2"/>
      <c r="T35" s="6">
        <v>38038.94</v>
      </c>
      <c r="U35" s="2"/>
      <c r="V35" s="7">
        <f t="shared" si="25"/>
        <v>4.6920382341710316E-2</v>
      </c>
      <c r="W35" s="2"/>
      <c r="X35" s="6">
        <f t="shared" si="26"/>
        <v>2802.2999999999956</v>
      </c>
      <c r="Y35" s="2"/>
      <c r="Z35" s="7">
        <f t="shared" si="27"/>
        <v>7.3669245252364957E-2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35167.910000000003</v>
      </c>
      <c r="E36" s="2"/>
      <c r="F36" s="7">
        <f t="shared" si="20"/>
        <v>8.9271028149358486E-2</v>
      </c>
      <c r="G36" s="2"/>
      <c r="H36" s="6">
        <v>26206.649999999998</v>
      </c>
      <c r="I36" s="2"/>
      <c r="J36" s="7">
        <f t="shared" si="21"/>
        <v>6.7897204534206182E-2</v>
      </c>
      <c r="K36" s="2"/>
      <c r="L36" s="6">
        <f t="shared" si="22"/>
        <v>8961.2600000000057</v>
      </c>
      <c r="M36" s="2"/>
      <c r="N36" s="7">
        <f t="shared" si="23"/>
        <v>0.341946032781756</v>
      </c>
      <c r="O36" s="11"/>
      <c r="P36" s="6">
        <v>85270.099999999991</v>
      </c>
      <c r="Q36" s="2"/>
      <c r="R36" s="7">
        <f t="shared" si="24"/>
        <v>9.9146756363660271E-2</v>
      </c>
      <c r="S36" s="2"/>
      <c r="T36" s="6">
        <v>77012.88</v>
      </c>
      <c r="U36" s="2"/>
      <c r="V36" s="7">
        <f t="shared" si="25"/>
        <v>9.4994071202726876E-2</v>
      </c>
      <c r="W36" s="2"/>
      <c r="X36" s="6">
        <f t="shared" si="26"/>
        <v>8257.2199999999866</v>
      </c>
      <c r="Y36" s="2"/>
      <c r="Z36" s="7">
        <f t="shared" si="27"/>
        <v>0.1072186886141641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24317.649999999998</v>
      </c>
      <c r="E37" s="2"/>
      <c r="F37" s="7">
        <f t="shared" si="20"/>
        <v>6.1728479675825121E-2</v>
      </c>
      <c r="G37" s="2"/>
      <c r="H37" s="6">
        <v>16683.759999999998</v>
      </c>
      <c r="I37" s="2"/>
      <c r="J37" s="7">
        <f t="shared" si="21"/>
        <v>4.3224932035174565E-2</v>
      </c>
      <c r="K37" s="2"/>
      <c r="L37" s="6">
        <f t="shared" si="22"/>
        <v>7633.8899999999994</v>
      </c>
      <c r="M37" s="2"/>
      <c r="N37" s="7">
        <f t="shared" si="23"/>
        <v>0.45756412223623455</v>
      </c>
      <c r="O37" s="11"/>
      <c r="P37" s="6">
        <v>46900.780000000006</v>
      </c>
      <c r="Q37" s="2"/>
      <c r="R37" s="7">
        <f t="shared" si="24"/>
        <v>5.4533303091302013E-2</v>
      </c>
      <c r="S37" s="2"/>
      <c r="T37" s="6">
        <v>33067.369999999995</v>
      </c>
      <c r="U37" s="2"/>
      <c r="V37" s="7">
        <f t="shared" si="25"/>
        <v>4.0788035719050035E-2</v>
      </c>
      <c r="W37" s="2"/>
      <c r="X37" s="6">
        <f t="shared" si="26"/>
        <v>13833.410000000011</v>
      </c>
      <c r="Y37" s="2"/>
      <c r="Z37" s="7">
        <f t="shared" si="27"/>
        <v>0.41834019457852295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>
        <v>3497.06</v>
      </c>
      <c r="E38" s="2"/>
      <c r="F38" s="7">
        <f t="shared" si="20"/>
        <v>8.8770171926621615E-3</v>
      </c>
      <c r="G38" s="2"/>
      <c r="H38" s="6"/>
      <c r="I38" s="2"/>
      <c r="J38" s="7">
        <f t="shared" si="21"/>
        <v>0</v>
      </c>
      <c r="K38" s="2"/>
      <c r="L38" s="6">
        <f t="shared" si="22"/>
        <v>3497.06</v>
      </c>
      <c r="M38" s="2"/>
      <c r="N38" s="7">
        <f t="shared" si="23"/>
        <v>0</v>
      </c>
      <c r="O38" s="11"/>
      <c r="P38" s="6">
        <v>7804.22</v>
      </c>
      <c r="Q38" s="2"/>
      <c r="R38" s="7">
        <f t="shared" si="24"/>
        <v>9.074260484606033E-3</v>
      </c>
      <c r="S38" s="2"/>
      <c r="T38" s="6"/>
      <c r="U38" s="2"/>
      <c r="V38" s="7">
        <f t="shared" si="25"/>
        <v>0</v>
      </c>
      <c r="W38" s="2"/>
      <c r="X38" s="6">
        <f t="shared" si="26"/>
        <v>7804.22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14526.16</v>
      </c>
      <c r="E39" s="2"/>
      <c r="F39" s="7">
        <f t="shared" si="20"/>
        <v>3.6873537217937749E-2</v>
      </c>
      <c r="G39" s="2"/>
      <c r="H39" s="6">
        <v>18806.3</v>
      </c>
      <c r="I39" s="2"/>
      <c r="J39" s="7">
        <f t="shared" si="21"/>
        <v>4.872409093232602E-2</v>
      </c>
      <c r="K39" s="2"/>
      <c r="L39" s="6">
        <f t="shared" si="22"/>
        <v>-4280.1399999999994</v>
      </c>
      <c r="M39" s="2"/>
      <c r="N39" s="7">
        <f t="shared" si="23"/>
        <v>-0.22759075416216903</v>
      </c>
      <c r="O39" s="11"/>
      <c r="P39" s="6">
        <v>59127.82</v>
      </c>
      <c r="Q39" s="2"/>
      <c r="R39" s="7">
        <f t="shared" si="24"/>
        <v>6.8750142944060816E-2</v>
      </c>
      <c r="S39" s="2"/>
      <c r="T39" s="6">
        <v>54228.21</v>
      </c>
      <c r="U39" s="2"/>
      <c r="V39" s="7">
        <f t="shared" si="25"/>
        <v>6.6889570185356337E-2</v>
      </c>
      <c r="W39" s="2"/>
      <c r="X39" s="6">
        <f t="shared" si="26"/>
        <v>4899.6100000000006</v>
      </c>
      <c r="Y39" s="2"/>
      <c r="Z39" s="7">
        <f t="shared" si="27"/>
        <v>9.0351682270168987E-2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>
        <v>12618</v>
      </c>
      <c r="E40" s="2"/>
      <c r="F40" s="7">
        <f t="shared" si="20"/>
        <v>3.2029820173806324E-2</v>
      </c>
      <c r="G40" s="2"/>
      <c r="H40" s="6">
        <v>10602.63</v>
      </c>
      <c r="I40" s="2"/>
      <c r="J40" s="7">
        <f t="shared" si="21"/>
        <v>2.7469704739465382E-2</v>
      </c>
      <c r="K40" s="2"/>
      <c r="L40" s="6">
        <f t="shared" si="22"/>
        <v>2015.3700000000008</v>
      </c>
      <c r="M40" s="2"/>
      <c r="N40" s="7">
        <f t="shared" si="23"/>
        <v>0.19008208340760746</v>
      </c>
      <c r="O40" s="11"/>
      <c r="P40" s="6">
        <v>27424.5</v>
      </c>
      <c r="Q40" s="2"/>
      <c r="R40" s="7">
        <f t="shared" si="24"/>
        <v>3.1887498899323463E-2</v>
      </c>
      <c r="S40" s="2"/>
      <c r="T40" s="6">
        <v>19518.14</v>
      </c>
      <c r="U40" s="2"/>
      <c r="V40" s="7">
        <f t="shared" si="25"/>
        <v>2.4075292092761515E-2</v>
      </c>
      <c r="W40" s="2"/>
      <c r="X40" s="6">
        <f t="shared" si="26"/>
        <v>7906.3600000000006</v>
      </c>
      <c r="Y40" s="2"/>
      <c r="Z40" s="7">
        <f t="shared" si="27"/>
        <v>0.40507753300263244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103.5</v>
      </c>
      <c r="E41" s="1"/>
      <c r="F41" s="5">
        <f t="shared" ref="F41:F61" si="28">IF(D$12=0,0,D41/D$12)</f>
        <v>2.6272677032722737E-4</v>
      </c>
      <c r="G41" s="1"/>
      <c r="H41" s="1">
        <f>SUM(OSRRefH22_2x_0)</f>
        <v>291.33999999999997</v>
      </c>
      <c r="I41" s="1"/>
      <c r="J41" s="5">
        <f t="shared" ref="J41:J61" si="29">IF(H$12=0,0,H41/H$12)</f>
        <v>7.5481496372087342E-4</v>
      </c>
      <c r="K41" s="1"/>
      <c r="L41" s="1">
        <f t="shared" ref="L41:L61" si="30">+D41-H41</f>
        <v>-187.83999999999997</v>
      </c>
      <c r="M41" s="1"/>
      <c r="N41" s="5">
        <f t="shared" ref="N41:N61" si="31">IF(H41=0,0,L41/H41)</f>
        <v>-0.64474497151094934</v>
      </c>
      <c r="O41" s="13"/>
      <c r="P41" s="1">
        <f>SUM(OSRRefP22_2x_0)</f>
        <v>2755.31</v>
      </c>
      <c r="Q41" s="1"/>
      <c r="R41" s="5">
        <f t="shared" ref="R41:R61" si="32">IF(P$12=0,0,P41/P$12)</f>
        <v>3.2037026962130548E-3</v>
      </c>
      <c r="S41" s="1"/>
      <c r="T41" s="1">
        <f>SUM(OSRRefT22_2x_0)</f>
        <v>3098.46</v>
      </c>
      <c r="U41" s="1"/>
      <c r="V41" s="5">
        <f t="shared" ref="V41:V61" si="33">IF(T$12=0,0,T41/T$12)</f>
        <v>3.821897452202815E-3</v>
      </c>
      <c r="W41" s="1"/>
      <c r="X41" s="1">
        <f t="shared" ref="X41:X61" si="34">+P41-T41</f>
        <v>-343.15000000000009</v>
      </c>
      <c r="Y41" s="1"/>
      <c r="Z41" s="5">
        <f t="shared" ref="Z41:Z61" si="35">IF(T41=0,0,X41/T41)</f>
        <v>-0.11074856541636816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>
        <v>103.5</v>
      </c>
      <c r="E42" s="2"/>
      <c r="F42" s="7">
        <f t="shared" si="28"/>
        <v>2.6272677032722737E-4</v>
      </c>
      <c r="G42" s="2"/>
      <c r="H42" s="6">
        <v>291.33999999999997</v>
      </c>
      <c r="I42" s="2"/>
      <c r="J42" s="7">
        <f t="shared" si="29"/>
        <v>7.5481496372087342E-4</v>
      </c>
      <c r="K42" s="2"/>
      <c r="L42" s="6">
        <f t="shared" si="30"/>
        <v>-187.83999999999997</v>
      </c>
      <c r="M42" s="2"/>
      <c r="N42" s="7">
        <f t="shared" si="31"/>
        <v>-0.64474497151094934</v>
      </c>
      <c r="O42" s="11"/>
      <c r="P42" s="6">
        <v>2755.31</v>
      </c>
      <c r="Q42" s="2"/>
      <c r="R42" s="7">
        <f t="shared" si="32"/>
        <v>3.2037026962130548E-3</v>
      </c>
      <c r="S42" s="2"/>
      <c r="T42" s="6">
        <v>3098.46</v>
      </c>
      <c r="U42" s="2"/>
      <c r="V42" s="7">
        <f t="shared" si="33"/>
        <v>3.821897452202815E-3</v>
      </c>
      <c r="W42" s="2"/>
      <c r="X42" s="6">
        <f t="shared" si="34"/>
        <v>-343.15000000000009</v>
      </c>
      <c r="Y42" s="2"/>
      <c r="Z42" s="7">
        <f t="shared" si="35"/>
        <v>-0.11074856541636816</v>
      </c>
    </row>
    <row r="43" spans="1:26" s="27" customFormat="1" outlineLevel="1" collapsed="1" x14ac:dyDescent="0.25">
      <c r="A43" s="25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13.33</v>
      </c>
      <c r="Q43" s="1"/>
      <c r="R43" s="5">
        <f t="shared" si="32"/>
        <v>1.5499292979926041E-5</v>
      </c>
      <c r="S43" s="1"/>
      <c r="T43" s="1">
        <f>SUM(OSRRefT22_3x_0)</f>
        <v>36.64</v>
      </c>
      <c r="U43" s="1"/>
      <c r="V43" s="5">
        <f t="shared" si="33"/>
        <v>4.5194813761904671E-5</v>
      </c>
      <c r="W43" s="1"/>
      <c r="X43" s="1">
        <f t="shared" si="34"/>
        <v>-23.310000000000002</v>
      </c>
      <c r="Y43" s="1"/>
      <c r="Z43" s="5">
        <f t="shared" si="35"/>
        <v>-0.6361899563318778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13.33</v>
      </c>
      <c r="Q44" s="2"/>
      <c r="R44" s="7">
        <f t="shared" si="32"/>
        <v>1.5499292979926041E-5</v>
      </c>
      <c r="S44" s="2"/>
      <c r="T44" s="6">
        <v>36.64</v>
      </c>
      <c r="U44" s="2"/>
      <c r="V44" s="7">
        <f t="shared" si="33"/>
        <v>4.5194813761904671E-5</v>
      </c>
      <c r="W44" s="2"/>
      <c r="X44" s="6">
        <f t="shared" si="34"/>
        <v>-23.310000000000002</v>
      </c>
      <c r="Y44" s="2"/>
      <c r="Z44" s="7">
        <f t="shared" si="35"/>
        <v>-0.6361899563318778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19.829999999999998</v>
      </c>
      <c r="E45" s="1"/>
      <c r="F45" s="5">
        <f t="shared" si="28"/>
        <v>5.0336926140955729E-5</v>
      </c>
      <c r="G45" s="1"/>
      <c r="H45" s="1">
        <f>SUM(OSRRefH22_4x_0)</f>
        <v>42.36</v>
      </c>
      <c r="I45" s="1"/>
      <c r="J45" s="5">
        <f t="shared" si="29"/>
        <v>1.0974792978381341E-4</v>
      </c>
      <c r="K45" s="1"/>
      <c r="L45" s="1">
        <f t="shared" si="30"/>
        <v>-22.53</v>
      </c>
      <c r="M45" s="1"/>
      <c r="N45" s="5">
        <f t="shared" si="31"/>
        <v>-0.53186968838526916</v>
      </c>
      <c r="O45" s="13"/>
      <c r="P45" s="1">
        <f>SUM(OSRRefP22_4x_0)</f>
        <v>33.630000000000003</v>
      </c>
      <c r="Q45" s="1"/>
      <c r="R45" s="5">
        <f t="shared" si="32"/>
        <v>3.9102867435477329E-5</v>
      </c>
      <c r="S45" s="1"/>
      <c r="T45" s="1">
        <f>SUM(OSRRefT22_4x_0)</f>
        <v>72.87</v>
      </c>
      <c r="U45" s="1"/>
      <c r="V45" s="5">
        <f t="shared" si="33"/>
        <v>8.9883899531386288E-5</v>
      </c>
      <c r="W45" s="1"/>
      <c r="X45" s="1">
        <f t="shared" si="34"/>
        <v>-39.24</v>
      </c>
      <c r="Y45" s="1"/>
      <c r="Z45" s="5">
        <f t="shared" si="35"/>
        <v>-0.53849320708110338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19.829999999999998</v>
      </c>
      <c r="E46" s="2"/>
      <c r="F46" s="7">
        <f t="shared" si="28"/>
        <v>5.0336926140955729E-5</v>
      </c>
      <c r="G46" s="2"/>
      <c r="H46" s="6">
        <v>42.36</v>
      </c>
      <c r="I46" s="2"/>
      <c r="J46" s="7">
        <f t="shared" si="29"/>
        <v>1.0974792978381341E-4</v>
      </c>
      <c r="K46" s="2"/>
      <c r="L46" s="6">
        <f t="shared" si="30"/>
        <v>-22.53</v>
      </c>
      <c r="M46" s="2"/>
      <c r="N46" s="7">
        <f t="shared" si="31"/>
        <v>-0.53186968838526916</v>
      </c>
      <c r="O46" s="11"/>
      <c r="P46" s="6">
        <v>33.630000000000003</v>
      </c>
      <c r="Q46" s="2"/>
      <c r="R46" s="7">
        <f t="shared" si="32"/>
        <v>3.9102867435477329E-5</v>
      </c>
      <c r="S46" s="2"/>
      <c r="T46" s="6">
        <v>72.87</v>
      </c>
      <c r="U46" s="2"/>
      <c r="V46" s="7">
        <f t="shared" si="33"/>
        <v>8.9883899531386288E-5</v>
      </c>
      <c r="W46" s="2"/>
      <c r="X46" s="6">
        <f t="shared" si="34"/>
        <v>-39.24</v>
      </c>
      <c r="Y46" s="2"/>
      <c r="Z46" s="7">
        <f t="shared" si="35"/>
        <v>-0.53849320708110338</v>
      </c>
    </row>
    <row r="47" spans="1:26" s="27" customFormat="1" outlineLevel="1" collapsed="1" x14ac:dyDescent="0.25">
      <c r="A47" s="25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4007.34</v>
      </c>
      <c r="E47" s="1"/>
      <c r="F47" s="5">
        <f t="shared" si="28"/>
        <v>1.0172323630947935E-2</v>
      </c>
      <c r="G47" s="1"/>
      <c r="H47" s="1">
        <f>SUM(OSRRefH22_5x_0)</f>
        <v>3515.23</v>
      </c>
      <c r="I47" s="1"/>
      <c r="J47" s="5">
        <f t="shared" si="29"/>
        <v>9.1073941268638905E-3</v>
      </c>
      <c r="K47" s="1"/>
      <c r="L47" s="1">
        <f t="shared" si="30"/>
        <v>492.11000000000013</v>
      </c>
      <c r="M47" s="1"/>
      <c r="N47" s="5">
        <f t="shared" si="31"/>
        <v>0.13999368462376577</v>
      </c>
      <c r="O47" s="13"/>
      <c r="P47" s="1">
        <f>SUM(OSRRefP22_5x_0)</f>
        <v>9040.27</v>
      </c>
      <c r="Q47" s="1"/>
      <c r="R47" s="5">
        <f t="shared" si="32"/>
        <v>1.0511462366664366E-2</v>
      </c>
      <c r="S47" s="1"/>
      <c r="T47" s="1">
        <f>SUM(OSRRefT22_5x_0)</f>
        <v>7249.61</v>
      </c>
      <c r="U47" s="1"/>
      <c r="V47" s="5">
        <f t="shared" si="33"/>
        <v>8.9422700271954616E-3</v>
      </c>
      <c r="W47" s="1"/>
      <c r="X47" s="1">
        <f t="shared" si="34"/>
        <v>1790.6600000000008</v>
      </c>
      <c r="Y47" s="1"/>
      <c r="Z47" s="5">
        <f t="shared" si="35"/>
        <v>0.24700087315041785</v>
      </c>
    </row>
    <row r="48" spans="1:26" s="24" customFormat="1" hidden="1" outlineLevel="2" x14ac:dyDescent="0.25">
      <c r="A48" s="26"/>
      <c r="B48" s="11" t="str">
        <f>CONCATENATE("          ", "6399", " - ", "DONATION-ON CAMPUS")</f>
        <v xml:space="preserve">          6399 - DONATION-ON CAMPUS</v>
      </c>
      <c r="C48" s="11"/>
      <c r="D48" s="6">
        <v>4007.34</v>
      </c>
      <c r="E48" s="2"/>
      <c r="F48" s="7">
        <f t="shared" si="28"/>
        <v>1.0172323630947935E-2</v>
      </c>
      <c r="G48" s="2"/>
      <c r="H48" s="6">
        <v>3515.23</v>
      </c>
      <c r="I48" s="2"/>
      <c r="J48" s="7">
        <f t="shared" si="29"/>
        <v>9.1073941268638905E-3</v>
      </c>
      <c r="K48" s="2"/>
      <c r="L48" s="6">
        <f t="shared" si="30"/>
        <v>492.11000000000013</v>
      </c>
      <c r="M48" s="2"/>
      <c r="N48" s="7">
        <f t="shared" si="31"/>
        <v>0.13999368462376577</v>
      </c>
      <c r="O48" s="11"/>
      <c r="P48" s="6">
        <v>9040.27</v>
      </c>
      <c r="Q48" s="2"/>
      <c r="R48" s="7">
        <f t="shared" si="32"/>
        <v>1.0511462366664366E-2</v>
      </c>
      <c r="S48" s="2"/>
      <c r="T48" s="6">
        <v>7249.61</v>
      </c>
      <c r="U48" s="2"/>
      <c r="V48" s="7">
        <f t="shared" si="33"/>
        <v>8.9422700271954616E-3</v>
      </c>
      <c r="W48" s="2"/>
      <c r="X48" s="6">
        <f t="shared" si="34"/>
        <v>1790.6600000000008</v>
      </c>
      <c r="Y48" s="2"/>
      <c r="Z48" s="7">
        <f t="shared" si="35"/>
        <v>0.24700087315041785</v>
      </c>
    </row>
    <row r="49" spans="1:26" s="27" customFormat="1" outlineLevel="1" collapsed="1" x14ac:dyDescent="0.25">
      <c r="A49" s="25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SUM(OSRRefP22_6x_0)</f>
        <v>21.34</v>
      </c>
      <c r="Q49" s="1"/>
      <c r="R49" s="5">
        <f t="shared" si="32"/>
        <v>2.4812821619776574E-5</v>
      </c>
      <c r="S49" s="1"/>
      <c r="T49" s="1">
        <f>SUM(OSRRefT22_6x_0)</f>
        <v>37.21</v>
      </c>
      <c r="U49" s="1"/>
      <c r="V49" s="5">
        <f t="shared" si="33"/>
        <v>4.5897899019663555E-5</v>
      </c>
      <c r="W49" s="1"/>
      <c r="X49" s="1">
        <f t="shared" si="34"/>
        <v>-15.870000000000001</v>
      </c>
      <c r="Y49" s="1"/>
      <c r="Z49" s="5">
        <f t="shared" si="35"/>
        <v>-0.4264982531577533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21.34</v>
      </c>
      <c r="Q50" s="2"/>
      <c r="R50" s="7">
        <f t="shared" si="32"/>
        <v>2.4812821619776574E-5</v>
      </c>
      <c r="S50" s="2"/>
      <c r="T50" s="6">
        <v>37.21</v>
      </c>
      <c r="U50" s="2"/>
      <c r="V50" s="7">
        <f t="shared" si="33"/>
        <v>4.5897899019663555E-5</v>
      </c>
      <c r="W50" s="2"/>
      <c r="X50" s="6">
        <f t="shared" si="34"/>
        <v>-15.870000000000001</v>
      </c>
      <c r="Y50" s="2"/>
      <c r="Z50" s="7">
        <f t="shared" si="35"/>
        <v>-0.4264982531577533</v>
      </c>
    </row>
    <row r="51" spans="1:26" s="27" customFormat="1" outlineLevel="1" collapsed="1" x14ac:dyDescent="0.25">
      <c r="A51" s="25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SUM(OSRRefP22_7x_0)</f>
        <v>0.01</v>
      </c>
      <c r="Q51" s="1"/>
      <c r="R51" s="5">
        <f t="shared" si="32"/>
        <v>1.1627376579089304E-8</v>
      </c>
      <c r="S51" s="1"/>
      <c r="T51" s="1">
        <f>SUM(OSRRefT22_7x_0)</f>
        <v>74.849999999999994</v>
      </c>
      <c r="U51" s="1"/>
      <c r="V51" s="5">
        <f t="shared" si="33"/>
        <v>9.2326195689917148E-5</v>
      </c>
      <c r="W51" s="1"/>
      <c r="X51" s="1">
        <f t="shared" si="34"/>
        <v>-74.839999999999989</v>
      </c>
      <c r="Y51" s="1"/>
      <c r="Z51" s="5">
        <f t="shared" si="35"/>
        <v>-0.99986639946559774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0.01</v>
      </c>
      <c r="Q52" s="2"/>
      <c r="R52" s="7">
        <f t="shared" si="32"/>
        <v>1.1627376579089304E-8</v>
      </c>
      <c r="S52" s="2"/>
      <c r="T52" s="6">
        <v>74.849999999999994</v>
      </c>
      <c r="U52" s="2"/>
      <c r="V52" s="7">
        <f t="shared" si="33"/>
        <v>9.2326195689917148E-5</v>
      </c>
      <c r="W52" s="2"/>
      <c r="X52" s="6">
        <f t="shared" si="34"/>
        <v>-74.839999999999989</v>
      </c>
      <c r="Y52" s="2"/>
      <c r="Z52" s="7">
        <f t="shared" si="35"/>
        <v>-0.99986639946559774</v>
      </c>
    </row>
    <row r="53" spans="1:26" s="27" customFormat="1" outlineLevel="1" collapsed="1" x14ac:dyDescent="0.25">
      <c r="A53" s="25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SUM(OSRRefP22_8x_0)</f>
        <v>1517.11</v>
      </c>
      <c r="Q53" s="1"/>
      <c r="R53" s="5">
        <f t="shared" si="32"/>
        <v>1.7640009281902173E-3</v>
      </c>
      <c r="S53" s="1"/>
      <c r="T53" s="1">
        <f>SUM(OSRRefT22_8x_0)</f>
        <v>1495.53</v>
      </c>
      <c r="U53" s="1"/>
      <c r="V53" s="5">
        <f t="shared" si="33"/>
        <v>1.8447106939230701E-3</v>
      </c>
      <c r="W53" s="1"/>
      <c r="X53" s="1">
        <f t="shared" si="34"/>
        <v>21.579999999999927</v>
      </c>
      <c r="Y53" s="1"/>
      <c r="Z53" s="5">
        <f t="shared" si="35"/>
        <v>1.4429667074548774E-2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1517.11</v>
      </c>
      <c r="Q54" s="2"/>
      <c r="R54" s="7">
        <f t="shared" si="32"/>
        <v>1.7640009281902173E-3</v>
      </c>
      <c r="S54" s="2"/>
      <c r="T54" s="6">
        <v>1495.53</v>
      </c>
      <c r="U54" s="2"/>
      <c r="V54" s="7">
        <f t="shared" si="33"/>
        <v>1.8447106939230701E-3</v>
      </c>
      <c r="W54" s="2"/>
      <c r="X54" s="6">
        <f t="shared" si="34"/>
        <v>21.579999999999927</v>
      </c>
      <c r="Y54" s="2"/>
      <c r="Z54" s="7">
        <f t="shared" si="35"/>
        <v>1.4429667074548774E-2</v>
      </c>
    </row>
    <row r="55" spans="1:26" s="27" customFormat="1" outlineLevel="1" collapsed="1" x14ac:dyDescent="0.25">
      <c r="A55" s="25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5.9</v>
      </c>
      <c r="E55" s="1"/>
      <c r="F55" s="5">
        <f t="shared" si="28"/>
        <v>1.4976695120102817E-5</v>
      </c>
      <c r="G55" s="1"/>
      <c r="H55" s="1">
        <f>SUM(OSRRefH22_9x_0)</f>
        <v>4.93</v>
      </c>
      <c r="I55" s="1"/>
      <c r="J55" s="5">
        <f t="shared" si="29"/>
        <v>1.2772835076350333E-5</v>
      </c>
      <c r="K55" s="1"/>
      <c r="L55" s="1">
        <f t="shared" si="30"/>
        <v>0.97000000000000064</v>
      </c>
      <c r="M55" s="1"/>
      <c r="N55" s="5">
        <f t="shared" si="31"/>
        <v>0.19675456389452348</v>
      </c>
      <c r="O55" s="13"/>
      <c r="P55" s="1">
        <f>SUM(OSRRefP22_9x_0)</f>
        <v>23.6</v>
      </c>
      <c r="Q55" s="1"/>
      <c r="R55" s="5">
        <f t="shared" si="32"/>
        <v>2.7440608726650759E-5</v>
      </c>
      <c r="S55" s="1"/>
      <c r="T55" s="1">
        <f>SUM(OSRRefT22_9x_0)</f>
        <v>19.72</v>
      </c>
      <c r="U55" s="1"/>
      <c r="V55" s="5">
        <f t="shared" si="33"/>
        <v>2.432428295264083E-5</v>
      </c>
      <c r="W55" s="1"/>
      <c r="X55" s="1">
        <f t="shared" si="34"/>
        <v>3.8800000000000026</v>
      </c>
      <c r="Y55" s="1"/>
      <c r="Z55" s="5">
        <f t="shared" si="35"/>
        <v>0.19675456389452348</v>
      </c>
    </row>
    <row r="56" spans="1:26" s="24" customFormat="1" hidden="1" outlineLevel="2" x14ac:dyDescent="0.25">
      <c r="A56" s="26"/>
      <c r="B56" s="11" t="str">
        <f>CONCATENATE("          ", "6314", " - ", "LIABILITY INSURANCE")</f>
        <v xml:space="preserve">          6314 - LIABILITY INSURANCE</v>
      </c>
      <c r="C56" s="11"/>
      <c r="D56" s="6">
        <v>5.9</v>
      </c>
      <c r="E56" s="2"/>
      <c r="F56" s="7">
        <f t="shared" si="28"/>
        <v>1.4976695120102817E-5</v>
      </c>
      <c r="G56" s="2"/>
      <c r="H56" s="6">
        <v>4.93</v>
      </c>
      <c r="I56" s="2"/>
      <c r="J56" s="7">
        <f t="shared" si="29"/>
        <v>1.2772835076350333E-5</v>
      </c>
      <c r="K56" s="2"/>
      <c r="L56" s="6">
        <f t="shared" si="30"/>
        <v>0.97000000000000064</v>
      </c>
      <c r="M56" s="2"/>
      <c r="N56" s="7">
        <f t="shared" si="31"/>
        <v>0.19675456389452348</v>
      </c>
      <c r="O56" s="11"/>
      <c r="P56" s="6">
        <v>23.6</v>
      </c>
      <c r="Q56" s="2"/>
      <c r="R56" s="7">
        <f t="shared" si="32"/>
        <v>2.7440608726650759E-5</v>
      </c>
      <c r="S56" s="2"/>
      <c r="T56" s="6">
        <v>19.72</v>
      </c>
      <c r="U56" s="2"/>
      <c r="V56" s="7">
        <f t="shared" si="33"/>
        <v>2.432428295264083E-5</v>
      </c>
      <c r="W56" s="2"/>
      <c r="X56" s="6">
        <f t="shared" si="34"/>
        <v>3.8800000000000026</v>
      </c>
      <c r="Y56" s="2"/>
      <c r="Z56" s="7">
        <f t="shared" si="35"/>
        <v>0.19675456389452348</v>
      </c>
    </row>
    <row r="57" spans="1:26" s="27" customFormat="1" outlineLevel="1" collapsed="1" x14ac:dyDescent="0.25">
      <c r="A57" s="25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31195.05</v>
      </c>
      <c r="E57" s="1"/>
      <c r="F57" s="5">
        <f t="shared" si="28"/>
        <v>7.9186229340061587E-2</v>
      </c>
      <c r="G57" s="1"/>
      <c r="H57" s="1">
        <f>SUM(OSRRefH22_10x_0)</f>
        <v>30596.809999999998</v>
      </c>
      <c r="I57" s="1"/>
      <c r="J57" s="5">
        <f t="shared" si="29"/>
        <v>7.9271401215502357E-2</v>
      </c>
      <c r="K57" s="1"/>
      <c r="L57" s="1">
        <f t="shared" si="30"/>
        <v>598.2400000000016</v>
      </c>
      <c r="M57" s="1"/>
      <c r="N57" s="5">
        <f t="shared" si="31"/>
        <v>1.9552365099498988E-2</v>
      </c>
      <c r="O57" s="13"/>
      <c r="P57" s="1">
        <f>SUM(OSRRefP22_10x_0)</f>
        <v>66348.179999999993</v>
      </c>
      <c r="Q57" s="1"/>
      <c r="R57" s="5">
        <f t="shared" si="32"/>
        <v>7.7145527419720125E-2</v>
      </c>
      <c r="S57" s="1"/>
      <c r="T57" s="1">
        <f>SUM(OSRRefT22_10x_0)</f>
        <v>61717.020000000004</v>
      </c>
      <c r="U57" s="1"/>
      <c r="V57" s="5">
        <f t="shared" si="33"/>
        <v>7.6126889324228869E-2</v>
      </c>
      <c r="W57" s="1"/>
      <c r="X57" s="1">
        <f t="shared" si="34"/>
        <v>4631.1599999999889</v>
      </c>
      <c r="Y57" s="1"/>
      <c r="Z57" s="5">
        <f t="shared" si="35"/>
        <v>7.5038619816705163E-2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6">
        <v>31195.05</v>
      </c>
      <c r="E58" s="2"/>
      <c r="F58" s="7">
        <f t="shared" si="28"/>
        <v>7.9186229340061587E-2</v>
      </c>
      <c r="G58" s="2"/>
      <c r="H58" s="6">
        <v>30596.809999999998</v>
      </c>
      <c r="I58" s="2"/>
      <c r="J58" s="7">
        <f t="shared" si="29"/>
        <v>7.9271401215502357E-2</v>
      </c>
      <c r="K58" s="2"/>
      <c r="L58" s="6">
        <f t="shared" si="30"/>
        <v>598.2400000000016</v>
      </c>
      <c r="M58" s="2"/>
      <c r="N58" s="7">
        <f t="shared" si="31"/>
        <v>1.9552365099498988E-2</v>
      </c>
      <c r="O58" s="11"/>
      <c r="P58" s="6">
        <v>66348.179999999993</v>
      </c>
      <c r="Q58" s="2"/>
      <c r="R58" s="7">
        <f t="shared" si="32"/>
        <v>7.7145527419720125E-2</v>
      </c>
      <c r="S58" s="2"/>
      <c r="T58" s="6">
        <v>61717.020000000004</v>
      </c>
      <c r="U58" s="2"/>
      <c r="V58" s="7">
        <f t="shared" si="33"/>
        <v>7.6126889324228869E-2</v>
      </c>
      <c r="W58" s="2"/>
      <c r="X58" s="6">
        <f t="shared" si="34"/>
        <v>4631.1599999999889</v>
      </c>
      <c r="Y58" s="2"/>
      <c r="Z58" s="7">
        <f t="shared" si="35"/>
        <v>7.5038619816705163E-2</v>
      </c>
    </row>
    <row r="59" spans="1:26" s="27" customFormat="1" outlineLevel="1" collapsed="1" x14ac:dyDescent="0.25">
      <c r="A59" s="25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68.48</v>
      </c>
      <c r="E59" s="1"/>
      <c r="F59" s="5">
        <f t="shared" si="28"/>
        <v>1.7383120030926117E-4</v>
      </c>
      <c r="G59" s="1"/>
      <c r="H59" s="1">
        <f>SUM(OSRRefH22_11x_0)</f>
        <v>540.22</v>
      </c>
      <c r="I59" s="1"/>
      <c r="J59" s="5">
        <f t="shared" si="29"/>
        <v>1.3996229137821455E-3</v>
      </c>
      <c r="K59" s="1"/>
      <c r="L59" s="1">
        <f t="shared" si="30"/>
        <v>-471.74</v>
      </c>
      <c r="M59" s="1"/>
      <c r="N59" s="5">
        <f t="shared" si="31"/>
        <v>-0.87323682943985781</v>
      </c>
      <c r="O59" s="13"/>
      <c r="P59" s="1">
        <f>SUM(OSRRefP22_11x_0)</f>
        <v>68.48</v>
      </c>
      <c r="Q59" s="1"/>
      <c r="R59" s="5">
        <f t="shared" si="32"/>
        <v>7.962427481360355E-5</v>
      </c>
      <c r="S59" s="1"/>
      <c r="T59" s="1">
        <f>SUM(OSRRefT22_11x_0)</f>
        <v>-7303.82</v>
      </c>
      <c r="U59" s="1"/>
      <c r="V59" s="5">
        <f t="shared" si="33"/>
        <v>-9.0091371356570554E-3</v>
      </c>
      <c r="W59" s="1"/>
      <c r="X59" s="1">
        <f t="shared" si="34"/>
        <v>7372.2999999999993</v>
      </c>
      <c r="Y59" s="1"/>
      <c r="Z59" s="5">
        <f t="shared" si="35"/>
        <v>-1.0093759156167594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>
        <v>540.22</v>
      </c>
      <c r="I60" s="2"/>
      <c r="J60" s="7">
        <f t="shared" si="29"/>
        <v>1.3996229137821455E-3</v>
      </c>
      <c r="K60" s="2"/>
      <c r="L60" s="6">
        <f t="shared" si="30"/>
        <v>-540.22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-7371.28</v>
      </c>
      <c r="U60" s="2"/>
      <c r="V60" s="7">
        <f t="shared" si="33"/>
        <v>-9.092347892654274E-3</v>
      </c>
      <c r="W60" s="2"/>
      <c r="X60" s="6">
        <f t="shared" si="34"/>
        <v>7371.28</v>
      </c>
      <c r="Y60" s="2"/>
      <c r="Z60" s="7">
        <f t="shared" si="35"/>
        <v>-1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>
        <v>68.48</v>
      </c>
      <c r="E61" s="2"/>
      <c r="F61" s="7">
        <f t="shared" si="28"/>
        <v>1.7383120030926117E-4</v>
      </c>
      <c r="G61" s="2"/>
      <c r="H61" s="6"/>
      <c r="I61" s="2"/>
      <c r="J61" s="7">
        <f t="shared" si="29"/>
        <v>0</v>
      </c>
      <c r="K61" s="2"/>
      <c r="L61" s="6">
        <f t="shared" si="30"/>
        <v>68.48</v>
      </c>
      <c r="M61" s="2"/>
      <c r="N61" s="7">
        <f t="shared" si="31"/>
        <v>0</v>
      </c>
      <c r="O61" s="11"/>
      <c r="P61" s="6">
        <v>68.48</v>
      </c>
      <c r="Q61" s="2"/>
      <c r="R61" s="7">
        <f t="shared" si="32"/>
        <v>7.962427481360355E-5</v>
      </c>
      <c r="S61" s="2"/>
      <c r="T61" s="6">
        <v>67.459999999999994</v>
      </c>
      <c r="U61" s="2"/>
      <c r="V61" s="7">
        <f t="shared" si="33"/>
        <v>8.3210756997218569E-5</v>
      </c>
      <c r="W61" s="2"/>
      <c r="X61" s="6">
        <f t="shared" si="34"/>
        <v>1.0200000000000102</v>
      </c>
      <c r="Y61" s="2"/>
      <c r="Z61" s="7">
        <f t="shared" si="35"/>
        <v>1.5120071153276168E-2</v>
      </c>
    </row>
    <row r="62" spans="1:26" s="27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6365.93</v>
      </c>
      <c r="E62" s="1"/>
      <c r="F62" s="5">
        <f t="shared" ref="F62:F65" si="36">IF(D$12=0,0,D62/D$12)</f>
        <v>1.6159422502697647E-2</v>
      </c>
      <c r="G62" s="1"/>
      <c r="H62" s="1">
        <f>SUM(OSRRefH22_12x_0)</f>
        <v>5287.52</v>
      </c>
      <c r="I62" s="1"/>
      <c r="J62" s="5">
        <f t="shared" ref="J62:J65" si="37">IF(H$12=0,0,H62/H$12)</f>
        <v>1.3699111749067733E-2</v>
      </c>
      <c r="K62" s="1"/>
      <c r="L62" s="1">
        <f t="shared" ref="L62:L65" si="38">+D62-H62</f>
        <v>1078.4099999999999</v>
      </c>
      <c r="M62" s="1"/>
      <c r="N62" s="5">
        <f t="shared" ref="N62:N65" si="39">IF(H62=0,0,L62/H62)</f>
        <v>0.20395383847247855</v>
      </c>
      <c r="O62" s="13"/>
      <c r="P62" s="1">
        <f>SUM(OSRRefP22_12x_0)</f>
        <v>25776.85</v>
      </c>
      <c r="Q62" s="1"/>
      <c r="R62" s="5">
        <f t="shared" ref="R62:R65" si="40">IF(P$12=0,0,P62/P$12)</f>
        <v>2.9971714197269812E-2</v>
      </c>
      <c r="S62" s="1"/>
      <c r="T62" s="1">
        <f>SUM(OSRRefT22_12x_0)</f>
        <v>11483.46</v>
      </c>
      <c r="U62" s="1"/>
      <c r="V62" s="5">
        <f t="shared" ref="V62:V65" si="41">IF(T$12=0,0,T62/T$12)</f>
        <v>1.4164651638708562E-2</v>
      </c>
      <c r="W62" s="1"/>
      <c r="X62" s="1">
        <f t="shared" ref="X62:X65" si="42">+P62-T62</f>
        <v>14293.39</v>
      </c>
      <c r="Y62" s="1"/>
      <c r="Z62" s="5">
        <f t="shared" ref="Z62:Z65" si="43">IF(T62=0,0,X62/T62)</f>
        <v>1.2446936724645707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669.64</v>
      </c>
      <c r="E63" s="2"/>
      <c r="F63" s="7">
        <f t="shared" si="36"/>
        <v>1.6998295119026524E-3</v>
      </c>
      <c r="G63" s="2"/>
      <c r="H63" s="6">
        <v>669.64</v>
      </c>
      <c r="I63" s="2"/>
      <c r="J63" s="7">
        <f t="shared" si="37"/>
        <v>1.7349292658270258E-3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2828.56</v>
      </c>
      <c r="Q63" s="2"/>
      <c r="R63" s="7">
        <f t="shared" si="40"/>
        <v>3.288873229654884E-3</v>
      </c>
      <c r="S63" s="2"/>
      <c r="T63" s="6">
        <v>2678.56</v>
      </c>
      <c r="U63" s="2"/>
      <c r="V63" s="7">
        <f t="shared" si="41"/>
        <v>3.3039579789871007E-3</v>
      </c>
      <c r="W63" s="2"/>
      <c r="X63" s="6">
        <f t="shared" si="42"/>
        <v>150</v>
      </c>
      <c r="Y63" s="2"/>
      <c r="Z63" s="7">
        <f t="shared" si="43"/>
        <v>5.600023893435279E-2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6">
        <v>3639.27</v>
      </c>
      <c r="E64" s="2"/>
      <c r="F64" s="7">
        <f t="shared" si="36"/>
        <v>9.2380063135146743E-3</v>
      </c>
      <c r="G64" s="2"/>
      <c r="H64" s="6">
        <v>3378.23</v>
      </c>
      <c r="I64" s="2"/>
      <c r="J64" s="7">
        <f t="shared" si="37"/>
        <v>8.7524492170342767E-3</v>
      </c>
      <c r="K64" s="2"/>
      <c r="L64" s="6">
        <f t="shared" si="38"/>
        <v>261.03999999999996</v>
      </c>
      <c r="M64" s="2"/>
      <c r="N64" s="7">
        <f t="shared" si="39"/>
        <v>7.7271233752586405E-2</v>
      </c>
      <c r="O64" s="11"/>
      <c r="P64" s="6">
        <v>16102.58</v>
      </c>
      <c r="Q64" s="2"/>
      <c r="R64" s="7">
        <f t="shared" si="40"/>
        <v>1.8723076155491184E-2</v>
      </c>
      <c r="S64" s="2"/>
      <c r="T64" s="6">
        <v>5121.83</v>
      </c>
      <c r="U64" s="2"/>
      <c r="V64" s="7">
        <f t="shared" si="41"/>
        <v>6.3176897644687821E-3</v>
      </c>
      <c r="W64" s="2"/>
      <c r="X64" s="6">
        <f t="shared" si="42"/>
        <v>10980.75</v>
      </c>
      <c r="Y64" s="2"/>
      <c r="Z64" s="7">
        <f t="shared" si="43"/>
        <v>2.1439114535234478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6">
        <v>2057.02</v>
      </c>
      <c r="E65" s="2"/>
      <c r="F65" s="7">
        <f t="shared" si="36"/>
        <v>5.2215866772803207E-3</v>
      </c>
      <c r="G65" s="2"/>
      <c r="H65" s="6">
        <v>1239.6500000000001</v>
      </c>
      <c r="I65" s="2"/>
      <c r="J65" s="7">
        <f t="shared" si="37"/>
        <v>3.2117332662064285E-3</v>
      </c>
      <c r="K65" s="2"/>
      <c r="L65" s="6">
        <f t="shared" si="38"/>
        <v>817.36999999999989</v>
      </c>
      <c r="M65" s="2"/>
      <c r="N65" s="7">
        <f t="shared" si="39"/>
        <v>0.65935546323559058</v>
      </c>
      <c r="O65" s="11"/>
      <c r="P65" s="6">
        <v>6845.71</v>
      </c>
      <c r="Q65" s="2"/>
      <c r="R65" s="7">
        <f t="shared" si="40"/>
        <v>7.9597648121237444E-3</v>
      </c>
      <c r="S65" s="2"/>
      <c r="T65" s="6">
        <v>3683.07</v>
      </c>
      <c r="U65" s="2"/>
      <c r="V65" s="7">
        <f t="shared" si="41"/>
        <v>4.5430038952526813E-3</v>
      </c>
      <c r="W65" s="2"/>
      <c r="X65" s="6">
        <f t="shared" si="42"/>
        <v>3162.64</v>
      </c>
      <c r="Y65" s="2"/>
      <c r="Z65" s="7">
        <f t="shared" si="43"/>
        <v>0.85869668510237374</v>
      </c>
    </row>
    <row r="66" spans="1:26" s="27" customFormat="1" outlineLevel="1" collapsed="1" x14ac:dyDescent="0.25">
      <c r="A66" s="25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SUM(OSRRefD22_13x_0)</f>
        <v>5537.7199999999993</v>
      </c>
      <c r="E66" s="1"/>
      <c r="F66" s="5">
        <f t="shared" ref="F66:F73" si="44">IF(D$12=0,0,D66/D$12)</f>
        <v>1.4057075271270467E-2</v>
      </c>
      <c r="G66" s="1"/>
      <c r="H66" s="1">
        <f>SUM(OSRRefH22_13x_0)</f>
        <v>7656.13</v>
      </c>
      <c r="I66" s="1"/>
      <c r="J66" s="5">
        <f t="shared" ref="J66:J73" si="45">IF(H$12=0,0,H66/H$12)</f>
        <v>1.9835798339370807E-2</v>
      </c>
      <c r="K66" s="1"/>
      <c r="L66" s="1">
        <f t="shared" ref="L66:L73" si="46">+D66-H66</f>
        <v>-2118.4100000000008</v>
      </c>
      <c r="M66" s="1"/>
      <c r="N66" s="5">
        <f t="shared" ref="N66:N73" si="47">IF(H66=0,0,L66/H66)</f>
        <v>-0.27669462247898097</v>
      </c>
      <c r="O66" s="13"/>
      <c r="P66" s="1">
        <f>SUM(OSRRefP22_13x_0)</f>
        <v>26768.820000000003</v>
      </c>
      <c r="Q66" s="1"/>
      <c r="R66" s="5">
        <f t="shared" ref="R66:R73" si="48">IF(P$12=0,0,P66/P$12)</f>
        <v>3.1125115071785739E-2</v>
      </c>
      <c r="S66" s="1"/>
      <c r="T66" s="1">
        <f>SUM(OSRRefT22_13x_0)</f>
        <v>24731.399999999998</v>
      </c>
      <c r="U66" s="1"/>
      <c r="V66" s="5">
        <f t="shared" ref="V66:V73" si="49">IF(T$12=0,0,T66/T$12)</f>
        <v>3.0505759199540638E-2</v>
      </c>
      <c r="W66" s="1"/>
      <c r="X66" s="1">
        <f t="shared" ref="X66:X73" si="50">+P66-T66</f>
        <v>2037.4200000000055</v>
      </c>
      <c r="Y66" s="1"/>
      <c r="Z66" s="5">
        <f t="shared" ref="Z66:Z73" si="51">IF(T66=0,0,X66/T66)</f>
        <v>8.2381911254518783E-2</v>
      </c>
    </row>
    <row r="67" spans="1:26" s="24" customFormat="1" hidden="1" outlineLevel="2" x14ac:dyDescent="0.25">
      <c r="A67" s="26"/>
      <c r="B67" s="11" t="str">
        <f>CONCATENATE("          ", "6234", " - ", "EXPENDABLE SUPPLIES &amp; EQUIPMEN")</f>
        <v xml:space="preserve">          6234 - EXPENDABLE SUPPLIES &amp; EQUIPMEN</v>
      </c>
      <c r="C67" s="11"/>
      <c r="D67" s="6"/>
      <c r="E67" s="2"/>
      <c r="F67" s="7">
        <f t="shared" si="44"/>
        <v>0</v>
      </c>
      <c r="G67" s="2"/>
      <c r="H67" s="6">
        <v>30.98</v>
      </c>
      <c r="I67" s="2"/>
      <c r="J67" s="7">
        <f t="shared" si="45"/>
        <v>8.0264184719134549E-5</v>
      </c>
      <c r="K67" s="2"/>
      <c r="L67" s="6">
        <f t="shared" si="46"/>
        <v>-30.98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30.98</v>
      </c>
      <c r="U67" s="2"/>
      <c r="V67" s="7">
        <f t="shared" si="49"/>
        <v>3.8213300500649742E-5</v>
      </c>
      <c r="W67" s="2"/>
      <c r="X67" s="6">
        <f t="shared" si="50"/>
        <v>-30.98</v>
      </c>
      <c r="Y67" s="2"/>
      <c r="Z67" s="7">
        <f t="shared" si="51"/>
        <v>-1</v>
      </c>
    </row>
    <row r="68" spans="1:26" s="24" customFormat="1" hidden="1" outlineLevel="2" x14ac:dyDescent="0.25">
      <c r="A68" s="26"/>
      <c r="B68" s="11" t="str">
        <f>CONCATENATE("          ", "6237", " - ", "JANITORIAL SUPPLIES")</f>
        <v xml:space="preserve">          6237 - JANITORIAL SUPPLIES</v>
      </c>
      <c r="C68" s="11"/>
      <c r="D68" s="6">
        <v>1832.19</v>
      </c>
      <c r="E68" s="2"/>
      <c r="F68" s="7">
        <f t="shared" si="44"/>
        <v>4.6508730562883358E-3</v>
      </c>
      <c r="G68" s="2"/>
      <c r="H68" s="6">
        <v>3846.42</v>
      </c>
      <c r="I68" s="2"/>
      <c r="J68" s="7">
        <f t="shared" si="45"/>
        <v>9.9654540150862989E-3</v>
      </c>
      <c r="K68" s="2"/>
      <c r="L68" s="6">
        <f t="shared" si="46"/>
        <v>-2014.23</v>
      </c>
      <c r="M68" s="2"/>
      <c r="N68" s="7">
        <f t="shared" si="47"/>
        <v>-0.52366356248147627</v>
      </c>
      <c r="O68" s="11"/>
      <c r="P68" s="6">
        <v>5981.4</v>
      </c>
      <c r="Q68" s="2"/>
      <c r="R68" s="7">
        <f t="shared" si="48"/>
        <v>6.9547990270164761E-3</v>
      </c>
      <c r="S68" s="2"/>
      <c r="T68" s="6">
        <v>9613.76</v>
      </c>
      <c r="U68" s="2"/>
      <c r="V68" s="7">
        <f t="shared" si="49"/>
        <v>1.1858408644968576E-2</v>
      </c>
      <c r="W68" s="2"/>
      <c r="X68" s="6">
        <f t="shared" si="50"/>
        <v>-3632.3600000000006</v>
      </c>
      <c r="Y68" s="2"/>
      <c r="Z68" s="7">
        <f t="shared" si="51"/>
        <v>-0.37782927803481681</v>
      </c>
    </row>
    <row r="69" spans="1:26" s="24" customFormat="1" hidden="1" outlineLevel="2" x14ac:dyDescent="0.25">
      <c r="A69" s="26"/>
      <c r="B69" s="11" t="str">
        <f>CONCATENATE("          ", "6239", " - ", "KITCHEN SUPPLIES")</f>
        <v xml:space="preserve">          6239 - KITCHEN SUPPLIES</v>
      </c>
      <c r="C69" s="11"/>
      <c r="D69" s="6">
        <v>426.97</v>
      </c>
      <c r="E69" s="2"/>
      <c r="F69" s="7">
        <f t="shared" si="44"/>
        <v>1.0838304263441187E-3</v>
      </c>
      <c r="G69" s="2"/>
      <c r="H69" s="6">
        <v>921.72</v>
      </c>
      <c r="I69" s="2"/>
      <c r="J69" s="7">
        <f t="shared" si="45"/>
        <v>2.3880278999135153E-3</v>
      </c>
      <c r="K69" s="2"/>
      <c r="L69" s="6">
        <f t="shared" si="46"/>
        <v>-494.75</v>
      </c>
      <c r="M69" s="2"/>
      <c r="N69" s="7">
        <f t="shared" si="47"/>
        <v>-0.53676821594410451</v>
      </c>
      <c r="O69" s="11"/>
      <c r="P69" s="6">
        <v>2262.77</v>
      </c>
      <c r="Q69" s="2"/>
      <c r="R69" s="7">
        <f t="shared" si="48"/>
        <v>2.6310078901865906E-3</v>
      </c>
      <c r="S69" s="2"/>
      <c r="T69" s="6">
        <v>2764.45</v>
      </c>
      <c r="U69" s="2"/>
      <c r="V69" s="7">
        <f t="shared" si="49"/>
        <v>3.4099018259851899E-3</v>
      </c>
      <c r="W69" s="2"/>
      <c r="X69" s="6">
        <f t="shared" si="50"/>
        <v>-501.67999999999984</v>
      </c>
      <c r="Y69" s="2"/>
      <c r="Z69" s="7">
        <f t="shared" si="51"/>
        <v>-0.18147551954276614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6">
        <v>391.43</v>
      </c>
      <c r="E70" s="2"/>
      <c r="F70" s="7">
        <f t="shared" si="44"/>
        <v>9.9361487641726198E-4</v>
      </c>
      <c r="G70" s="2"/>
      <c r="H70" s="6">
        <v>247.14</v>
      </c>
      <c r="I70" s="2"/>
      <c r="J70" s="7">
        <f t="shared" si="45"/>
        <v>6.4029989062256007E-4</v>
      </c>
      <c r="K70" s="2"/>
      <c r="L70" s="6">
        <f t="shared" si="46"/>
        <v>144.29000000000002</v>
      </c>
      <c r="M70" s="2"/>
      <c r="N70" s="7">
        <f t="shared" si="47"/>
        <v>0.58383911952739354</v>
      </c>
      <c r="O70" s="11"/>
      <c r="P70" s="6">
        <v>19749.84</v>
      </c>
      <c r="Q70" s="2"/>
      <c r="R70" s="7">
        <f t="shared" si="48"/>
        <v>2.2963882705676109E-2</v>
      </c>
      <c r="S70" s="2"/>
      <c r="T70" s="6">
        <v>2140.4499999999998</v>
      </c>
      <c r="U70" s="2"/>
      <c r="V70" s="7">
        <f t="shared" si="49"/>
        <v>2.6402084911754595E-3</v>
      </c>
      <c r="W70" s="2"/>
      <c r="X70" s="6">
        <f t="shared" si="50"/>
        <v>17609.39</v>
      </c>
      <c r="Y70" s="2"/>
      <c r="Z70" s="7">
        <f t="shared" si="51"/>
        <v>8.2269569483052631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6">
        <v>2858.69</v>
      </c>
      <c r="E71" s="2"/>
      <c r="F71" s="7">
        <f t="shared" si="44"/>
        <v>7.2565641648960543E-3</v>
      </c>
      <c r="G71" s="2"/>
      <c r="H71" s="6">
        <v>2364.6999999999998</v>
      </c>
      <c r="I71" s="2"/>
      <c r="J71" s="7">
        <f t="shared" si="45"/>
        <v>6.126556410759763E-3</v>
      </c>
      <c r="K71" s="2"/>
      <c r="L71" s="6">
        <f t="shared" si="46"/>
        <v>493.99000000000024</v>
      </c>
      <c r="M71" s="2"/>
      <c r="N71" s="7">
        <f t="shared" si="47"/>
        <v>0.20890176343722261</v>
      </c>
      <c r="O71" s="11"/>
      <c r="P71" s="6">
        <v>6364.99</v>
      </c>
      <c r="Q71" s="2"/>
      <c r="R71" s="7">
        <f t="shared" si="48"/>
        <v>7.4008135652137621E-3</v>
      </c>
      <c r="S71" s="2"/>
      <c r="T71" s="6">
        <v>6338.69</v>
      </c>
      <c r="U71" s="2"/>
      <c r="V71" s="7">
        <f t="shared" si="49"/>
        <v>7.8186657763222572E-3</v>
      </c>
      <c r="W71" s="2"/>
      <c r="X71" s="6">
        <f t="shared" si="50"/>
        <v>26.300000000000182</v>
      </c>
      <c r="Y71" s="2"/>
      <c r="Z71" s="7">
        <f t="shared" si="51"/>
        <v>4.1491222949852705E-3</v>
      </c>
    </row>
    <row r="72" spans="1:26" s="24" customFormat="1" hidden="1" outlineLevel="2" x14ac:dyDescent="0.25">
      <c r="A72" s="26"/>
      <c r="B72" s="11" t="str">
        <f>CONCATENATE("          ", "6245", " - ", "PRINTING")</f>
        <v xml:space="preserve">          6245 - PRINTING</v>
      </c>
      <c r="C72" s="11"/>
      <c r="D72" s="6">
        <v>28.44</v>
      </c>
      <c r="E72" s="2"/>
      <c r="F72" s="7">
        <f t="shared" si="44"/>
        <v>7.2192747324699007E-5</v>
      </c>
      <c r="G72" s="2"/>
      <c r="H72" s="6"/>
      <c r="I72" s="2"/>
      <c r="J72" s="7">
        <f t="shared" si="45"/>
        <v>0</v>
      </c>
      <c r="K72" s="2"/>
      <c r="L72" s="6">
        <f t="shared" si="46"/>
        <v>28.44</v>
      </c>
      <c r="M72" s="2"/>
      <c r="N72" s="7">
        <f t="shared" si="47"/>
        <v>0</v>
      </c>
      <c r="O72" s="11"/>
      <c r="P72" s="6">
        <v>469.44</v>
      </c>
      <c r="Q72" s="2"/>
      <c r="R72" s="7">
        <f t="shared" si="48"/>
        <v>5.4583556612876826E-4</v>
      </c>
      <c r="S72" s="2"/>
      <c r="T72" s="6"/>
      <c r="U72" s="2"/>
      <c r="V72" s="7">
        <f t="shared" si="49"/>
        <v>0</v>
      </c>
      <c r="W72" s="2"/>
      <c r="X72" s="6">
        <f t="shared" si="50"/>
        <v>469.44</v>
      </c>
      <c r="Y72" s="2"/>
      <c r="Z72" s="7">
        <f t="shared" si="51"/>
        <v>0</v>
      </c>
    </row>
    <row r="73" spans="1:26" s="24" customFormat="1" hidden="1" outlineLevel="2" x14ac:dyDescent="0.25">
      <c r="A73" s="26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4"/>
        <v>0</v>
      </c>
      <c r="G73" s="2"/>
      <c r="H73" s="6">
        <v>245.17</v>
      </c>
      <c r="I73" s="2"/>
      <c r="J73" s="7">
        <f t="shared" si="45"/>
        <v>6.3519593826953571E-4</v>
      </c>
      <c r="K73" s="2"/>
      <c r="L73" s="6">
        <f t="shared" si="46"/>
        <v>-245.17</v>
      </c>
      <c r="M73" s="2"/>
      <c r="N73" s="7">
        <f t="shared" si="47"/>
        <v>-1</v>
      </c>
      <c r="O73" s="11"/>
      <c r="P73" s="6">
        <v>-8059.62</v>
      </c>
      <c r="Q73" s="2"/>
      <c r="R73" s="7">
        <f t="shared" si="48"/>
        <v>-9.3712236824359738E-3</v>
      </c>
      <c r="S73" s="2"/>
      <c r="T73" s="6">
        <v>3843.07</v>
      </c>
      <c r="U73" s="2"/>
      <c r="V73" s="7">
        <f t="shared" si="49"/>
        <v>4.7403611605885089E-3</v>
      </c>
      <c r="W73" s="2"/>
      <c r="X73" s="6">
        <f t="shared" si="50"/>
        <v>-11902.69</v>
      </c>
      <c r="Y73" s="2"/>
      <c r="Z73" s="7">
        <f t="shared" si="51"/>
        <v>-3.0971827211057827</v>
      </c>
    </row>
    <row r="74" spans="1:26" s="27" customFormat="1" outlineLevel="1" collapsed="1" x14ac:dyDescent="0.25">
      <c r="A74" s="25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SUM(OSRRefD22_14x_0)</f>
        <v>118.65</v>
      </c>
      <c r="E74" s="1"/>
      <c r="F74" s="5">
        <f t="shared" ref="F74:F80" si="52">IF(D$12=0,0,D74/D$12)</f>
        <v>3.0118387728816936E-4</v>
      </c>
      <c r="G74" s="1"/>
      <c r="H74" s="1">
        <f>SUM(OSRRefH22_14x_0)</f>
        <v>278.60000000000002</v>
      </c>
      <c r="I74" s="1"/>
      <c r="J74" s="5">
        <f t="shared" ref="J74:J80" si="53">IF(H$12=0,0,H74/H$12)</f>
        <v>7.218076779454773E-4</v>
      </c>
      <c r="K74" s="1"/>
      <c r="L74" s="1">
        <f t="shared" ref="L74:L80" si="54">+D74-H74</f>
        <v>-159.95000000000002</v>
      </c>
      <c r="M74" s="1"/>
      <c r="N74" s="5">
        <f t="shared" ref="N74:N80" si="55">IF(H74=0,0,L74/H74)</f>
        <v>-0.57412060301507539</v>
      </c>
      <c r="O74" s="13"/>
      <c r="P74" s="1">
        <f>SUM(OSRRefP22_14x_0)</f>
        <v>563.54999999999995</v>
      </c>
      <c r="Q74" s="1"/>
      <c r="R74" s="5">
        <f t="shared" ref="R74:R80" si="56">IF(P$12=0,0,P74/P$12)</f>
        <v>6.5526080711457771E-4</v>
      </c>
      <c r="S74" s="1"/>
      <c r="T74" s="1">
        <f>SUM(OSRRefT22_14x_0)</f>
        <v>784.45</v>
      </c>
      <c r="U74" s="1"/>
      <c r="V74" s="5">
        <f t="shared" ref="V74:V80" si="57">IF(T$12=0,0,T74/T$12)</f>
        <v>9.6760566745431552E-4</v>
      </c>
      <c r="W74" s="1"/>
      <c r="X74" s="1">
        <f t="shared" ref="X74:X80" si="58">+P74-T74</f>
        <v>-220.90000000000009</v>
      </c>
      <c r="Y74" s="1"/>
      <c r="Z74" s="5">
        <f t="shared" ref="Z74:Z80" si="59">IF(T74=0,0,X74/T74)</f>
        <v>-0.281598572248072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6">
        <v>118.65</v>
      </c>
      <c r="E75" s="2"/>
      <c r="F75" s="7">
        <f t="shared" si="52"/>
        <v>3.0118387728816936E-4</v>
      </c>
      <c r="G75" s="2"/>
      <c r="H75" s="6">
        <v>278.60000000000002</v>
      </c>
      <c r="I75" s="2"/>
      <c r="J75" s="7">
        <f t="shared" si="53"/>
        <v>7.218076779454773E-4</v>
      </c>
      <c r="K75" s="2"/>
      <c r="L75" s="6">
        <f t="shared" si="54"/>
        <v>-159.95000000000002</v>
      </c>
      <c r="M75" s="2"/>
      <c r="N75" s="7">
        <f t="shared" si="55"/>
        <v>-0.57412060301507539</v>
      </c>
      <c r="O75" s="11"/>
      <c r="P75" s="6">
        <v>563.54999999999995</v>
      </c>
      <c r="Q75" s="2"/>
      <c r="R75" s="7">
        <f t="shared" si="56"/>
        <v>6.5526080711457771E-4</v>
      </c>
      <c r="S75" s="2"/>
      <c r="T75" s="6">
        <v>784.45</v>
      </c>
      <c r="U75" s="2"/>
      <c r="V75" s="7">
        <f t="shared" si="57"/>
        <v>9.6760566745431552E-4</v>
      </c>
      <c r="W75" s="2"/>
      <c r="X75" s="6">
        <f t="shared" si="58"/>
        <v>-220.90000000000009</v>
      </c>
      <c r="Y75" s="2"/>
      <c r="Z75" s="7">
        <f t="shared" si="59"/>
        <v>-0.281598572248072</v>
      </c>
    </row>
    <row r="76" spans="1:26" s="27" customFormat="1" outlineLevel="1" collapsed="1" x14ac:dyDescent="0.25">
      <c r="A76" s="25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SUM(OSRRefD22_15x_0)</f>
        <v>48</v>
      </c>
      <c r="E76" s="1"/>
      <c r="F76" s="5">
        <f t="shared" si="52"/>
        <v>1.2184429928219241E-4</v>
      </c>
      <c r="G76" s="1"/>
      <c r="H76" s="1">
        <f>SUM(OSRRefH22_15x_0)</f>
        <v>0</v>
      </c>
      <c r="I76" s="1"/>
      <c r="J76" s="5">
        <f t="shared" si="53"/>
        <v>0</v>
      </c>
      <c r="K76" s="1"/>
      <c r="L76" s="1">
        <f t="shared" si="54"/>
        <v>48</v>
      </c>
      <c r="M76" s="1"/>
      <c r="N76" s="5">
        <f t="shared" si="55"/>
        <v>0</v>
      </c>
      <c r="O76" s="13"/>
      <c r="P76" s="1">
        <f>SUM(OSRRefP22_15x_0)</f>
        <v>1155.78</v>
      </c>
      <c r="Q76" s="1"/>
      <c r="R76" s="5">
        <f t="shared" si="56"/>
        <v>1.3438689302579835E-3</v>
      </c>
      <c r="S76" s="1"/>
      <c r="T76" s="1">
        <f>SUM(OSRRefT22_15x_0)</f>
        <v>1232.8399999999999</v>
      </c>
      <c r="U76" s="1"/>
      <c r="V76" s="5">
        <f t="shared" si="57"/>
        <v>1.5206870687288904E-3</v>
      </c>
      <c r="W76" s="1"/>
      <c r="X76" s="1">
        <f t="shared" si="58"/>
        <v>-77.059999999999945</v>
      </c>
      <c r="Y76" s="1"/>
      <c r="Z76" s="5">
        <f t="shared" si="59"/>
        <v>-6.2506083514486832E-2</v>
      </c>
    </row>
    <row r="77" spans="1:26" s="24" customFormat="1" hidden="1" outlineLevel="2" x14ac:dyDescent="0.25">
      <c r="A77" s="26"/>
      <c r="B77" s="11" t="str">
        <f>CONCATENATE("          ", "6376", " - ", "TRAINING")</f>
        <v xml:space="preserve">          6376 - TRAINING</v>
      </c>
      <c r="C77" s="11"/>
      <c r="D77" s="6">
        <v>48</v>
      </c>
      <c r="E77" s="2"/>
      <c r="F77" s="7">
        <f t="shared" si="52"/>
        <v>1.2184429928219241E-4</v>
      </c>
      <c r="G77" s="2"/>
      <c r="H77" s="6"/>
      <c r="I77" s="2"/>
      <c r="J77" s="7">
        <f t="shared" si="53"/>
        <v>0</v>
      </c>
      <c r="K77" s="2"/>
      <c r="L77" s="6">
        <f t="shared" si="54"/>
        <v>48</v>
      </c>
      <c r="M77" s="2"/>
      <c r="N77" s="7">
        <f t="shared" si="55"/>
        <v>0</v>
      </c>
      <c r="O77" s="11"/>
      <c r="P77" s="6">
        <v>1155.78</v>
      </c>
      <c r="Q77" s="2"/>
      <c r="R77" s="7">
        <f t="shared" si="56"/>
        <v>1.3438689302579835E-3</v>
      </c>
      <c r="S77" s="2"/>
      <c r="T77" s="6">
        <v>1232.8399999999999</v>
      </c>
      <c r="U77" s="2"/>
      <c r="V77" s="7">
        <f t="shared" si="57"/>
        <v>1.5206870687288904E-3</v>
      </c>
      <c r="W77" s="2"/>
      <c r="X77" s="6">
        <f t="shared" si="58"/>
        <v>-77.059999999999945</v>
      </c>
      <c r="Y77" s="2"/>
      <c r="Z77" s="7">
        <f t="shared" si="59"/>
        <v>-6.2506083514486832E-2</v>
      </c>
    </row>
    <row r="78" spans="1:26" s="27" customFormat="1" outlineLevel="1" collapsed="1" x14ac:dyDescent="0.25">
      <c r="A78" s="25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SUM(OSRRefD22_16x_0)</f>
        <v>0</v>
      </c>
      <c r="E78" s="1"/>
      <c r="F78" s="5">
        <f t="shared" si="52"/>
        <v>0</v>
      </c>
      <c r="G78" s="1"/>
      <c r="H78" s="1">
        <f>SUM(OSRRefH22_16x_0)</f>
        <v>55.9</v>
      </c>
      <c r="I78" s="1"/>
      <c r="J78" s="5">
        <f t="shared" si="53"/>
        <v>1.4482788656551392E-4</v>
      </c>
      <c r="K78" s="1"/>
      <c r="L78" s="1">
        <f t="shared" si="54"/>
        <v>-55.9</v>
      </c>
      <c r="M78" s="1"/>
      <c r="N78" s="5">
        <f t="shared" si="55"/>
        <v>-1</v>
      </c>
      <c r="O78" s="13"/>
      <c r="P78" s="1">
        <f>SUM(OSRRefP22_16x_0)</f>
        <v>79.510000000000005</v>
      </c>
      <c r="Q78" s="1"/>
      <c r="R78" s="5">
        <f t="shared" si="56"/>
        <v>9.2449271180339057E-5</v>
      </c>
      <c r="S78" s="1"/>
      <c r="T78" s="1">
        <f>SUM(OSRRefT22_16x_0)</f>
        <v>164.73</v>
      </c>
      <c r="U78" s="1"/>
      <c r="V78" s="5">
        <f t="shared" si="57"/>
        <v>2.0319163949231866E-4</v>
      </c>
      <c r="W78" s="1"/>
      <c r="X78" s="1">
        <f t="shared" si="58"/>
        <v>-85.219999999999985</v>
      </c>
      <c r="Y78" s="1"/>
      <c r="Z78" s="5">
        <f t="shared" si="59"/>
        <v>-0.51733139076063861</v>
      </c>
    </row>
    <row r="79" spans="1:26" s="24" customFormat="1" hidden="1" outlineLevel="2" x14ac:dyDescent="0.25">
      <c r="A79" s="26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>
        <v>79.510000000000005</v>
      </c>
      <c r="Q79" s="2"/>
      <c r="R79" s="7">
        <f t="shared" si="56"/>
        <v>9.2449271180339057E-5</v>
      </c>
      <c r="S79" s="2"/>
      <c r="T79" s="6"/>
      <c r="U79" s="2"/>
      <c r="V79" s="7">
        <f t="shared" si="57"/>
        <v>0</v>
      </c>
      <c r="W79" s="2"/>
      <c r="X79" s="6">
        <f t="shared" si="58"/>
        <v>79.510000000000005</v>
      </c>
      <c r="Y79" s="2"/>
      <c r="Z79" s="7">
        <f t="shared" si="59"/>
        <v>0</v>
      </c>
    </row>
    <row r="80" spans="1:26" s="24" customFormat="1" hidden="1" outlineLevel="2" x14ac:dyDescent="0.25">
      <c r="A80" s="26"/>
      <c r="B80" s="11" t="str">
        <f>CONCATENATE("          ", "6294", " - ", "TRAVEL OPERATIONAL")</f>
        <v xml:space="preserve">          6294 - TRAVEL OPERATIONAL</v>
      </c>
      <c r="C80" s="11"/>
      <c r="D80" s="6"/>
      <c r="E80" s="2"/>
      <c r="F80" s="7">
        <f t="shared" si="52"/>
        <v>0</v>
      </c>
      <c r="G80" s="2"/>
      <c r="H80" s="6">
        <v>55.9</v>
      </c>
      <c r="I80" s="2"/>
      <c r="J80" s="7">
        <f t="shared" si="53"/>
        <v>1.4482788656551392E-4</v>
      </c>
      <c r="K80" s="2"/>
      <c r="L80" s="6">
        <f t="shared" si="54"/>
        <v>-55.9</v>
      </c>
      <c r="M80" s="2"/>
      <c r="N80" s="7">
        <f t="shared" si="55"/>
        <v>-1</v>
      </c>
      <c r="O80" s="11"/>
      <c r="P80" s="6"/>
      <c r="Q80" s="2"/>
      <c r="R80" s="7">
        <f t="shared" si="56"/>
        <v>0</v>
      </c>
      <c r="S80" s="2"/>
      <c r="T80" s="6">
        <v>164.73</v>
      </c>
      <c r="U80" s="2"/>
      <c r="V80" s="7">
        <f t="shared" si="57"/>
        <v>2.0319163949231866E-4</v>
      </c>
      <c r="W80" s="2"/>
      <c r="X80" s="6">
        <f t="shared" si="58"/>
        <v>-164.73</v>
      </c>
      <c r="Y80" s="2"/>
      <c r="Z80" s="7">
        <f t="shared" si="59"/>
        <v>-1</v>
      </c>
    </row>
    <row r="81" spans="1:26" s="55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1">
        <f>+D21-D23+D82</f>
        <v>132017.51999999999</v>
      </c>
      <c r="E84" s="14"/>
      <c r="F84" s="22">
        <f>IF(D$12=0,0,D84/D$12)</f>
        <v>0.33511629619526706</v>
      </c>
      <c r="G84" s="14"/>
      <c r="H84" s="21">
        <f>+H21-H23+H82</f>
        <v>141945.50999999992</v>
      </c>
      <c r="I84" s="14"/>
      <c r="J84" s="22">
        <f>IF(H$12=0,0,H84/H$12)</f>
        <v>0.36775792881509861</v>
      </c>
      <c r="K84" s="16"/>
      <c r="L84" s="21">
        <f>+D84-H84</f>
        <v>-9927.9899999999325</v>
      </c>
      <c r="M84" s="16"/>
      <c r="N84" s="22">
        <f>IF(H84=0,0,L84/H84)</f>
        <v>-6.9942261646739917E-2</v>
      </c>
      <c r="O84" s="29"/>
      <c r="P84" s="21">
        <f>+P21-P23+P82</f>
        <v>163225.31999999989</v>
      </c>
      <c r="Q84" s="14"/>
      <c r="R84" s="22">
        <f>IF(P$12=0,0,P84/P$12)</f>
        <v>0.18978822628823555</v>
      </c>
      <c r="S84" s="14"/>
      <c r="T84" s="21">
        <f>+T21-T23+T82</f>
        <v>204444.53999999986</v>
      </c>
      <c r="U84" s="14"/>
      <c r="V84" s="22">
        <f>IF(T$12=0,0,T84/T$12)</f>
        <v>0.25217884579525829</v>
      </c>
      <c r="W84" s="16"/>
      <c r="X84" s="21">
        <f>+P84-T84</f>
        <v>-41219.219999999972</v>
      </c>
      <c r="Y84" s="16"/>
      <c r="Z84" s="22">
        <f>IF(T84=0,0,X84/T84)</f>
        <v>-0.20161565576659568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36509.089999999997</v>
      </c>
      <c r="E86" s="4"/>
      <c r="F86" s="12">
        <f>IF(D$12=0,0,D86/D$12)</f>
        <v>9.2675510176677023E-2</v>
      </c>
      <c r="G86" s="4"/>
      <c r="H86" s="4">
        <v>36719</v>
      </c>
      <c r="I86" s="4"/>
      <c r="J86" s="12">
        <f>IF(H$12=0,0,H86/H$12)</f>
        <v>9.5133008350610115E-2</v>
      </c>
      <c r="K86" s="4"/>
      <c r="L86" s="4">
        <f>+D86-H86</f>
        <v>-209.91000000000349</v>
      </c>
      <c r="M86" s="4"/>
      <c r="N86" s="12">
        <f>IF(H86=0,0,L86/H86)</f>
        <v>-5.7166589504072411E-3</v>
      </c>
      <c r="O86" s="10"/>
      <c r="P86" s="4">
        <v>86573.74</v>
      </c>
      <c r="Q86" s="4"/>
      <c r="R86" s="12">
        <f>IF(P$12=0,0,P86/P$12)</f>
        <v>0.10066254768401668</v>
      </c>
      <c r="S86" s="4"/>
      <c r="T86" s="4">
        <v>74455.66</v>
      </c>
      <c r="U86" s="4"/>
      <c r="V86" s="12">
        <f>IF(T$12=0,0,T86/T$12)</f>
        <v>9.1839784039838834E-2</v>
      </c>
      <c r="W86" s="4"/>
      <c r="X86" s="4">
        <f>+P86-T86</f>
        <v>12118.080000000002</v>
      </c>
      <c r="Y86" s="4"/>
      <c r="Z86" s="12">
        <f>IF(T86=0,0,X86/T86)</f>
        <v>0.16275565887133364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1">
        <f>+D84-D86</f>
        <v>95508.43</v>
      </c>
      <c r="E88" s="14"/>
      <c r="F88" s="34">
        <f>IF(D$12=0,0,D88/D$12)</f>
        <v>0.24244078601859004</v>
      </c>
      <c r="G88" s="14"/>
      <c r="H88" s="31">
        <f>+H84-H86</f>
        <v>105226.50999999992</v>
      </c>
      <c r="I88" s="14"/>
      <c r="J88" s="34">
        <f>IF(H$12=0,0,H88/H$12)</f>
        <v>0.2726249204644885</v>
      </c>
      <c r="K88" s="16"/>
      <c r="L88" s="31">
        <f>D88-H88</f>
        <v>-9718.079999999929</v>
      </c>
      <c r="M88" s="16"/>
      <c r="N88" s="34">
        <f>IF(H88=0,0,L88/H88)</f>
        <v>-9.2353913476745889E-2</v>
      </c>
      <c r="O88" s="29"/>
      <c r="P88" s="31">
        <f>+P84-P86</f>
        <v>76651.579999999885</v>
      </c>
      <c r="Q88" s="14"/>
      <c r="R88" s="34">
        <f>IF(P$12=0,0,P88/P$12)</f>
        <v>8.9125678604218869E-2</v>
      </c>
      <c r="S88" s="14"/>
      <c r="T88" s="31">
        <f>+T84-T86</f>
        <v>129988.87999999986</v>
      </c>
      <c r="U88" s="14"/>
      <c r="V88" s="34">
        <f>IF(T$12=0,0,T88/T$12)</f>
        <v>0.16033906175541943</v>
      </c>
      <c r="W88" s="16"/>
      <c r="X88" s="31">
        <f>P88-T88</f>
        <v>-53337.299999999974</v>
      </c>
      <c r="Y88" s="16"/>
      <c r="Z88" s="34">
        <f>IF(T88=0,0,X88/T88)</f>
        <v>-0.41032202139136847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6">
        <f>SUM(D88:D90)</f>
        <v>95508.43</v>
      </c>
      <c r="E91" s="14"/>
      <c r="F91" s="33">
        <f>IF(D$12=0,0,D91/D$12)</f>
        <v>0.24244078601859004</v>
      </c>
      <c r="G91" s="14"/>
      <c r="H91" s="36">
        <f>SUM(H88:H90)</f>
        <v>105226.50999999992</v>
      </c>
      <c r="I91" s="14"/>
      <c r="J91" s="33">
        <f>IF(H$12=0,0,H91/H$12)</f>
        <v>0.2726249204644885</v>
      </c>
      <c r="K91" s="16"/>
      <c r="L91" s="36">
        <f>+D91-H91</f>
        <v>-9718.079999999929</v>
      </c>
      <c r="M91" s="16"/>
      <c r="N91" s="33">
        <f>IF(H91=0,0,L91/H91)</f>
        <v>-9.2353913476745889E-2</v>
      </c>
      <c r="O91" s="29"/>
      <c r="P91" s="36">
        <f>SUM(P88:P90)</f>
        <v>76651.579999999885</v>
      </c>
      <c r="Q91" s="14"/>
      <c r="R91" s="33">
        <f>IF(P$12=0,0,P91/P$12)</f>
        <v>8.9125678604218869E-2</v>
      </c>
      <c r="S91" s="14"/>
      <c r="T91" s="36">
        <f>SUM(T88:T90)</f>
        <v>129988.87999999986</v>
      </c>
      <c r="U91" s="14"/>
      <c r="V91" s="33">
        <f>IF(T$12=0,0,T91/T$12)</f>
        <v>0.16033906175541943</v>
      </c>
      <c r="W91" s="16"/>
      <c r="X91" s="36">
        <f>+P91-T91</f>
        <v>-53337.299999999974</v>
      </c>
      <c r="Y91" s="16"/>
      <c r="Z91" s="33">
        <f>IF(T91=0,0,X91/T91)</f>
        <v>-0.41032202139136847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61">
        <v>43791.355832789355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6" t="s">
        <v>313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7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7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296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27024</v>
      </c>
      <c r="E12" s="4"/>
      <c r="F12" s="12"/>
      <c r="G12" s="4"/>
      <c r="H12" s="4">
        <f>SUM(OSRRefH13x_0)</f>
        <v>-4644</v>
      </c>
      <c r="I12" s="4"/>
      <c r="J12" s="12"/>
      <c r="K12" s="4"/>
      <c r="L12" s="4">
        <f t="shared" ref="L12:L13" si="0">+D12-H12</f>
        <v>31668</v>
      </c>
      <c r="M12" s="4"/>
      <c r="N12" s="12">
        <f t="shared" ref="N12:N13" si="1">IF(H12=0,0,L12/H12)</f>
        <v>-6.819121447028424</v>
      </c>
      <c r="O12" s="10"/>
      <c r="P12" s="4">
        <f>SUM(OSRRefP13x_0)</f>
        <v>123136</v>
      </c>
      <c r="Q12" s="4"/>
      <c r="R12" s="12"/>
      <c r="S12" s="4"/>
      <c r="T12" s="4">
        <f>SUM(OSRRefT13x_0)</f>
        <v>122236</v>
      </c>
      <c r="U12" s="4"/>
      <c r="V12" s="12"/>
      <c r="W12" s="4"/>
      <c r="X12" s="4">
        <f t="shared" ref="X12:X13" si="2">+P12-T12</f>
        <v>900</v>
      </c>
      <c r="Y12" s="4"/>
      <c r="Z12" s="12">
        <f t="shared" ref="Z12:Z13" si="3">IF(T12=0,0,X12/T12)</f>
        <v>7.3628063745541416E-3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--27024</f>
        <v>27024</v>
      </c>
      <c r="E13" s="2"/>
      <c r="F13" s="19"/>
      <c r="G13" s="2"/>
      <c r="H13" s="2">
        <f>-4644</f>
        <v>-4644</v>
      </c>
      <c r="I13" s="2"/>
      <c r="J13" s="19"/>
      <c r="K13" s="2"/>
      <c r="L13" s="2">
        <f t="shared" si="0"/>
        <v>31668</v>
      </c>
      <c r="M13" s="2"/>
      <c r="N13" s="19">
        <f t="shared" si="1"/>
        <v>-6.819121447028424</v>
      </c>
      <c r="O13" s="11"/>
      <c r="P13" s="2">
        <f>--123136</f>
        <v>123136</v>
      </c>
      <c r="Q13" s="2"/>
      <c r="R13" s="19"/>
      <c r="S13" s="2"/>
      <c r="T13" s="2">
        <f>--122236</f>
        <v>122236</v>
      </c>
      <c r="U13" s="2"/>
      <c r="V13" s="19"/>
      <c r="W13" s="2"/>
      <c r="X13" s="2">
        <f t="shared" si="2"/>
        <v>900</v>
      </c>
      <c r="Y13" s="2"/>
      <c r="Z13" s="19">
        <f t="shared" si="3"/>
        <v>7.3628063745541416E-3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D12-D15</f>
        <v>27024</v>
      </c>
      <c r="E17" s="14"/>
      <c r="F17" s="22">
        <f>IF(D$12=0,0,D17/D$12)</f>
        <v>1</v>
      </c>
      <c r="G17" s="14"/>
      <c r="H17" s="21">
        <f>H12-H15</f>
        <v>-4644</v>
      </c>
      <c r="I17" s="14"/>
      <c r="J17" s="22">
        <f>IF(H$12=0,0,H17/H$12)</f>
        <v>1</v>
      </c>
      <c r="K17" s="16"/>
      <c r="L17" s="21">
        <f>+D17-H17</f>
        <v>31668</v>
      </c>
      <c r="M17" s="16"/>
      <c r="N17" s="22">
        <f>IF(H17=0,0,L17/H17)</f>
        <v>-6.819121447028424</v>
      </c>
      <c r="O17" s="29"/>
      <c r="P17" s="21">
        <f>P12-P15</f>
        <v>123136</v>
      </c>
      <c r="Q17" s="14"/>
      <c r="R17" s="22">
        <f>IF(P$12=0,0,P17/P$12)</f>
        <v>1</v>
      </c>
      <c r="S17" s="14"/>
      <c r="T17" s="21">
        <f>T12-T15</f>
        <v>122236</v>
      </c>
      <c r="U17" s="14"/>
      <c r="V17" s="22">
        <f>IF(T$12=0,0,T17/T$12)</f>
        <v>1</v>
      </c>
      <c r="W17" s="16"/>
      <c r="X17" s="21">
        <f>+P17-T17</f>
        <v>900</v>
      </c>
      <c r="Y17" s="16"/>
      <c r="Z17" s="22">
        <f>IF(T17=0,0,X17/T17)</f>
        <v>7.3628063745541416E-3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0">
        <f>SUM(OSRRefD22x_0)</f>
        <v>28361.109999999997</v>
      </c>
      <c r="E19" s="20"/>
      <c r="F19" s="35">
        <f t="shared" ref="F19:F28" si="4">IF(D$12=0,0,D19/D$12)</f>
        <v>1.0494786116044996</v>
      </c>
      <c r="G19" s="20"/>
      <c r="H19" s="20">
        <f>SUM(OSRRefH22x_0)</f>
        <v>-2386.7199999999975</v>
      </c>
      <c r="I19" s="20"/>
      <c r="J19" s="35">
        <f t="shared" ref="J19:J28" si="5">IF(H$12=0,0,H19/H$12)</f>
        <v>0.51393626184323804</v>
      </c>
      <c r="K19" s="4"/>
      <c r="L19" s="20">
        <f t="shared" ref="L19:L28" si="6">+D19-H19</f>
        <v>30747.829999999994</v>
      </c>
      <c r="M19" s="4"/>
      <c r="N19" s="35">
        <f t="shared" ref="N19:N28" si="7">IF(H19=0,0,L19/H19)</f>
        <v>-12.882881108802049</v>
      </c>
      <c r="O19" s="10"/>
      <c r="P19" s="20">
        <f>SUM(OSRRefP22x_0)</f>
        <v>123059.72000000002</v>
      </c>
      <c r="Q19" s="20"/>
      <c r="R19" s="35">
        <f t="shared" ref="R19:R28" si="8">IF(P$12=0,0,P19/P$12)</f>
        <v>0.99938052234927244</v>
      </c>
      <c r="S19" s="20"/>
      <c r="T19" s="20">
        <f>SUM(OSRRefT22x_0)</f>
        <v>122670.31999999999</v>
      </c>
      <c r="U19" s="20"/>
      <c r="V19" s="35">
        <f t="shared" ref="V19:V28" si="9">IF(T$12=0,0,T19/T$12)</f>
        <v>1.0035531267384403</v>
      </c>
      <c r="W19" s="4"/>
      <c r="X19" s="20">
        <f t="shared" ref="X19:X28" si="10">+P19-T19</f>
        <v>389.40000000002328</v>
      </c>
      <c r="Y19" s="4"/>
      <c r="Z19" s="35">
        <f t="shared" ref="Z19:Z28" si="11">IF(T19=0,0,X19/T19)</f>
        <v>3.1743619809585831E-3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5753.8899999999985</v>
      </c>
      <c r="E20" s="1"/>
      <c r="F20" s="5">
        <f t="shared" si="4"/>
        <v>0.21291777679100055</v>
      </c>
      <c r="G20" s="1"/>
      <c r="H20" s="1">
        <f>SUM(OSRRefH22_0x_0)</f>
        <v>5251.7899999999991</v>
      </c>
      <c r="I20" s="1"/>
      <c r="J20" s="5">
        <f t="shared" si="5"/>
        <v>-1.1308763996554692</v>
      </c>
      <c r="K20" s="1"/>
      <c r="L20" s="1">
        <f t="shared" si="6"/>
        <v>502.09999999999945</v>
      </c>
      <c r="M20" s="1"/>
      <c r="N20" s="5">
        <f t="shared" si="7"/>
        <v>9.5605498315812235E-2</v>
      </c>
      <c r="O20" s="13"/>
      <c r="P20" s="1">
        <f>SUM(OSRRefP22_0x_0)</f>
        <v>19249.959999999995</v>
      </c>
      <c r="Q20" s="1"/>
      <c r="R20" s="5">
        <f t="shared" si="8"/>
        <v>0.15633088617463614</v>
      </c>
      <c r="S20" s="1"/>
      <c r="T20" s="1">
        <f>SUM(OSRRefT22_0x_0)</f>
        <v>18728.27</v>
      </c>
      <c r="U20" s="1"/>
      <c r="V20" s="5">
        <f t="shared" si="9"/>
        <v>0.15321402860041233</v>
      </c>
      <c r="W20" s="1"/>
      <c r="X20" s="1">
        <f t="shared" si="10"/>
        <v>521.68999999999505</v>
      </c>
      <c r="Y20" s="1"/>
      <c r="Z20" s="5">
        <f t="shared" si="11"/>
        <v>2.7855749623429984E-2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1531.59</v>
      </c>
      <c r="E21" s="2"/>
      <c r="F21" s="7">
        <f t="shared" si="4"/>
        <v>5.6675177619893428E-2</v>
      </c>
      <c r="G21" s="2"/>
      <c r="H21" s="6">
        <v>1188.28</v>
      </c>
      <c r="I21" s="2"/>
      <c r="J21" s="7">
        <f t="shared" si="5"/>
        <v>-0.25587424633936262</v>
      </c>
      <c r="K21" s="2"/>
      <c r="L21" s="6">
        <f t="shared" si="6"/>
        <v>343.30999999999995</v>
      </c>
      <c r="M21" s="2"/>
      <c r="N21" s="7">
        <f t="shared" si="7"/>
        <v>0.28891338741710704</v>
      </c>
      <c r="O21" s="11"/>
      <c r="P21" s="6">
        <v>4955.83</v>
      </c>
      <c r="Q21" s="2"/>
      <c r="R21" s="7">
        <f t="shared" si="8"/>
        <v>4.0246800285862784E-2</v>
      </c>
      <c r="S21" s="2"/>
      <c r="T21" s="6">
        <v>4592.3100000000004</v>
      </c>
      <c r="U21" s="2"/>
      <c r="V21" s="7">
        <f t="shared" si="9"/>
        <v>3.7569210379920809E-2</v>
      </c>
      <c r="W21" s="2"/>
      <c r="X21" s="6">
        <f t="shared" si="10"/>
        <v>363.51999999999953</v>
      </c>
      <c r="Y21" s="2"/>
      <c r="Z21" s="7">
        <f t="shared" si="11"/>
        <v>7.9158419183373838E-2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-7.08</v>
      </c>
      <c r="E22" s="2"/>
      <c r="F22" s="7">
        <f t="shared" si="4"/>
        <v>-2.6198934280639434E-4</v>
      </c>
      <c r="G22" s="2"/>
      <c r="H22" s="6">
        <v>127.09</v>
      </c>
      <c r="I22" s="2"/>
      <c r="J22" s="7">
        <f t="shared" si="5"/>
        <v>-2.7366494401378123E-2</v>
      </c>
      <c r="K22" s="2"/>
      <c r="L22" s="6">
        <f t="shared" si="6"/>
        <v>-134.17000000000002</v>
      </c>
      <c r="M22" s="2"/>
      <c r="N22" s="7">
        <f t="shared" si="7"/>
        <v>-1.0557085529939414</v>
      </c>
      <c r="O22" s="11"/>
      <c r="P22" s="6">
        <v>163.41</v>
      </c>
      <c r="Q22" s="2"/>
      <c r="R22" s="7">
        <f t="shared" si="8"/>
        <v>1.3270692567567566E-3</v>
      </c>
      <c r="S22" s="2"/>
      <c r="T22" s="6">
        <v>253.01</v>
      </c>
      <c r="U22" s="2"/>
      <c r="V22" s="7">
        <f t="shared" si="9"/>
        <v>2.0698484898066037E-3</v>
      </c>
      <c r="W22" s="2"/>
      <c r="X22" s="6">
        <f t="shared" si="10"/>
        <v>-89.6</v>
      </c>
      <c r="Y22" s="2"/>
      <c r="Z22" s="7">
        <f t="shared" si="11"/>
        <v>-0.3541362001501917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4.6007622853759617E-2</v>
      </c>
      <c r="G23" s="2"/>
      <c r="H23" s="6">
        <v>1243.31</v>
      </c>
      <c r="I23" s="2"/>
      <c r="J23" s="7">
        <f t="shared" si="5"/>
        <v>-0.26772394487510764</v>
      </c>
      <c r="K23" s="2"/>
      <c r="L23" s="6">
        <f t="shared" si="6"/>
        <v>0</v>
      </c>
      <c r="M23" s="2"/>
      <c r="N23" s="7">
        <f t="shared" si="7"/>
        <v>0</v>
      </c>
      <c r="O23" s="11"/>
      <c r="P23" s="6">
        <v>4973.24</v>
      </c>
      <c r="Q23" s="2"/>
      <c r="R23" s="7">
        <f t="shared" si="8"/>
        <v>4.038818866943867E-2</v>
      </c>
      <c r="S23" s="2"/>
      <c r="T23" s="6">
        <v>4839.3599999999997</v>
      </c>
      <c r="U23" s="2"/>
      <c r="V23" s="7">
        <f t="shared" si="9"/>
        <v>3.9590300729735919E-2</v>
      </c>
      <c r="W23" s="2"/>
      <c r="X23" s="6">
        <f t="shared" si="10"/>
        <v>133.88000000000011</v>
      </c>
      <c r="Y23" s="2"/>
      <c r="Z23" s="7">
        <f t="shared" si="11"/>
        <v>2.7664815182172873E-2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63.86</v>
      </c>
      <c r="E24" s="2"/>
      <c r="F24" s="7">
        <f t="shared" si="4"/>
        <v>2.3630846654825342E-3</v>
      </c>
      <c r="G24" s="2"/>
      <c r="H24" s="6">
        <v>59.5</v>
      </c>
      <c r="I24" s="2"/>
      <c r="J24" s="7">
        <f t="shared" si="5"/>
        <v>-1.2812230835486649E-2</v>
      </c>
      <c r="K24" s="2"/>
      <c r="L24" s="6">
        <f t="shared" si="6"/>
        <v>4.3599999999999994</v>
      </c>
      <c r="M24" s="2"/>
      <c r="N24" s="7">
        <f t="shared" si="7"/>
        <v>7.3277310924369732E-2</v>
      </c>
      <c r="O24" s="11"/>
      <c r="P24" s="6">
        <v>194.21</v>
      </c>
      <c r="Q24" s="2"/>
      <c r="R24" s="7">
        <f t="shared" si="8"/>
        <v>1.5771991943866945E-3</v>
      </c>
      <c r="S24" s="2"/>
      <c r="T24" s="6">
        <v>212.26</v>
      </c>
      <c r="U24" s="2"/>
      <c r="V24" s="7">
        <f t="shared" si="9"/>
        <v>1.7364769789587355E-3</v>
      </c>
      <c r="W24" s="2"/>
      <c r="X24" s="6">
        <f t="shared" si="10"/>
        <v>-18.049999999999983</v>
      </c>
      <c r="Y24" s="2"/>
      <c r="Z24" s="7">
        <f t="shared" si="11"/>
        <v>-8.5037218505606249E-2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1470.79</v>
      </c>
      <c r="E25" s="2"/>
      <c r="F25" s="7">
        <f t="shared" si="4"/>
        <v>5.4425325636471282E-2</v>
      </c>
      <c r="G25" s="2"/>
      <c r="H25" s="6">
        <v>1145.76</v>
      </c>
      <c r="I25" s="2"/>
      <c r="J25" s="7">
        <f t="shared" si="5"/>
        <v>-0.24671834625322997</v>
      </c>
      <c r="K25" s="2"/>
      <c r="L25" s="6">
        <f t="shared" si="6"/>
        <v>325.02999999999997</v>
      </c>
      <c r="M25" s="2"/>
      <c r="N25" s="7">
        <f t="shared" si="7"/>
        <v>0.28368070101941067</v>
      </c>
      <c r="O25" s="11"/>
      <c r="P25" s="6">
        <v>3328.3</v>
      </c>
      <c r="Q25" s="2"/>
      <c r="R25" s="7">
        <f t="shared" si="8"/>
        <v>2.7029463357588358E-2</v>
      </c>
      <c r="S25" s="2"/>
      <c r="T25" s="6">
        <v>3042.91</v>
      </c>
      <c r="U25" s="2"/>
      <c r="V25" s="7">
        <f t="shared" si="9"/>
        <v>2.4893730161327267E-2</v>
      </c>
      <c r="W25" s="2"/>
      <c r="X25" s="6">
        <f t="shared" si="10"/>
        <v>285.39000000000033</v>
      </c>
      <c r="Y25" s="2"/>
      <c r="Z25" s="7">
        <f t="shared" si="11"/>
        <v>9.3788511654961979E-2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866.91</v>
      </c>
      <c r="E26" s="2"/>
      <c r="F26" s="7">
        <f t="shared" si="4"/>
        <v>3.2079262877442269E-2</v>
      </c>
      <c r="G26" s="2"/>
      <c r="H26" s="6">
        <v>801.58</v>
      </c>
      <c r="I26" s="2"/>
      <c r="J26" s="7">
        <f t="shared" si="5"/>
        <v>-0.17260551248923342</v>
      </c>
      <c r="K26" s="2"/>
      <c r="L26" s="6">
        <f t="shared" si="6"/>
        <v>65.329999999999927</v>
      </c>
      <c r="M26" s="2"/>
      <c r="N26" s="7">
        <f t="shared" si="7"/>
        <v>8.1501534469422793E-2</v>
      </c>
      <c r="O26" s="11"/>
      <c r="P26" s="6">
        <v>3336.99</v>
      </c>
      <c r="Q26" s="2"/>
      <c r="R26" s="7">
        <f t="shared" si="8"/>
        <v>2.7100035732848232E-2</v>
      </c>
      <c r="S26" s="2"/>
      <c r="T26" s="6">
        <v>3001.51</v>
      </c>
      <c r="U26" s="2"/>
      <c r="V26" s="7">
        <f t="shared" si="9"/>
        <v>2.4555041068097781E-2</v>
      </c>
      <c r="W26" s="2"/>
      <c r="X26" s="6">
        <f t="shared" si="10"/>
        <v>335.47999999999956</v>
      </c>
      <c r="Y26" s="2"/>
      <c r="Z26" s="7">
        <f t="shared" si="11"/>
        <v>0.11177040889418977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432.86</v>
      </c>
      <c r="E27" s="2"/>
      <c r="F27" s="7">
        <f t="shared" si="4"/>
        <v>1.6017613972764952E-2</v>
      </c>
      <c r="G27" s="2"/>
      <c r="H27" s="6">
        <v>400.25</v>
      </c>
      <c r="I27" s="2"/>
      <c r="J27" s="7">
        <f t="shared" si="5"/>
        <v>-8.6186477174849271E-2</v>
      </c>
      <c r="K27" s="2"/>
      <c r="L27" s="6">
        <f t="shared" si="6"/>
        <v>32.610000000000014</v>
      </c>
      <c r="M27" s="2"/>
      <c r="N27" s="7">
        <f t="shared" si="7"/>
        <v>8.1474078700812025E-2</v>
      </c>
      <c r="O27" s="11"/>
      <c r="P27" s="6">
        <v>1688.56</v>
      </c>
      <c r="Q27" s="2"/>
      <c r="R27" s="7">
        <f t="shared" si="8"/>
        <v>1.3712967775467775E-2</v>
      </c>
      <c r="S27" s="2"/>
      <c r="T27" s="6">
        <v>1635.43</v>
      </c>
      <c r="U27" s="2"/>
      <c r="V27" s="7">
        <f t="shared" si="9"/>
        <v>1.3379282699041199E-2</v>
      </c>
      <c r="W27" s="2"/>
      <c r="X27" s="6">
        <f t="shared" si="10"/>
        <v>53.129999999999882</v>
      </c>
      <c r="Y27" s="2"/>
      <c r="Z27" s="7">
        <f t="shared" si="11"/>
        <v>3.2486868896864973E-2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151.65</v>
      </c>
      <c r="E28" s="2"/>
      <c r="F28" s="7">
        <f t="shared" si="4"/>
        <v>5.6116785079928953E-3</v>
      </c>
      <c r="G28" s="2"/>
      <c r="H28" s="6">
        <v>286.02</v>
      </c>
      <c r="I28" s="2"/>
      <c r="J28" s="7">
        <f t="shared" si="5"/>
        <v>-6.1589147286821702E-2</v>
      </c>
      <c r="K28" s="2"/>
      <c r="L28" s="6">
        <f t="shared" si="6"/>
        <v>-134.36999999999998</v>
      </c>
      <c r="M28" s="2"/>
      <c r="N28" s="7">
        <f t="shared" si="7"/>
        <v>-0.46979232221522965</v>
      </c>
      <c r="O28" s="11"/>
      <c r="P28" s="6">
        <v>609.41999999999996</v>
      </c>
      <c r="Q28" s="2"/>
      <c r="R28" s="7">
        <f t="shared" si="8"/>
        <v>4.949161902286902E-3</v>
      </c>
      <c r="S28" s="2"/>
      <c r="T28" s="6">
        <v>1151.48</v>
      </c>
      <c r="U28" s="2"/>
      <c r="V28" s="7">
        <f t="shared" si="9"/>
        <v>9.4201380935240026E-3</v>
      </c>
      <c r="W28" s="2"/>
      <c r="X28" s="6">
        <f t="shared" si="10"/>
        <v>-542.06000000000006</v>
      </c>
      <c r="Y28" s="2"/>
      <c r="Z28" s="7">
        <f t="shared" si="11"/>
        <v>-0.4707506860735749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18394.18</v>
      </c>
      <c r="E29" s="1"/>
      <c r="F29" s="5">
        <f t="shared" ref="F29:F35" si="12">IF(D$12=0,0,D29/D$12)</f>
        <v>0.6806608940201303</v>
      </c>
      <c r="G29" s="1"/>
      <c r="H29" s="1">
        <f>SUM(OSRRefH22_1x_0)</f>
        <v>17134.600000000002</v>
      </c>
      <c r="I29" s="1"/>
      <c r="J29" s="5">
        <f t="shared" ref="J29:J35" si="13">IF(H$12=0,0,H29/H$12)</f>
        <v>-3.6896210163652028</v>
      </c>
      <c r="K29" s="1"/>
      <c r="L29" s="1">
        <f t="shared" ref="L29:L35" si="14">+D29-H29</f>
        <v>1259.5799999999981</v>
      </c>
      <c r="M29" s="1"/>
      <c r="N29" s="5">
        <f t="shared" ref="N29:N35" si="15">IF(H29=0,0,L29/H29)</f>
        <v>7.3510907753901344E-2</v>
      </c>
      <c r="O29" s="13"/>
      <c r="P29" s="1">
        <f>SUM(OSRRefP22_1x_0)</f>
        <v>72251.460000000006</v>
      </c>
      <c r="Q29" s="1"/>
      <c r="R29" s="5">
        <f t="shared" ref="R29:R35" si="16">IF(P$12=0,0,P29/P$12)</f>
        <v>0.58676146699584208</v>
      </c>
      <c r="S29" s="1"/>
      <c r="T29" s="1">
        <f>SUM(OSRRefT22_1x_0)</f>
        <v>70107.64</v>
      </c>
      <c r="U29" s="1"/>
      <c r="V29" s="5">
        <f t="shared" ref="V29:V35" si="17">IF(T$12=0,0,T29/T$12)</f>
        <v>0.57354330966327427</v>
      </c>
      <c r="W29" s="1"/>
      <c r="X29" s="1">
        <f t="shared" ref="X29:X35" si="18">+P29-T29</f>
        <v>2143.820000000007</v>
      </c>
      <c r="Y29" s="1"/>
      <c r="Z29" s="5">
        <f t="shared" ref="Z29:Z35" si="19">IF(T29=0,0,X29/T29)</f>
        <v>3.0578978268274427E-2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5005.29</v>
      </c>
      <c r="E30" s="2"/>
      <c r="F30" s="7">
        <f t="shared" si="12"/>
        <v>0.18521647424511545</v>
      </c>
      <c r="G30" s="2"/>
      <c r="H30" s="6">
        <v>5495.92</v>
      </c>
      <c r="I30" s="2"/>
      <c r="J30" s="7">
        <f t="shared" si="13"/>
        <v>-1.1834453057708871</v>
      </c>
      <c r="K30" s="2"/>
      <c r="L30" s="6">
        <f t="shared" si="14"/>
        <v>-490.63000000000011</v>
      </c>
      <c r="M30" s="2"/>
      <c r="N30" s="7">
        <f t="shared" si="15"/>
        <v>-8.9271677899241633E-2</v>
      </c>
      <c r="O30" s="11"/>
      <c r="P30" s="6">
        <v>23238.240000000002</v>
      </c>
      <c r="Q30" s="2"/>
      <c r="R30" s="7">
        <f t="shared" si="16"/>
        <v>0.18872011434511435</v>
      </c>
      <c r="S30" s="2"/>
      <c r="T30" s="6">
        <v>24007.489999999998</v>
      </c>
      <c r="U30" s="2"/>
      <c r="V30" s="7">
        <f t="shared" si="17"/>
        <v>0.19640277823227198</v>
      </c>
      <c r="W30" s="2"/>
      <c r="X30" s="6">
        <f t="shared" si="18"/>
        <v>-769.24999999999636</v>
      </c>
      <c r="Y30" s="2"/>
      <c r="Z30" s="7">
        <f t="shared" si="19"/>
        <v>-3.2042083533097232E-2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>
        <v>1866</v>
      </c>
      <c r="I31" s="2"/>
      <c r="J31" s="7">
        <f t="shared" si="13"/>
        <v>-0.40180878552971577</v>
      </c>
      <c r="K31" s="2"/>
      <c r="L31" s="6">
        <f t="shared" si="14"/>
        <v>-1866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9.0488890343270401E-2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11332.53</v>
      </c>
      <c r="E32" s="2"/>
      <c r="F32" s="7">
        <f t="shared" si="12"/>
        <v>0.41935057726465369</v>
      </c>
      <c r="G32" s="2"/>
      <c r="H32" s="6">
        <v>3977.58</v>
      </c>
      <c r="I32" s="2"/>
      <c r="J32" s="7">
        <f t="shared" si="13"/>
        <v>-0.8564987080103359</v>
      </c>
      <c r="K32" s="2"/>
      <c r="L32" s="6">
        <f t="shared" si="14"/>
        <v>7354.9500000000007</v>
      </c>
      <c r="M32" s="2"/>
      <c r="N32" s="7">
        <f t="shared" si="15"/>
        <v>1.8491017151132099</v>
      </c>
      <c r="O32" s="11"/>
      <c r="P32" s="6">
        <v>32682.59</v>
      </c>
      <c r="Q32" s="2"/>
      <c r="R32" s="7">
        <f t="shared" si="16"/>
        <v>0.26541864280145533</v>
      </c>
      <c r="S32" s="2"/>
      <c r="T32" s="6">
        <v>11969.08</v>
      </c>
      <c r="U32" s="2"/>
      <c r="V32" s="7">
        <f t="shared" si="17"/>
        <v>9.7917798357276084E-2</v>
      </c>
      <c r="W32" s="2"/>
      <c r="X32" s="6">
        <f t="shared" si="18"/>
        <v>20713.510000000002</v>
      </c>
      <c r="Y32" s="2"/>
      <c r="Z32" s="7">
        <f t="shared" si="19"/>
        <v>1.7305849739495436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1721.38</v>
      </c>
      <c r="I33" s="2"/>
      <c r="J33" s="7">
        <f t="shared" si="13"/>
        <v>-0.37066752799310942</v>
      </c>
      <c r="K33" s="2"/>
      <c r="L33" s="6">
        <f t="shared" si="14"/>
        <v>-1721.38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4573.7</v>
      </c>
      <c r="U33" s="2"/>
      <c r="V33" s="7">
        <f t="shared" si="17"/>
        <v>3.7416963905886974E-2</v>
      </c>
      <c r="W33" s="2"/>
      <c r="X33" s="6">
        <f t="shared" si="18"/>
        <v>-4573.7</v>
      </c>
      <c r="Y33" s="2"/>
      <c r="Z33" s="7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1068.23</v>
      </c>
      <c r="E34" s="2"/>
      <c r="F34" s="7">
        <f t="shared" si="12"/>
        <v>3.9528937240970986E-2</v>
      </c>
      <c r="G34" s="2"/>
      <c r="H34" s="6">
        <v>4073.72</v>
      </c>
      <c r="I34" s="2"/>
      <c r="J34" s="7">
        <f t="shared" si="13"/>
        <v>-0.87720068906115412</v>
      </c>
      <c r="K34" s="2"/>
      <c r="L34" s="6">
        <f t="shared" si="14"/>
        <v>-3005.49</v>
      </c>
      <c r="M34" s="2"/>
      <c r="N34" s="7">
        <f t="shared" si="15"/>
        <v>-0.73777530119890422</v>
      </c>
      <c r="O34" s="11"/>
      <c r="P34" s="6">
        <v>13267.43</v>
      </c>
      <c r="Q34" s="2"/>
      <c r="R34" s="7">
        <f t="shared" si="16"/>
        <v>0.1077461505977131</v>
      </c>
      <c r="S34" s="2"/>
      <c r="T34" s="6">
        <v>18496.37</v>
      </c>
      <c r="U34" s="2"/>
      <c r="V34" s="7">
        <f t="shared" si="17"/>
        <v>0.15131687882456885</v>
      </c>
      <c r="W34" s="2"/>
      <c r="X34" s="6">
        <f t="shared" si="18"/>
        <v>-5228.9399999999987</v>
      </c>
      <c r="Y34" s="2"/>
      <c r="Z34" s="7">
        <f t="shared" si="19"/>
        <v>-0.28270087590159576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>
        <v>988.13</v>
      </c>
      <c r="E35" s="2"/>
      <c r="F35" s="7">
        <f t="shared" si="12"/>
        <v>3.6564905269390172E-2</v>
      </c>
      <c r="G35" s="2"/>
      <c r="H35" s="6"/>
      <c r="I35" s="2"/>
      <c r="J35" s="7">
        <f t="shared" si="13"/>
        <v>0</v>
      </c>
      <c r="K35" s="2"/>
      <c r="L35" s="6">
        <f t="shared" si="14"/>
        <v>988.13</v>
      </c>
      <c r="M35" s="2"/>
      <c r="N35" s="7">
        <f t="shared" si="15"/>
        <v>0</v>
      </c>
      <c r="O35" s="11"/>
      <c r="P35" s="6">
        <v>3063.2</v>
      </c>
      <c r="Q35" s="2"/>
      <c r="R35" s="7">
        <f t="shared" si="16"/>
        <v>2.4876559251559249E-2</v>
      </c>
      <c r="S35" s="2"/>
      <c r="T35" s="6"/>
      <c r="U35" s="2"/>
      <c r="V35" s="7">
        <f t="shared" si="17"/>
        <v>0</v>
      </c>
      <c r="W35" s="2"/>
      <c r="X35" s="6">
        <f t="shared" si="18"/>
        <v>3063.2</v>
      </c>
      <c r="Y35" s="2"/>
      <c r="Z35" s="7">
        <f t="shared" si="19"/>
        <v>0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68.77</v>
      </c>
      <c r="E36" s="1"/>
      <c r="F36" s="5">
        <f t="shared" ref="F36:F54" si="20">IF(D$12=0,0,D36/D$12)</f>
        <v>2.5447750148016577E-3</v>
      </c>
      <c r="G36" s="1"/>
      <c r="H36" s="1">
        <f>SUM(OSRRefH22_2x_0)</f>
        <v>250.85</v>
      </c>
      <c r="I36" s="1"/>
      <c r="J36" s="5">
        <f t="shared" ref="J36:J54" si="21">IF(H$12=0,0,H36/H$12)</f>
        <v>-5.4015934539190354E-2</v>
      </c>
      <c r="K36" s="1"/>
      <c r="L36" s="1">
        <f t="shared" ref="L36:L54" si="22">+D36-H36</f>
        <v>-182.07999999999998</v>
      </c>
      <c r="M36" s="1"/>
      <c r="N36" s="5">
        <f t="shared" ref="N36:N54" si="23">IF(H36=0,0,L36/H36)</f>
        <v>-0.72585210285030888</v>
      </c>
      <c r="O36" s="13"/>
      <c r="P36" s="1">
        <f>SUM(OSRRefP22_2x_0)</f>
        <v>106.77</v>
      </c>
      <c r="Q36" s="1"/>
      <c r="R36" s="5">
        <f t="shared" ref="R36:R54" si="24">IF(P$12=0,0,P36/P$12)</f>
        <v>8.6709004677754673E-4</v>
      </c>
      <c r="S36" s="1"/>
      <c r="T36" s="1">
        <f>SUM(OSRRefT22_2x_0)</f>
        <v>2350.44</v>
      </c>
      <c r="U36" s="1"/>
      <c r="V36" s="5">
        <f t="shared" ref="V36:V54" si="25">IF(T$12=0,0,T36/T$12)</f>
        <v>1.9228705127785597E-2</v>
      </c>
      <c r="W36" s="1"/>
      <c r="X36" s="1">
        <f t="shared" ref="X36:X54" si="26">+P36-T36</f>
        <v>-2243.67</v>
      </c>
      <c r="Y36" s="1"/>
      <c r="Z36" s="5">
        <f t="shared" ref="Z36:Z54" si="27">IF(T36=0,0,X36/T36)</f>
        <v>-0.95457446265380097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>
        <v>68.77</v>
      </c>
      <c r="E37" s="2"/>
      <c r="F37" s="7">
        <f t="shared" si="20"/>
        <v>2.5447750148016577E-3</v>
      </c>
      <c r="G37" s="2"/>
      <c r="H37" s="6">
        <v>250.85</v>
      </c>
      <c r="I37" s="2"/>
      <c r="J37" s="7">
        <f t="shared" si="21"/>
        <v>-5.4015934539190354E-2</v>
      </c>
      <c r="K37" s="2"/>
      <c r="L37" s="6">
        <f t="shared" si="22"/>
        <v>-182.07999999999998</v>
      </c>
      <c r="M37" s="2"/>
      <c r="N37" s="7">
        <f t="shared" si="23"/>
        <v>-0.72585210285030888</v>
      </c>
      <c r="O37" s="11"/>
      <c r="P37" s="6">
        <v>106.77</v>
      </c>
      <c r="Q37" s="2"/>
      <c r="R37" s="7">
        <f t="shared" si="24"/>
        <v>8.6709004677754673E-4</v>
      </c>
      <c r="S37" s="2"/>
      <c r="T37" s="6">
        <v>2350.44</v>
      </c>
      <c r="U37" s="2"/>
      <c r="V37" s="7">
        <f t="shared" si="25"/>
        <v>1.9228705127785597E-2</v>
      </c>
      <c r="W37" s="2"/>
      <c r="X37" s="6">
        <f t="shared" si="26"/>
        <v>-2243.67</v>
      </c>
      <c r="Y37" s="2"/>
      <c r="Z37" s="7">
        <f t="shared" si="27"/>
        <v>-0.95457446265380097</v>
      </c>
    </row>
    <row r="38" spans="1:26" s="27" customFormat="1" outlineLevel="1" collapsed="1" x14ac:dyDescent="0.25">
      <c r="A38" s="25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2910.64</v>
      </c>
      <c r="E38" s="1"/>
      <c r="F38" s="5">
        <f t="shared" si="20"/>
        <v>0.10770574304322084</v>
      </c>
      <c r="G38" s="1"/>
      <c r="H38" s="1">
        <f>SUM(OSRRefH22_3x_0)</f>
        <v>2742.16</v>
      </c>
      <c r="I38" s="1"/>
      <c r="J38" s="5">
        <f t="shared" si="21"/>
        <v>-0.59047372954349697</v>
      </c>
      <c r="K38" s="1"/>
      <c r="L38" s="1">
        <f t="shared" si="22"/>
        <v>168.48000000000002</v>
      </c>
      <c r="M38" s="1"/>
      <c r="N38" s="5">
        <f t="shared" si="23"/>
        <v>6.1440616156606481E-2</v>
      </c>
      <c r="O38" s="13"/>
      <c r="P38" s="1">
        <f>SUM(OSRRefP22_3x_0)</f>
        <v>8516.69</v>
      </c>
      <c r="Q38" s="1"/>
      <c r="R38" s="5">
        <f t="shared" si="24"/>
        <v>6.9164907094594594E-2</v>
      </c>
      <c r="S38" s="1"/>
      <c r="T38" s="1">
        <f>SUM(OSRRefT22_3x_0)</f>
        <v>8115.65</v>
      </c>
      <c r="U38" s="1"/>
      <c r="V38" s="5">
        <f t="shared" si="25"/>
        <v>6.6393288392944796E-2</v>
      </c>
      <c r="W38" s="1"/>
      <c r="X38" s="1">
        <f t="shared" si="26"/>
        <v>401.04000000000087</v>
      </c>
      <c r="Y38" s="1"/>
      <c r="Z38" s="5">
        <f t="shared" si="27"/>
        <v>4.9415635223303236E-2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2910.64</v>
      </c>
      <c r="E39" s="2"/>
      <c r="F39" s="7">
        <f t="shared" si="20"/>
        <v>0.10770574304322084</v>
      </c>
      <c r="G39" s="2"/>
      <c r="H39" s="6">
        <v>2742.16</v>
      </c>
      <c r="I39" s="2"/>
      <c r="J39" s="7">
        <f t="shared" si="21"/>
        <v>-0.59047372954349697</v>
      </c>
      <c r="K39" s="2"/>
      <c r="L39" s="6">
        <f t="shared" si="22"/>
        <v>168.48000000000002</v>
      </c>
      <c r="M39" s="2"/>
      <c r="N39" s="7">
        <f t="shared" si="23"/>
        <v>6.1440616156606481E-2</v>
      </c>
      <c r="O39" s="11"/>
      <c r="P39" s="6">
        <v>8516.69</v>
      </c>
      <c r="Q39" s="2"/>
      <c r="R39" s="7">
        <f t="shared" si="24"/>
        <v>6.9164907094594594E-2</v>
      </c>
      <c r="S39" s="2"/>
      <c r="T39" s="6">
        <v>8115.65</v>
      </c>
      <c r="U39" s="2"/>
      <c r="V39" s="7">
        <f t="shared" si="25"/>
        <v>6.6393288392944796E-2</v>
      </c>
      <c r="W39" s="2"/>
      <c r="X39" s="6">
        <f t="shared" si="26"/>
        <v>401.04000000000087</v>
      </c>
      <c r="Y39" s="2"/>
      <c r="Z39" s="7">
        <f t="shared" si="27"/>
        <v>4.9415635223303236E-2</v>
      </c>
    </row>
    <row r="40" spans="1:26" s="27" customFormat="1" outlineLevel="1" collapsed="1" x14ac:dyDescent="0.25">
      <c r="A40" s="25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5.2169958419958414E-4</v>
      </c>
      <c r="S40" s="1"/>
      <c r="T40" s="1">
        <f>SUM(OSRRefT22_4x_0)</f>
        <v>0</v>
      </c>
      <c r="U40" s="1"/>
      <c r="V40" s="5">
        <f t="shared" si="25"/>
        <v>0</v>
      </c>
      <c r="W40" s="1"/>
      <c r="X40" s="1">
        <f t="shared" si="26"/>
        <v>64.239999999999995</v>
      </c>
      <c r="Y40" s="1"/>
      <c r="Z40" s="5">
        <f t="shared" si="27"/>
        <v>0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5.2169958419958414E-4</v>
      </c>
      <c r="S41" s="2"/>
      <c r="T41" s="6"/>
      <c r="U41" s="2"/>
      <c r="V41" s="7">
        <f t="shared" si="25"/>
        <v>0</v>
      </c>
      <c r="W41" s="2"/>
      <c r="X41" s="6">
        <f t="shared" si="26"/>
        <v>64.239999999999995</v>
      </c>
      <c r="Y41" s="2"/>
      <c r="Z41" s="7">
        <f t="shared" si="27"/>
        <v>0</v>
      </c>
    </row>
    <row r="42" spans="1:26" s="27" customFormat="1" outlineLevel="1" collapsed="1" x14ac:dyDescent="0.25">
      <c r="A42" s="25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21.12</v>
      </c>
      <c r="U42" s="1"/>
      <c r="V42" s="5">
        <f t="shared" si="25"/>
        <v>1.7278052292287051E-4</v>
      </c>
      <c r="W42" s="1"/>
      <c r="X42" s="1">
        <f t="shared" si="26"/>
        <v>-21.12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21.12</v>
      </c>
      <c r="U43" s="2"/>
      <c r="V43" s="7">
        <f t="shared" si="25"/>
        <v>1.7278052292287051E-4</v>
      </c>
      <c r="W43" s="2"/>
      <c r="X43" s="6">
        <f t="shared" si="26"/>
        <v>-21.12</v>
      </c>
      <c r="Y43" s="2"/>
      <c r="Z43" s="7">
        <f t="shared" si="27"/>
        <v>-1</v>
      </c>
    </row>
    <row r="44" spans="1:26" s="27" customFormat="1" outlineLevel="1" collapsed="1" x14ac:dyDescent="0.25">
      <c r="A44" s="25"/>
      <c r="B44" s="13" t="str">
        <f>CONCATENATE("     ","General                                           ")</f>
        <v xml:space="preserve">     General                                           </v>
      </c>
      <c r="C44" s="13"/>
      <c r="D44" s="1">
        <f>SUM(OSRRefD22_6x_0)</f>
        <v>0</v>
      </c>
      <c r="E44" s="1"/>
      <c r="F44" s="5">
        <f t="shared" si="20"/>
        <v>0</v>
      </c>
      <c r="G44" s="1"/>
      <c r="H44" s="1">
        <f>SUM(OSRRefH22_6x_0)</f>
        <v>0</v>
      </c>
      <c r="I44" s="1"/>
      <c r="J44" s="5">
        <f t="shared" si="21"/>
        <v>0</v>
      </c>
      <c r="K44" s="1"/>
      <c r="L44" s="1">
        <f t="shared" si="22"/>
        <v>0</v>
      </c>
      <c r="M44" s="1"/>
      <c r="N44" s="5">
        <f t="shared" si="23"/>
        <v>0</v>
      </c>
      <c r="O44" s="13"/>
      <c r="P44" s="1">
        <f>SUM(OSRRefP22_6x_0)</f>
        <v>0</v>
      </c>
      <c r="Q44" s="1"/>
      <c r="R44" s="5">
        <f t="shared" si="24"/>
        <v>0</v>
      </c>
      <c r="S44" s="1"/>
      <c r="T44" s="1">
        <f>SUM(OSRRefT22_6x_0)</f>
        <v>1901</v>
      </c>
      <c r="U44" s="1"/>
      <c r="V44" s="5">
        <f t="shared" si="25"/>
        <v>1.5551883242252691E-2</v>
      </c>
      <c r="W44" s="1"/>
      <c r="X44" s="1">
        <f t="shared" si="26"/>
        <v>-1901</v>
      </c>
      <c r="Y44" s="1"/>
      <c r="Z44" s="5">
        <f t="shared" si="27"/>
        <v>-1</v>
      </c>
    </row>
    <row r="45" spans="1:26" s="24" customFormat="1" hidden="1" outlineLevel="2" x14ac:dyDescent="0.25">
      <c r="A45" s="26"/>
      <c r="B45" s="11" t="str">
        <f>CONCATENATE("          ", "6279", " - ", "GENERAL EXPENSE")</f>
        <v xml:space="preserve">          6279 - GENERAL EXPENSE</v>
      </c>
      <c r="C45" s="11"/>
      <c r="D45" s="6"/>
      <c r="E45" s="2"/>
      <c r="F45" s="7">
        <f t="shared" si="20"/>
        <v>0</v>
      </c>
      <c r="G45" s="2"/>
      <c r="H45" s="6"/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1901</v>
      </c>
      <c r="U45" s="2"/>
      <c r="V45" s="7">
        <f t="shared" si="25"/>
        <v>1.5551883242252691E-2</v>
      </c>
      <c r="W45" s="2"/>
      <c r="X45" s="6">
        <f t="shared" si="26"/>
        <v>-1901</v>
      </c>
      <c r="Y45" s="2"/>
      <c r="Z45" s="7">
        <f t="shared" si="27"/>
        <v>-1</v>
      </c>
    </row>
    <row r="46" spans="1:26" s="27" customFormat="1" outlineLevel="1" collapsed="1" x14ac:dyDescent="0.25">
      <c r="A46" s="25"/>
      <c r="B46" s="13" t="str">
        <f>CONCATENATE("     ","Insurance                                         ")</f>
        <v xml:space="preserve">     Insurance                                         </v>
      </c>
      <c r="C46" s="13"/>
      <c r="D46" s="1">
        <f>SUM(OSRRefD22_7x_0)</f>
        <v>29.01</v>
      </c>
      <c r="E46" s="1"/>
      <c r="F46" s="5">
        <f t="shared" si="20"/>
        <v>1.0734902309058616E-3</v>
      </c>
      <c r="G46" s="1"/>
      <c r="H46" s="1">
        <f>SUM(OSRRefH22_7x_0)</f>
        <v>27.33</v>
      </c>
      <c r="I46" s="1"/>
      <c r="J46" s="5">
        <f t="shared" si="21"/>
        <v>-5.8850129198966409E-3</v>
      </c>
      <c r="K46" s="1"/>
      <c r="L46" s="1">
        <f t="shared" si="22"/>
        <v>1.6800000000000033</v>
      </c>
      <c r="M46" s="1"/>
      <c r="N46" s="5">
        <f t="shared" si="23"/>
        <v>6.1470911086718018E-2</v>
      </c>
      <c r="O46" s="13"/>
      <c r="P46" s="1">
        <f>SUM(OSRRefP22_7x_0)</f>
        <v>116.04</v>
      </c>
      <c r="Q46" s="1"/>
      <c r="R46" s="5">
        <f t="shared" si="24"/>
        <v>9.423726611226612E-4</v>
      </c>
      <c r="S46" s="1"/>
      <c r="T46" s="1">
        <f>SUM(OSRRefT22_7x_0)</f>
        <v>109.32</v>
      </c>
      <c r="U46" s="1"/>
      <c r="V46" s="5">
        <f t="shared" si="25"/>
        <v>8.9433554762917628E-4</v>
      </c>
      <c r="W46" s="1"/>
      <c r="X46" s="1">
        <f t="shared" si="26"/>
        <v>6.7200000000000131</v>
      </c>
      <c r="Y46" s="1"/>
      <c r="Z46" s="5">
        <f t="shared" si="27"/>
        <v>6.1470911086718018E-2</v>
      </c>
    </row>
    <row r="47" spans="1:26" s="24" customFormat="1" hidden="1" outlineLevel="2" x14ac:dyDescent="0.25">
      <c r="A47" s="26"/>
      <c r="B47" s="11" t="str">
        <f>CONCATENATE("          ", "6314", " - ", "LIABILITY INSURANCE")</f>
        <v xml:space="preserve">          6314 - LIABILITY INSURANCE</v>
      </c>
      <c r="C47" s="11"/>
      <c r="D47" s="6">
        <v>29.01</v>
      </c>
      <c r="E47" s="2"/>
      <c r="F47" s="7">
        <f t="shared" si="20"/>
        <v>1.0734902309058616E-3</v>
      </c>
      <c r="G47" s="2"/>
      <c r="H47" s="6">
        <v>27.33</v>
      </c>
      <c r="I47" s="2"/>
      <c r="J47" s="7">
        <f t="shared" si="21"/>
        <v>-5.8850129198966409E-3</v>
      </c>
      <c r="K47" s="2"/>
      <c r="L47" s="6">
        <f t="shared" si="22"/>
        <v>1.6800000000000033</v>
      </c>
      <c r="M47" s="2"/>
      <c r="N47" s="7">
        <f t="shared" si="23"/>
        <v>6.1470911086718018E-2</v>
      </c>
      <c r="O47" s="11"/>
      <c r="P47" s="6">
        <v>116.04</v>
      </c>
      <c r="Q47" s="2"/>
      <c r="R47" s="7">
        <f t="shared" si="24"/>
        <v>9.423726611226612E-4</v>
      </c>
      <c r="S47" s="2"/>
      <c r="T47" s="6">
        <v>109.32</v>
      </c>
      <c r="U47" s="2"/>
      <c r="V47" s="7">
        <f t="shared" si="25"/>
        <v>8.9433554762917628E-4</v>
      </c>
      <c r="W47" s="2"/>
      <c r="X47" s="6">
        <f t="shared" si="26"/>
        <v>6.7200000000000131</v>
      </c>
      <c r="Y47" s="2"/>
      <c r="Z47" s="7">
        <f t="shared" si="27"/>
        <v>6.1470911086718018E-2</v>
      </c>
    </row>
    <row r="48" spans="1:26" s="27" customFormat="1" outlineLevel="1" collapsed="1" x14ac:dyDescent="0.25">
      <c r="A48" s="25"/>
      <c r="B48" s="13" t="str">
        <f>CONCATENATE("     ","Professional Services                             ")</f>
        <v xml:space="preserve">     Professional Services                             </v>
      </c>
      <c r="C48" s="13"/>
      <c r="D48" s="1">
        <f>SUM(OSRRefD22_8x_0)</f>
        <v>0</v>
      </c>
      <c r="E48" s="1"/>
      <c r="F48" s="5">
        <f t="shared" si="20"/>
        <v>0</v>
      </c>
      <c r="G48" s="1"/>
      <c r="H48" s="1">
        <f>SUM(OSRRefH22_8x_0)</f>
        <v>0</v>
      </c>
      <c r="I48" s="1"/>
      <c r="J48" s="5">
        <f t="shared" si="21"/>
        <v>0</v>
      </c>
      <c r="K48" s="1"/>
      <c r="L48" s="1">
        <f t="shared" si="22"/>
        <v>0</v>
      </c>
      <c r="M48" s="1"/>
      <c r="N48" s="5">
        <f t="shared" si="23"/>
        <v>0</v>
      </c>
      <c r="O48" s="13"/>
      <c r="P48" s="1">
        <f>SUM(OSRRefP22_8x_0)</f>
        <v>0</v>
      </c>
      <c r="Q48" s="1"/>
      <c r="R48" s="5">
        <f t="shared" si="24"/>
        <v>0</v>
      </c>
      <c r="S48" s="1"/>
      <c r="T48" s="1">
        <f>SUM(OSRRefT22_8x_0)</f>
        <v>1680</v>
      </c>
      <c r="U48" s="1"/>
      <c r="V48" s="5">
        <f t="shared" si="25"/>
        <v>1.3743905232501064E-2</v>
      </c>
      <c r="W48" s="1"/>
      <c r="X48" s="1">
        <f t="shared" si="26"/>
        <v>-1680</v>
      </c>
      <c r="Y48" s="1"/>
      <c r="Z48" s="5">
        <f t="shared" si="27"/>
        <v>-1</v>
      </c>
    </row>
    <row r="49" spans="1:26" s="24" customFormat="1" hidden="1" outlineLevel="2" x14ac:dyDescent="0.25">
      <c r="A49" s="26"/>
      <c r="B49" s="11" t="str">
        <f>CONCATENATE("          ", "6336", " - ", "PROFESSIONAL SERVICES")</f>
        <v xml:space="preserve">          6336 - PROFESSIONAL SERVICES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1680</v>
      </c>
      <c r="U49" s="2"/>
      <c r="V49" s="7">
        <f t="shared" si="25"/>
        <v>1.3743905232501064E-2</v>
      </c>
      <c r="W49" s="2"/>
      <c r="X49" s="6">
        <f t="shared" si="26"/>
        <v>-1680</v>
      </c>
      <c r="Y49" s="2"/>
      <c r="Z49" s="7">
        <f t="shared" si="27"/>
        <v>-1</v>
      </c>
    </row>
    <row r="50" spans="1:26" s="27" customFormat="1" outlineLevel="1" collapsed="1" x14ac:dyDescent="0.25">
      <c r="A50" s="25"/>
      <c r="B50" s="13" t="str">
        <f>CONCATENATE("     ","Rent                                              ")</f>
        <v xml:space="preserve">     Rent                                              </v>
      </c>
      <c r="C50" s="13"/>
      <c r="D50" s="1">
        <f>SUM(OSRRefD22_9x_0)</f>
        <v>800</v>
      </c>
      <c r="E50" s="1"/>
      <c r="F50" s="5">
        <f t="shared" si="20"/>
        <v>2.9603315571343991E-2</v>
      </c>
      <c r="G50" s="1"/>
      <c r="H50" s="1">
        <f>SUM(OSRRefH22_9x_0)</f>
        <v>800</v>
      </c>
      <c r="I50" s="1"/>
      <c r="J50" s="5">
        <f t="shared" si="21"/>
        <v>-0.17226528854435832</v>
      </c>
      <c r="K50" s="1"/>
      <c r="L50" s="1">
        <f t="shared" si="22"/>
        <v>0</v>
      </c>
      <c r="M50" s="1"/>
      <c r="N50" s="5">
        <f t="shared" si="23"/>
        <v>0</v>
      </c>
      <c r="O50" s="13"/>
      <c r="P50" s="1">
        <f>SUM(OSRRefP22_9x_0)</f>
        <v>3200</v>
      </c>
      <c r="Q50" s="1"/>
      <c r="R50" s="5">
        <f t="shared" si="24"/>
        <v>2.5987525987525989E-2</v>
      </c>
      <c r="S50" s="1"/>
      <c r="T50" s="1">
        <f>SUM(OSRRefT22_9x_0)</f>
        <v>2400</v>
      </c>
      <c r="U50" s="1"/>
      <c r="V50" s="5">
        <f t="shared" si="25"/>
        <v>1.9634150332144377E-2</v>
      </c>
      <c r="W50" s="1"/>
      <c r="X50" s="1">
        <f t="shared" si="26"/>
        <v>800</v>
      </c>
      <c r="Y50" s="1"/>
      <c r="Z50" s="5">
        <f t="shared" si="27"/>
        <v>0.33333333333333331</v>
      </c>
    </row>
    <row r="51" spans="1:26" s="24" customFormat="1" hidden="1" outlineLevel="2" x14ac:dyDescent="0.25">
      <c r="A51" s="26"/>
      <c r="B51" s="11" t="str">
        <f>CONCATENATE("          ", "6273", " - ", "RENT")</f>
        <v xml:space="preserve">          6273 - RENT</v>
      </c>
      <c r="C51" s="11"/>
      <c r="D51" s="6">
        <v>800</v>
      </c>
      <c r="E51" s="2"/>
      <c r="F51" s="7">
        <f t="shared" si="20"/>
        <v>2.9603315571343991E-2</v>
      </c>
      <c r="G51" s="2"/>
      <c r="H51" s="6">
        <v>800</v>
      </c>
      <c r="I51" s="2"/>
      <c r="J51" s="7">
        <f t="shared" si="21"/>
        <v>-0.17226528854435832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>
        <v>3200</v>
      </c>
      <c r="Q51" s="2"/>
      <c r="R51" s="7">
        <f t="shared" si="24"/>
        <v>2.5987525987525989E-2</v>
      </c>
      <c r="S51" s="2"/>
      <c r="T51" s="6">
        <v>2400</v>
      </c>
      <c r="U51" s="2"/>
      <c r="V51" s="7">
        <f t="shared" si="25"/>
        <v>1.9634150332144377E-2</v>
      </c>
      <c r="W51" s="2"/>
      <c r="X51" s="6">
        <f t="shared" si="26"/>
        <v>800</v>
      </c>
      <c r="Y51" s="2"/>
      <c r="Z51" s="7">
        <f t="shared" si="27"/>
        <v>0.33333333333333331</v>
      </c>
    </row>
    <row r="52" spans="1:26" s="27" customFormat="1" outlineLevel="1" collapsed="1" x14ac:dyDescent="0.25">
      <c r="A52" s="25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SUM(OSRRefD22_10x_0)</f>
        <v>0</v>
      </c>
      <c r="E52" s="1"/>
      <c r="F52" s="5">
        <f t="shared" si="20"/>
        <v>0</v>
      </c>
      <c r="G52" s="1"/>
      <c r="H52" s="1">
        <f>SUM(OSRRefH22_10x_0)</f>
        <v>0</v>
      </c>
      <c r="I52" s="1"/>
      <c r="J52" s="5">
        <f t="shared" si="21"/>
        <v>0</v>
      </c>
      <c r="K52" s="1"/>
      <c r="L52" s="1">
        <f t="shared" si="22"/>
        <v>0</v>
      </c>
      <c r="M52" s="1"/>
      <c r="N52" s="5">
        <f t="shared" si="23"/>
        <v>0</v>
      </c>
      <c r="O52" s="13"/>
      <c r="P52" s="1">
        <f>SUM(OSRRefP22_10x_0)</f>
        <v>437.31</v>
      </c>
      <c r="Q52" s="1"/>
      <c r="R52" s="5">
        <f t="shared" si="24"/>
        <v>3.5514390592515594E-3</v>
      </c>
      <c r="S52" s="1"/>
      <c r="T52" s="1">
        <f>SUM(OSRRefT22_10x_0)</f>
        <v>600</v>
      </c>
      <c r="U52" s="1"/>
      <c r="V52" s="5">
        <f t="shared" si="25"/>
        <v>4.9085375830360944E-3</v>
      </c>
      <c r="W52" s="1"/>
      <c r="X52" s="1">
        <f t="shared" si="26"/>
        <v>-162.69</v>
      </c>
      <c r="Y52" s="1"/>
      <c r="Z52" s="5">
        <f t="shared" si="27"/>
        <v>-0.27115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20"/>
        <v>0</v>
      </c>
      <c r="G53" s="2"/>
      <c r="H53" s="6"/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>
        <v>437.31</v>
      </c>
      <c r="Q53" s="2"/>
      <c r="R53" s="7">
        <f t="shared" si="24"/>
        <v>3.5514390592515594E-3</v>
      </c>
      <c r="S53" s="2"/>
      <c r="T53" s="6"/>
      <c r="U53" s="2"/>
      <c r="V53" s="7">
        <f t="shared" si="25"/>
        <v>0</v>
      </c>
      <c r="W53" s="2"/>
      <c r="X53" s="6">
        <f t="shared" si="26"/>
        <v>437.31</v>
      </c>
      <c r="Y53" s="2"/>
      <c r="Z53" s="7">
        <f t="shared" si="27"/>
        <v>0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0"/>
        <v>0</v>
      </c>
      <c r="G54" s="2"/>
      <c r="H54" s="6"/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600</v>
      </c>
      <c r="U54" s="2"/>
      <c r="V54" s="7">
        <f t="shared" si="25"/>
        <v>4.9085375830360944E-3</v>
      </c>
      <c r="W54" s="2"/>
      <c r="X54" s="6">
        <f t="shared" si="26"/>
        <v>-600</v>
      </c>
      <c r="Y54" s="2"/>
      <c r="Z54" s="7">
        <f t="shared" si="27"/>
        <v>-1</v>
      </c>
    </row>
    <row r="55" spans="1:26" s="27" customFormat="1" outlineLevel="1" collapsed="1" x14ac:dyDescent="0.25">
      <c r="A55" s="25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SUM(OSRRefD22_11x_0)</f>
        <v>215.67</v>
      </c>
      <c r="E55" s="1"/>
      <c r="F55" s="5">
        <f t="shared" ref="F55:F59" si="28">IF(D$12=0,0,D55/D$12)</f>
        <v>7.9806838365896974E-3</v>
      </c>
      <c r="G55" s="1"/>
      <c r="H55" s="1">
        <f>SUM(OSRRefH22_11x_0)</f>
        <v>-28965.57</v>
      </c>
      <c r="I55" s="1"/>
      <c r="J55" s="5">
        <f t="shared" ref="J55:J59" si="29">IF(H$12=0,0,H55/H$12)</f>
        <v>6.2372028423772612</v>
      </c>
      <c r="K55" s="1"/>
      <c r="L55" s="1">
        <f t="shared" ref="L55:L59" si="30">+D55-H55</f>
        <v>29181.239999999998</v>
      </c>
      <c r="M55" s="1"/>
      <c r="N55" s="5">
        <f t="shared" ref="N55:N59" si="31">IF(H55=0,0,L55/H55)</f>
        <v>-1.0074457364381229</v>
      </c>
      <c r="O55" s="13"/>
      <c r="P55" s="1">
        <f>SUM(OSRRefP22_11x_0)</f>
        <v>18352.650000000005</v>
      </c>
      <c r="Q55" s="1"/>
      <c r="R55" s="5">
        <f t="shared" ref="R55:R59" si="32">IF(P$12=0,0,P55/P$12)</f>
        <v>0.14904374025467779</v>
      </c>
      <c r="S55" s="1"/>
      <c r="T55" s="1">
        <f>SUM(OSRRefT22_11x_0)</f>
        <v>15154.050000000001</v>
      </c>
      <c r="U55" s="1"/>
      <c r="V55" s="5">
        <f t="shared" ref="V55:V59" si="33">IF(T$12=0,0,T55/T$12)</f>
        <v>0.12397370660034687</v>
      </c>
      <c r="W55" s="1"/>
      <c r="X55" s="1">
        <f t="shared" ref="X55:X59" si="34">+P55-T55</f>
        <v>3198.600000000004</v>
      </c>
      <c r="Y55" s="1"/>
      <c r="Z55" s="5">
        <f t="shared" ref="Z55:Z59" si="35">IF(T55=0,0,X55/T55)</f>
        <v>0.21107228760628372</v>
      </c>
    </row>
    <row r="56" spans="1:26" s="24" customFormat="1" hidden="1" outlineLevel="2" x14ac:dyDescent="0.25">
      <c r="A56" s="26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413.27</v>
      </c>
      <c r="Q56" s="2"/>
      <c r="R56" s="7">
        <f t="shared" si="32"/>
        <v>3.3562077702702703E-3</v>
      </c>
      <c r="S56" s="2"/>
      <c r="T56" s="6"/>
      <c r="U56" s="2"/>
      <c r="V56" s="7">
        <f t="shared" si="33"/>
        <v>0</v>
      </c>
      <c r="W56" s="2"/>
      <c r="X56" s="6">
        <f t="shared" si="34"/>
        <v>413.27</v>
      </c>
      <c r="Y56" s="2"/>
      <c r="Z56" s="7">
        <f t="shared" si="35"/>
        <v>0</v>
      </c>
    </row>
    <row r="57" spans="1:26" s="24" customFormat="1" hidden="1" outlineLevel="2" x14ac:dyDescent="0.25">
      <c r="A57" s="26"/>
      <c r="B57" s="11" t="str">
        <f>CONCATENATE("          ", "6241", " - ", "OFFICE EXPENSE")</f>
        <v xml:space="preserve">          6241 - OFFICE EXPENSE</v>
      </c>
      <c r="C57" s="11"/>
      <c r="D57" s="6">
        <v>215.67</v>
      </c>
      <c r="E57" s="2"/>
      <c r="F57" s="7">
        <f t="shared" si="28"/>
        <v>7.9806838365896974E-3</v>
      </c>
      <c r="G57" s="2"/>
      <c r="H57" s="6">
        <v>-20695.43</v>
      </c>
      <c r="I57" s="2"/>
      <c r="J57" s="7">
        <f t="shared" si="29"/>
        <v>4.4563802756244622</v>
      </c>
      <c r="K57" s="2"/>
      <c r="L57" s="6">
        <f t="shared" si="30"/>
        <v>20911.099999999999</v>
      </c>
      <c r="M57" s="2"/>
      <c r="N57" s="7">
        <f t="shared" si="31"/>
        <v>-1.0104211412857813</v>
      </c>
      <c r="O57" s="11"/>
      <c r="P57" s="6">
        <v>17818.550000000003</v>
      </c>
      <c r="Q57" s="2"/>
      <c r="R57" s="7">
        <f t="shared" si="32"/>
        <v>0.14470625974532228</v>
      </c>
      <c r="S57" s="2"/>
      <c r="T57" s="6">
        <v>14794.630000000001</v>
      </c>
      <c r="U57" s="2"/>
      <c r="V57" s="7">
        <f t="shared" si="33"/>
        <v>0.12103332897018883</v>
      </c>
      <c r="W57" s="2"/>
      <c r="X57" s="6">
        <f t="shared" si="34"/>
        <v>3023.9200000000019</v>
      </c>
      <c r="Y57" s="2"/>
      <c r="Z57" s="7">
        <f t="shared" si="35"/>
        <v>0.20439308046230298</v>
      </c>
    </row>
    <row r="58" spans="1:26" s="24" customFormat="1" hidden="1" outlineLevel="2" x14ac:dyDescent="0.25">
      <c r="A58" s="26"/>
      <c r="B58" s="11" t="str">
        <f>CONCATENATE("          ", "6245", " - ", "PRINTING")</f>
        <v xml:space="preserve">          6245 - PRINTING</v>
      </c>
      <c r="C58" s="11"/>
      <c r="D58" s="6"/>
      <c r="E58" s="2"/>
      <c r="F58" s="7">
        <f t="shared" si="28"/>
        <v>0</v>
      </c>
      <c r="G58" s="2"/>
      <c r="H58" s="6">
        <v>238.14</v>
      </c>
      <c r="I58" s="2"/>
      <c r="J58" s="7">
        <f t="shared" si="29"/>
        <v>-5.1279069767441857E-2</v>
      </c>
      <c r="K58" s="2"/>
      <c r="L58" s="6">
        <f t="shared" si="30"/>
        <v>-238.14</v>
      </c>
      <c r="M58" s="2"/>
      <c r="N58" s="7">
        <f t="shared" si="31"/>
        <v>-1</v>
      </c>
      <c r="O58" s="11"/>
      <c r="P58" s="6">
        <v>120.83</v>
      </c>
      <c r="Q58" s="2"/>
      <c r="R58" s="7">
        <f t="shared" si="32"/>
        <v>9.8127273908523902E-4</v>
      </c>
      <c r="S58" s="2"/>
      <c r="T58" s="6">
        <v>359.42</v>
      </c>
      <c r="U58" s="2"/>
      <c r="V58" s="7">
        <f t="shared" si="33"/>
        <v>2.9403776301580552E-3</v>
      </c>
      <c r="W58" s="2"/>
      <c r="X58" s="6">
        <f t="shared" si="34"/>
        <v>-238.59000000000003</v>
      </c>
      <c r="Y58" s="2"/>
      <c r="Z58" s="7">
        <f t="shared" si="35"/>
        <v>-0.66381948695119919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6"/>
      <c r="E59" s="2"/>
      <c r="F59" s="7">
        <f t="shared" si="28"/>
        <v>0</v>
      </c>
      <c r="G59" s="2"/>
      <c r="H59" s="6">
        <v>-8508.2800000000007</v>
      </c>
      <c r="I59" s="2"/>
      <c r="J59" s="7">
        <f t="shared" si="29"/>
        <v>1.8321016365202414</v>
      </c>
      <c r="K59" s="2"/>
      <c r="L59" s="6">
        <f t="shared" si="30"/>
        <v>8508.2800000000007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0</v>
      </c>
      <c r="U59" s="2"/>
      <c r="V59" s="7">
        <f t="shared" si="33"/>
        <v>0</v>
      </c>
      <c r="W59" s="2"/>
      <c r="X59" s="6">
        <f t="shared" si="34"/>
        <v>0</v>
      </c>
      <c r="Y59" s="2"/>
      <c r="Z59" s="7">
        <f t="shared" si="35"/>
        <v>0</v>
      </c>
    </row>
    <row r="60" spans="1:26" s="27" customFormat="1" outlineLevel="1" collapsed="1" x14ac:dyDescent="0.25">
      <c r="A60" s="25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SUM(OSRRefD22_12x_0)</f>
        <v>188.95</v>
      </c>
      <c r="E60" s="1"/>
      <c r="F60" s="5">
        <f t="shared" ref="F60:F61" si="36">IF(D$12=0,0,D60/D$12)</f>
        <v>6.9919330965068083E-3</v>
      </c>
      <c r="G60" s="1"/>
      <c r="H60" s="1">
        <f>SUM(OSRRefH22_12x_0)</f>
        <v>372.12</v>
      </c>
      <c r="I60" s="1"/>
      <c r="J60" s="5">
        <f t="shared" ref="J60:J61" si="37">IF(H$12=0,0,H60/H$12)</f>
        <v>-8.0129198966408272E-2</v>
      </c>
      <c r="K60" s="1"/>
      <c r="L60" s="1">
        <f t="shared" ref="L60:L61" si="38">+D60-H60</f>
        <v>-183.17000000000002</v>
      </c>
      <c r="M60" s="1"/>
      <c r="N60" s="5">
        <f t="shared" ref="N60:N61" si="39">IF(H60=0,0,L60/H60)</f>
        <v>-0.49223368805761586</v>
      </c>
      <c r="O60" s="13"/>
      <c r="P60" s="1">
        <f>SUM(OSRRefP22_12x_0)</f>
        <v>764.6</v>
      </c>
      <c r="Q60" s="1"/>
      <c r="R60" s="5">
        <f t="shared" ref="R60:R61" si="40">IF(P$12=0,0,P60/P$12)</f>
        <v>6.2093944906444912E-3</v>
      </c>
      <c r="S60" s="1"/>
      <c r="T60" s="1">
        <f>SUM(OSRRefT22_12x_0)</f>
        <v>1502.83</v>
      </c>
      <c r="U60" s="1"/>
      <c r="V60" s="5">
        <f t="shared" ref="V60:V61" si="41">IF(T$12=0,0,T60/T$12)</f>
        <v>1.2294495893190222E-2</v>
      </c>
      <c r="W60" s="1"/>
      <c r="X60" s="1">
        <f t="shared" ref="X60:X61" si="42">+P60-T60</f>
        <v>-738.2299999999999</v>
      </c>
      <c r="Y60" s="1"/>
      <c r="Z60" s="5">
        <f t="shared" ref="Z60:Z61" si="43">IF(T60=0,0,X60/T60)</f>
        <v>-0.49122655257081638</v>
      </c>
    </row>
    <row r="61" spans="1:26" s="24" customFormat="1" hidden="1" outlineLevel="2" x14ac:dyDescent="0.25">
      <c r="A61" s="26"/>
      <c r="B61" s="11" t="str">
        <f>CONCATENATE("          ", "6309", " - ", "TELEPHONE")</f>
        <v xml:space="preserve">          6309 - TELEPHONE</v>
      </c>
      <c r="C61" s="11"/>
      <c r="D61" s="6">
        <v>188.95</v>
      </c>
      <c r="E61" s="2"/>
      <c r="F61" s="7">
        <f t="shared" si="36"/>
        <v>6.9919330965068083E-3</v>
      </c>
      <c r="G61" s="2"/>
      <c r="H61" s="6">
        <v>372.12</v>
      </c>
      <c r="I61" s="2"/>
      <c r="J61" s="7">
        <f t="shared" si="37"/>
        <v>-8.0129198966408272E-2</v>
      </c>
      <c r="K61" s="2"/>
      <c r="L61" s="6">
        <f t="shared" si="38"/>
        <v>-183.17000000000002</v>
      </c>
      <c r="M61" s="2"/>
      <c r="N61" s="7">
        <f t="shared" si="39"/>
        <v>-0.49223368805761586</v>
      </c>
      <c r="O61" s="11"/>
      <c r="P61" s="6">
        <v>764.6</v>
      </c>
      <c r="Q61" s="2"/>
      <c r="R61" s="7">
        <f t="shared" si="40"/>
        <v>6.2093944906444912E-3</v>
      </c>
      <c r="S61" s="2"/>
      <c r="T61" s="6">
        <v>1502.83</v>
      </c>
      <c r="U61" s="2"/>
      <c r="V61" s="7">
        <f t="shared" si="41"/>
        <v>1.2294495893190222E-2</v>
      </c>
      <c r="W61" s="2"/>
      <c r="X61" s="6">
        <f t="shared" si="42"/>
        <v>-738.2299999999999</v>
      </c>
      <c r="Y61" s="2"/>
      <c r="Z61" s="7">
        <f t="shared" si="43"/>
        <v>-0.49122655257081638</v>
      </c>
    </row>
    <row r="62" spans="1:26" s="55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25">
      <c r="A63" s="10"/>
      <c r="B63" s="29" t="s">
        <v>0</v>
      </c>
      <c r="C63" s="10"/>
      <c r="D63" s="4">
        <f>SUM(OSRRefD25x_0)</f>
        <v>3196.59</v>
      </c>
      <c r="E63" s="4"/>
      <c r="F63" s="12">
        <f t="shared" ref="F63:F65" si="44">IF(D$12=0,0,D63/D$12)</f>
        <v>0.11828707815275312</v>
      </c>
      <c r="G63" s="4"/>
      <c r="H63" s="4">
        <f>SUM(OSRRefH25x_0)</f>
        <v>3174.81</v>
      </c>
      <c r="I63" s="4"/>
      <c r="J63" s="12">
        <f t="shared" ref="J63:J65" si="45">IF(H$12=0,0,H63/H$12)</f>
        <v>-0.6836369509043928</v>
      </c>
      <c r="K63" s="4"/>
      <c r="L63" s="4">
        <f t="shared" ref="L63:L65" si="46">+D63-H63</f>
        <v>21.7800000000002</v>
      </c>
      <c r="M63" s="4"/>
      <c r="N63" s="12">
        <f t="shared" ref="N63:N65" si="47">IF(H63=0,0,L63/H63)</f>
        <v>6.8602530545135614E-3</v>
      </c>
      <c r="O63" s="10"/>
      <c r="P63" s="4">
        <f>SUM(OSRRefP25x_0)</f>
        <v>10247.49</v>
      </c>
      <c r="Q63" s="4"/>
      <c r="R63" s="12">
        <f t="shared" ref="R63:R65" si="48">IF(P$12=0,0,P63/P$12)</f>
        <v>8.3220910213097715E-2</v>
      </c>
      <c r="S63" s="4"/>
      <c r="T63" s="4">
        <f>SUM(OSRRefT25x_0)</f>
        <v>11741.73</v>
      </c>
      <c r="U63" s="4"/>
      <c r="V63" s="12">
        <f t="shared" ref="V63:V65" si="49">IF(T$12=0,0,T63/T$12)</f>
        <v>9.6057871658103991E-2</v>
      </c>
      <c r="W63" s="4"/>
      <c r="X63" s="4">
        <f t="shared" ref="X63:X65" si="50">+P63-T63</f>
        <v>-1494.2399999999998</v>
      </c>
      <c r="Y63" s="4"/>
      <c r="Z63" s="12">
        <f t="shared" ref="Z63:Z65" si="51">IF(T63=0,0,X63/T63)</f>
        <v>-0.12725893032798402</v>
      </c>
    </row>
    <row r="64" spans="1:26" s="24" customFormat="1" hidden="1" outlineLevel="1" x14ac:dyDescent="0.25">
      <c r="A64" s="44"/>
      <c r="B64" s="11" t="str">
        <f>CONCATENATE("          ", "9150", " - ", "MISC. INCOME")</f>
        <v xml:space="preserve">          9150 - MISC. INCOME</v>
      </c>
      <c r="C64" s="11"/>
      <c r="D64" s="2">
        <f>--3196.59</f>
        <v>3196.59</v>
      </c>
      <c r="E64" s="2"/>
      <c r="F64" s="19">
        <f t="shared" si="44"/>
        <v>0.11828707815275312</v>
      </c>
      <c r="G64" s="2"/>
      <c r="H64" s="2">
        <f>--3004.46</f>
        <v>3004.46</v>
      </c>
      <c r="I64" s="2"/>
      <c r="J64" s="19">
        <f t="shared" si="45"/>
        <v>-0.64695521102497844</v>
      </c>
      <c r="K64" s="2"/>
      <c r="L64" s="2">
        <f t="shared" si="46"/>
        <v>192.13000000000011</v>
      </c>
      <c r="M64" s="2"/>
      <c r="N64" s="19">
        <f t="shared" si="47"/>
        <v>6.3948263581475581E-2</v>
      </c>
      <c r="O64" s="11"/>
      <c r="P64" s="2">
        <f>--10247.49</f>
        <v>10247.49</v>
      </c>
      <c r="Q64" s="2"/>
      <c r="R64" s="19">
        <f t="shared" si="48"/>
        <v>8.3220910213097715E-2</v>
      </c>
      <c r="S64" s="2"/>
      <c r="T64" s="2">
        <f>--11571.38</f>
        <v>11571.38</v>
      </c>
      <c r="U64" s="2"/>
      <c r="V64" s="19">
        <f t="shared" si="49"/>
        <v>9.4664256029320326E-2</v>
      </c>
      <c r="W64" s="2"/>
      <c r="X64" s="2">
        <f t="shared" si="50"/>
        <v>-1323.8899999999994</v>
      </c>
      <c r="Y64" s="2"/>
      <c r="Z64" s="19">
        <f t="shared" si="51"/>
        <v>-0.11441072715613863</v>
      </c>
    </row>
    <row r="65" spans="1:26" s="24" customFormat="1" hidden="1" outlineLevel="1" x14ac:dyDescent="0.25">
      <c r="A65" s="44"/>
      <c r="B65" s="11" t="str">
        <f>CONCATENATE("          ", "9160", " - ", "MISC. INCOME")</f>
        <v xml:space="preserve">          9160 - MISC. INCOME</v>
      </c>
      <c r="C65" s="11"/>
      <c r="D65" s="2">
        <f>0</f>
        <v>0</v>
      </c>
      <c r="E65" s="2"/>
      <c r="F65" s="19">
        <f t="shared" si="44"/>
        <v>0</v>
      </c>
      <c r="G65" s="2"/>
      <c r="H65" s="2">
        <f>--170.35</f>
        <v>170.35</v>
      </c>
      <c r="I65" s="2"/>
      <c r="J65" s="19">
        <f t="shared" si="45"/>
        <v>-3.6681739879414296E-2</v>
      </c>
      <c r="K65" s="2"/>
      <c r="L65" s="2">
        <f t="shared" si="46"/>
        <v>-170.35</v>
      </c>
      <c r="M65" s="2"/>
      <c r="N65" s="19">
        <f t="shared" si="47"/>
        <v>-1</v>
      </c>
      <c r="O65" s="11"/>
      <c r="P65" s="2">
        <f>0</f>
        <v>0</v>
      </c>
      <c r="Q65" s="2"/>
      <c r="R65" s="19">
        <f t="shared" si="48"/>
        <v>0</v>
      </c>
      <c r="S65" s="2"/>
      <c r="T65" s="2">
        <f>--170.35</f>
        <v>170.35</v>
      </c>
      <c r="U65" s="2"/>
      <c r="V65" s="19">
        <f t="shared" si="49"/>
        <v>1.3936156287836644E-3</v>
      </c>
      <c r="W65" s="2"/>
      <c r="X65" s="2">
        <f t="shared" si="50"/>
        <v>-170.35</v>
      </c>
      <c r="Y65" s="2"/>
      <c r="Z65" s="19">
        <f t="shared" si="51"/>
        <v>-1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8" t="s">
        <v>3</v>
      </c>
      <c r="C67" s="28"/>
      <c r="D67" s="21">
        <f>+D17-D19+D63</f>
        <v>1859.4800000000032</v>
      </c>
      <c r="E67" s="14"/>
      <c r="F67" s="22">
        <f>IF(D$12=0,0,D67/D$12)</f>
        <v>6.8808466548253525E-2</v>
      </c>
      <c r="G67" s="14"/>
      <c r="H67" s="21">
        <f>+H17-H19+H63</f>
        <v>917.52999999999747</v>
      </c>
      <c r="I67" s="14"/>
      <c r="J67" s="22">
        <f>IF(H$12=0,0,H67/H$12)</f>
        <v>-0.19757321274763082</v>
      </c>
      <c r="K67" s="16"/>
      <c r="L67" s="21">
        <f>+D67-H67</f>
        <v>941.95000000000573</v>
      </c>
      <c r="M67" s="16"/>
      <c r="N67" s="22">
        <f>IF(H67=0,0,L67/H67)</f>
        <v>1.0266149335716634</v>
      </c>
      <c r="O67" s="29"/>
      <c r="P67" s="21">
        <f>+P17-P19+P63</f>
        <v>10323.769999999984</v>
      </c>
      <c r="Q67" s="14"/>
      <c r="R67" s="22">
        <f>IF(P$12=0,0,P67/P$12)</f>
        <v>8.3840387863825236E-2</v>
      </c>
      <c r="S67" s="14"/>
      <c r="T67" s="21">
        <f>+T17-T19+T63</f>
        <v>11307.410000000007</v>
      </c>
      <c r="U67" s="14"/>
      <c r="V67" s="22">
        <f>IF(T$12=0,0,T67/T$12)</f>
        <v>9.2504744919663665E-2</v>
      </c>
      <c r="W67" s="16"/>
      <c r="X67" s="21">
        <f>+P67-T67</f>
        <v>-983.64000000002306</v>
      </c>
      <c r="Y67" s="16"/>
      <c r="Z67" s="22">
        <f>IF(T67=0,0,X67/T67)</f>
        <v>-8.6990743238285553E-2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2071.48</v>
      </c>
      <c r="E69" s="4"/>
      <c r="F69" s="12">
        <f>IF(D$12=0,0,D69/D$12)</f>
        <v>7.6653345174659562E-2</v>
      </c>
      <c r="G69" s="4"/>
      <c r="H69" s="4">
        <v>-46.79</v>
      </c>
      <c r="I69" s="4"/>
      <c r="J69" s="12">
        <f>IF(H$12=0,0,H69/H$12)</f>
        <v>1.0075366063738156E-2</v>
      </c>
      <c r="K69" s="4"/>
      <c r="L69" s="4">
        <f>+D69-H69</f>
        <v>2118.27</v>
      </c>
      <c r="M69" s="4"/>
      <c r="N69" s="12">
        <f>IF(H69=0,0,L69/H69)</f>
        <v>-45.271852960034195</v>
      </c>
      <c r="O69" s="10"/>
      <c r="P69" s="4">
        <v>12395.18</v>
      </c>
      <c r="Q69" s="4"/>
      <c r="R69" s="12">
        <f>IF(P$12=0,0,P69/P$12)</f>
        <v>0.10066251949064449</v>
      </c>
      <c r="S69" s="4"/>
      <c r="T69" s="4">
        <v>11226.13</v>
      </c>
      <c r="U69" s="4"/>
      <c r="V69" s="12">
        <f>IF(T$12=0,0,T69/T$12)</f>
        <v>9.1839801695081644E-2</v>
      </c>
      <c r="W69" s="4"/>
      <c r="X69" s="4">
        <f>+P69-T69</f>
        <v>1169.0500000000011</v>
      </c>
      <c r="Y69" s="4"/>
      <c r="Z69" s="12">
        <f>IF(T69=0,0,X69/T69)</f>
        <v>0.10413651008851681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4</v>
      </c>
      <c r="C71" s="28"/>
      <c r="D71" s="31">
        <f>+D67-D69</f>
        <v>-211.99999999999682</v>
      </c>
      <c r="E71" s="14"/>
      <c r="F71" s="34">
        <f>IF(D$12=0,0,D71/D$12)</f>
        <v>-7.8448786264060395E-3</v>
      </c>
      <c r="G71" s="14"/>
      <c r="H71" s="31">
        <f>+H67-H69</f>
        <v>964.31999999999744</v>
      </c>
      <c r="I71" s="14"/>
      <c r="J71" s="34">
        <f>IF(H$12=0,0,H71/H$12)</f>
        <v>-0.20764857881136894</v>
      </c>
      <c r="K71" s="16"/>
      <c r="L71" s="31">
        <f>D71-H71</f>
        <v>-1176.3199999999943</v>
      </c>
      <c r="M71" s="16"/>
      <c r="N71" s="34">
        <f>IF(H71=0,0,L71/H71)</f>
        <v>-1.2198440351750428</v>
      </c>
      <c r="O71" s="29"/>
      <c r="P71" s="31">
        <f>+P67-P69</f>
        <v>-2071.4100000000162</v>
      </c>
      <c r="Q71" s="14"/>
      <c r="R71" s="34">
        <f>IF(P$12=0,0,P71/P$12)</f>
        <v>-1.682213162681926E-2</v>
      </c>
      <c r="S71" s="14"/>
      <c r="T71" s="31">
        <f>+T67-T69</f>
        <v>81.280000000007931</v>
      </c>
      <c r="U71" s="14"/>
      <c r="V71" s="34">
        <f>IF(T$12=0,0,T71/T$12)</f>
        <v>6.6494322458202115E-4</v>
      </c>
      <c r="W71" s="16"/>
      <c r="X71" s="31">
        <f>P71-T71</f>
        <v>-2152.6900000000242</v>
      </c>
      <c r="Y71" s="16"/>
      <c r="Z71" s="34">
        <f>IF(T71=0,0,X71/T71)</f>
        <v>-26.484867125981964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5</v>
      </c>
      <c r="C74" s="28"/>
      <c r="D74" s="36">
        <f>SUM(D71:D73)</f>
        <v>-211.99999999999682</v>
      </c>
      <c r="E74" s="14"/>
      <c r="F74" s="33">
        <f>IF(D$12=0,0,D74/D$12)</f>
        <v>-7.8448786264060395E-3</v>
      </c>
      <c r="G74" s="14"/>
      <c r="H74" s="36">
        <f>SUM(H71:H73)</f>
        <v>964.31999999999744</v>
      </c>
      <c r="I74" s="14"/>
      <c r="J74" s="33">
        <f>IF(H$12=0,0,H74/H$12)</f>
        <v>-0.20764857881136894</v>
      </c>
      <c r="K74" s="16"/>
      <c r="L74" s="36">
        <f>+D74-H74</f>
        <v>-1176.3199999999943</v>
      </c>
      <c r="M74" s="16"/>
      <c r="N74" s="33">
        <f>IF(H74=0,0,L74/H74)</f>
        <v>-1.2198440351750428</v>
      </c>
      <c r="O74" s="29"/>
      <c r="P74" s="36">
        <f>SUM(P71:P73)</f>
        <v>-2071.4100000000162</v>
      </c>
      <c r="Q74" s="14"/>
      <c r="R74" s="33">
        <f>IF(P$12=0,0,P74/P$12)</f>
        <v>-1.682213162681926E-2</v>
      </c>
      <c r="S74" s="14"/>
      <c r="T74" s="36">
        <f>SUM(T71:T73)</f>
        <v>81.280000000007931</v>
      </c>
      <c r="U74" s="14"/>
      <c r="V74" s="33">
        <f>IF(T$12=0,0,T74/T$12)</f>
        <v>6.6494322458202115E-4</v>
      </c>
      <c r="W74" s="16"/>
      <c r="X74" s="36">
        <f>+P74-T74</f>
        <v>-2152.6900000000242</v>
      </c>
      <c r="Y74" s="16"/>
      <c r="Z74" s="33">
        <f>IF(T74=0,0,X74/T74)</f>
        <v>-26.484867125981964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61">
        <v>43791.354987881947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6" t="s">
        <v>313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7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str">
        <f>CONCATENATE("Period ",RIGHT(202004,2),", ",2020)</f>
        <v>Period 04,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43771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","501", " - ", "ID Card Services")</f>
        <v>Department 501 - ID Card Services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27024</v>
      </c>
      <c r="E12" s="4"/>
      <c r="F12" s="12"/>
      <c r="G12" s="4"/>
      <c r="H12" s="4">
        <f>SUM(OSRRefH13x_0)</f>
        <v>-4644</v>
      </c>
      <c r="I12" s="4"/>
      <c r="J12" s="12"/>
      <c r="K12" s="4"/>
      <c r="L12" s="4">
        <f t="shared" ref="L12:L13" si="0">+D12-H12</f>
        <v>31668</v>
      </c>
      <c r="M12" s="4"/>
      <c r="N12" s="12">
        <f t="shared" ref="N12:N13" si="1">IF(H12=0,0,L12/H12)</f>
        <v>-6.819121447028424</v>
      </c>
      <c r="O12" s="10"/>
      <c r="P12" s="4">
        <f>SUM(OSRRefP13x_0)</f>
        <v>123136</v>
      </c>
      <c r="Q12" s="4"/>
      <c r="R12" s="12"/>
      <c r="S12" s="4"/>
      <c r="T12" s="4">
        <f>SUM(OSRRefT13x_0)</f>
        <v>122236</v>
      </c>
      <c r="U12" s="4"/>
      <c r="V12" s="12"/>
      <c r="W12" s="4"/>
      <c r="X12" s="4">
        <f t="shared" ref="X12:X13" si="2">+P12-T12</f>
        <v>900</v>
      </c>
      <c r="Y12" s="4"/>
      <c r="Z12" s="12">
        <f t="shared" ref="Z12:Z13" si="3">IF(T12=0,0,X12/T12)</f>
        <v>7.3628063745541416E-3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--27024</f>
        <v>27024</v>
      </c>
      <c r="E13" s="2"/>
      <c r="F13" s="19"/>
      <c r="G13" s="2"/>
      <c r="H13" s="2">
        <f>-4644</f>
        <v>-4644</v>
      </c>
      <c r="I13" s="2"/>
      <c r="J13" s="19"/>
      <c r="K13" s="2"/>
      <c r="L13" s="2">
        <f t="shared" si="0"/>
        <v>31668</v>
      </c>
      <c r="M13" s="2"/>
      <c r="N13" s="19">
        <f t="shared" si="1"/>
        <v>-6.819121447028424</v>
      </c>
      <c r="O13" s="11"/>
      <c r="P13" s="2">
        <f>--123136</f>
        <v>123136</v>
      </c>
      <c r="Q13" s="2"/>
      <c r="R13" s="19"/>
      <c r="S13" s="2"/>
      <c r="T13" s="2">
        <f>--122236</f>
        <v>122236</v>
      </c>
      <c r="U13" s="2"/>
      <c r="V13" s="19"/>
      <c r="W13" s="2"/>
      <c r="X13" s="2">
        <f t="shared" si="2"/>
        <v>900</v>
      </c>
      <c r="Y13" s="2"/>
      <c r="Z13" s="19">
        <f t="shared" si="3"/>
        <v>7.3628063745541416E-3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D12-D15</f>
        <v>27024</v>
      </c>
      <c r="E17" s="14"/>
      <c r="F17" s="22">
        <f>IF(D$12=0,0,D17/D$12)</f>
        <v>1</v>
      </c>
      <c r="G17" s="14"/>
      <c r="H17" s="21">
        <f>H12-H15</f>
        <v>-4644</v>
      </c>
      <c r="I17" s="14"/>
      <c r="J17" s="22">
        <f>IF(H$12=0,0,H17/H$12)</f>
        <v>1</v>
      </c>
      <c r="K17" s="16"/>
      <c r="L17" s="21">
        <f>+D17-H17</f>
        <v>31668</v>
      </c>
      <c r="M17" s="16"/>
      <c r="N17" s="22">
        <f>IF(H17=0,0,L17/H17)</f>
        <v>-6.819121447028424</v>
      </c>
      <c r="O17" s="29"/>
      <c r="P17" s="21">
        <f>P12-P15</f>
        <v>123136</v>
      </c>
      <c r="Q17" s="14"/>
      <c r="R17" s="22">
        <f>IF(P$12=0,0,P17/P$12)</f>
        <v>1</v>
      </c>
      <c r="S17" s="14"/>
      <c r="T17" s="21">
        <f>T12-T15</f>
        <v>122236</v>
      </c>
      <c r="U17" s="14"/>
      <c r="V17" s="22">
        <f>IF(T$12=0,0,T17/T$12)</f>
        <v>1</v>
      </c>
      <c r="W17" s="16"/>
      <c r="X17" s="21">
        <f>+P17-T17</f>
        <v>900</v>
      </c>
      <c r="Y17" s="16"/>
      <c r="Z17" s="22">
        <f>IF(T17=0,0,X17/T17)</f>
        <v>7.3628063745541416E-3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0">
        <f>SUM(OSRRefD22x_0)</f>
        <v>28361.109999999997</v>
      </c>
      <c r="E19" s="20"/>
      <c r="F19" s="35">
        <f t="shared" ref="F19:F28" si="4">IF(D$12=0,0,D19/D$12)</f>
        <v>1.0494786116044996</v>
      </c>
      <c r="G19" s="20"/>
      <c r="H19" s="20">
        <f>SUM(OSRRefH22x_0)</f>
        <v>-2386.7199999999975</v>
      </c>
      <c r="I19" s="20"/>
      <c r="J19" s="35">
        <f t="shared" ref="J19:J28" si="5">IF(H$12=0,0,H19/H$12)</f>
        <v>0.51393626184323804</v>
      </c>
      <c r="K19" s="4"/>
      <c r="L19" s="20">
        <f t="shared" ref="L19:L28" si="6">+D19-H19</f>
        <v>30747.829999999994</v>
      </c>
      <c r="M19" s="4"/>
      <c r="N19" s="35">
        <f t="shared" ref="N19:N28" si="7">IF(H19=0,0,L19/H19)</f>
        <v>-12.882881108802049</v>
      </c>
      <c r="O19" s="10"/>
      <c r="P19" s="20">
        <f>SUM(OSRRefP22x_0)</f>
        <v>123059.72000000002</v>
      </c>
      <c r="Q19" s="20"/>
      <c r="R19" s="35">
        <f t="shared" ref="R19:R28" si="8">IF(P$12=0,0,P19/P$12)</f>
        <v>0.99938052234927244</v>
      </c>
      <c r="S19" s="20"/>
      <c r="T19" s="20">
        <f>SUM(OSRRefT22x_0)</f>
        <v>122670.31999999999</v>
      </c>
      <c r="U19" s="20"/>
      <c r="V19" s="35">
        <f t="shared" ref="V19:V28" si="9">IF(T$12=0,0,T19/T$12)</f>
        <v>1.0035531267384403</v>
      </c>
      <c r="W19" s="4"/>
      <c r="X19" s="20">
        <f t="shared" ref="X19:X28" si="10">+P19-T19</f>
        <v>389.40000000002328</v>
      </c>
      <c r="Y19" s="4"/>
      <c r="Z19" s="35">
        <f t="shared" ref="Z19:Z28" si="11">IF(T19=0,0,X19/T19)</f>
        <v>3.1743619809585831E-3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5753.8899999999985</v>
      </c>
      <c r="E20" s="1"/>
      <c r="F20" s="5">
        <f t="shared" si="4"/>
        <v>0.21291777679100055</v>
      </c>
      <c r="G20" s="1"/>
      <c r="H20" s="1">
        <f>SUM(OSRRefH22_0x_0)</f>
        <v>5251.7899999999991</v>
      </c>
      <c r="I20" s="1"/>
      <c r="J20" s="5">
        <f t="shared" si="5"/>
        <v>-1.1308763996554692</v>
      </c>
      <c r="K20" s="1"/>
      <c r="L20" s="1">
        <f t="shared" si="6"/>
        <v>502.09999999999945</v>
      </c>
      <c r="M20" s="1"/>
      <c r="N20" s="5">
        <f t="shared" si="7"/>
        <v>9.5605498315812235E-2</v>
      </c>
      <c r="O20" s="13"/>
      <c r="P20" s="1">
        <f>SUM(OSRRefP22_0x_0)</f>
        <v>19249.959999999995</v>
      </c>
      <c r="Q20" s="1"/>
      <c r="R20" s="5">
        <f t="shared" si="8"/>
        <v>0.15633088617463614</v>
      </c>
      <c r="S20" s="1"/>
      <c r="T20" s="1">
        <f>SUM(OSRRefT22_0x_0)</f>
        <v>18728.27</v>
      </c>
      <c r="U20" s="1"/>
      <c r="V20" s="5">
        <f t="shared" si="9"/>
        <v>0.15321402860041233</v>
      </c>
      <c r="W20" s="1"/>
      <c r="X20" s="1">
        <f t="shared" si="10"/>
        <v>521.68999999999505</v>
      </c>
      <c r="Y20" s="1"/>
      <c r="Z20" s="5">
        <f t="shared" si="11"/>
        <v>2.7855749623429984E-2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1531.59</v>
      </c>
      <c r="E21" s="2"/>
      <c r="F21" s="7">
        <f t="shared" si="4"/>
        <v>5.6675177619893428E-2</v>
      </c>
      <c r="G21" s="2"/>
      <c r="H21" s="6">
        <v>1188.28</v>
      </c>
      <c r="I21" s="2"/>
      <c r="J21" s="7">
        <f t="shared" si="5"/>
        <v>-0.25587424633936262</v>
      </c>
      <c r="K21" s="2"/>
      <c r="L21" s="6">
        <f t="shared" si="6"/>
        <v>343.30999999999995</v>
      </c>
      <c r="M21" s="2"/>
      <c r="N21" s="7">
        <f t="shared" si="7"/>
        <v>0.28891338741710704</v>
      </c>
      <c r="O21" s="11"/>
      <c r="P21" s="6">
        <v>4955.83</v>
      </c>
      <c r="Q21" s="2"/>
      <c r="R21" s="7">
        <f t="shared" si="8"/>
        <v>4.0246800285862784E-2</v>
      </c>
      <c r="S21" s="2"/>
      <c r="T21" s="6">
        <v>4592.3100000000004</v>
      </c>
      <c r="U21" s="2"/>
      <c r="V21" s="7">
        <f t="shared" si="9"/>
        <v>3.7569210379920809E-2</v>
      </c>
      <c r="W21" s="2"/>
      <c r="X21" s="6">
        <f t="shared" si="10"/>
        <v>363.51999999999953</v>
      </c>
      <c r="Y21" s="2"/>
      <c r="Z21" s="7">
        <f t="shared" si="11"/>
        <v>7.9158419183373838E-2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-7.08</v>
      </c>
      <c r="E22" s="2"/>
      <c r="F22" s="7">
        <f t="shared" si="4"/>
        <v>-2.6198934280639434E-4</v>
      </c>
      <c r="G22" s="2"/>
      <c r="H22" s="6">
        <v>127.09</v>
      </c>
      <c r="I22" s="2"/>
      <c r="J22" s="7">
        <f t="shared" si="5"/>
        <v>-2.7366494401378123E-2</v>
      </c>
      <c r="K22" s="2"/>
      <c r="L22" s="6">
        <f t="shared" si="6"/>
        <v>-134.17000000000002</v>
      </c>
      <c r="M22" s="2"/>
      <c r="N22" s="7">
        <f t="shared" si="7"/>
        <v>-1.0557085529939414</v>
      </c>
      <c r="O22" s="11"/>
      <c r="P22" s="6">
        <v>163.41</v>
      </c>
      <c r="Q22" s="2"/>
      <c r="R22" s="7">
        <f t="shared" si="8"/>
        <v>1.3270692567567566E-3</v>
      </c>
      <c r="S22" s="2"/>
      <c r="T22" s="6">
        <v>253.01</v>
      </c>
      <c r="U22" s="2"/>
      <c r="V22" s="7">
        <f t="shared" si="9"/>
        <v>2.0698484898066037E-3</v>
      </c>
      <c r="W22" s="2"/>
      <c r="X22" s="6">
        <f t="shared" si="10"/>
        <v>-89.6</v>
      </c>
      <c r="Y22" s="2"/>
      <c r="Z22" s="7">
        <f t="shared" si="11"/>
        <v>-0.3541362001501917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4.6007622853759617E-2</v>
      </c>
      <c r="G23" s="2"/>
      <c r="H23" s="6">
        <v>1243.31</v>
      </c>
      <c r="I23" s="2"/>
      <c r="J23" s="7">
        <f t="shared" si="5"/>
        <v>-0.26772394487510764</v>
      </c>
      <c r="K23" s="2"/>
      <c r="L23" s="6">
        <f t="shared" si="6"/>
        <v>0</v>
      </c>
      <c r="M23" s="2"/>
      <c r="N23" s="7">
        <f t="shared" si="7"/>
        <v>0</v>
      </c>
      <c r="O23" s="11"/>
      <c r="P23" s="6">
        <v>4973.24</v>
      </c>
      <c r="Q23" s="2"/>
      <c r="R23" s="7">
        <f t="shared" si="8"/>
        <v>4.038818866943867E-2</v>
      </c>
      <c r="S23" s="2"/>
      <c r="T23" s="6">
        <v>4839.3599999999997</v>
      </c>
      <c r="U23" s="2"/>
      <c r="V23" s="7">
        <f t="shared" si="9"/>
        <v>3.9590300729735919E-2</v>
      </c>
      <c r="W23" s="2"/>
      <c r="X23" s="6">
        <f t="shared" si="10"/>
        <v>133.88000000000011</v>
      </c>
      <c r="Y23" s="2"/>
      <c r="Z23" s="7">
        <f t="shared" si="11"/>
        <v>2.7664815182172873E-2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63.86</v>
      </c>
      <c r="E24" s="2"/>
      <c r="F24" s="7">
        <f t="shared" si="4"/>
        <v>2.3630846654825342E-3</v>
      </c>
      <c r="G24" s="2"/>
      <c r="H24" s="6">
        <v>59.5</v>
      </c>
      <c r="I24" s="2"/>
      <c r="J24" s="7">
        <f t="shared" si="5"/>
        <v>-1.2812230835486649E-2</v>
      </c>
      <c r="K24" s="2"/>
      <c r="L24" s="6">
        <f t="shared" si="6"/>
        <v>4.3599999999999994</v>
      </c>
      <c r="M24" s="2"/>
      <c r="N24" s="7">
        <f t="shared" si="7"/>
        <v>7.3277310924369732E-2</v>
      </c>
      <c r="O24" s="11"/>
      <c r="P24" s="6">
        <v>194.21</v>
      </c>
      <c r="Q24" s="2"/>
      <c r="R24" s="7">
        <f t="shared" si="8"/>
        <v>1.5771991943866945E-3</v>
      </c>
      <c r="S24" s="2"/>
      <c r="T24" s="6">
        <v>212.26</v>
      </c>
      <c r="U24" s="2"/>
      <c r="V24" s="7">
        <f t="shared" si="9"/>
        <v>1.7364769789587355E-3</v>
      </c>
      <c r="W24" s="2"/>
      <c r="X24" s="6">
        <f t="shared" si="10"/>
        <v>-18.049999999999983</v>
      </c>
      <c r="Y24" s="2"/>
      <c r="Z24" s="7">
        <f t="shared" si="11"/>
        <v>-8.5037218505606249E-2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1470.79</v>
      </c>
      <c r="E25" s="2"/>
      <c r="F25" s="7">
        <f t="shared" si="4"/>
        <v>5.4425325636471282E-2</v>
      </c>
      <c r="G25" s="2"/>
      <c r="H25" s="6">
        <v>1145.76</v>
      </c>
      <c r="I25" s="2"/>
      <c r="J25" s="7">
        <f t="shared" si="5"/>
        <v>-0.24671834625322997</v>
      </c>
      <c r="K25" s="2"/>
      <c r="L25" s="6">
        <f t="shared" si="6"/>
        <v>325.02999999999997</v>
      </c>
      <c r="M25" s="2"/>
      <c r="N25" s="7">
        <f t="shared" si="7"/>
        <v>0.28368070101941067</v>
      </c>
      <c r="O25" s="11"/>
      <c r="P25" s="6">
        <v>3328.3</v>
      </c>
      <c r="Q25" s="2"/>
      <c r="R25" s="7">
        <f t="shared" si="8"/>
        <v>2.7029463357588358E-2</v>
      </c>
      <c r="S25" s="2"/>
      <c r="T25" s="6">
        <v>3042.91</v>
      </c>
      <c r="U25" s="2"/>
      <c r="V25" s="7">
        <f t="shared" si="9"/>
        <v>2.4893730161327267E-2</v>
      </c>
      <c r="W25" s="2"/>
      <c r="X25" s="6">
        <f t="shared" si="10"/>
        <v>285.39000000000033</v>
      </c>
      <c r="Y25" s="2"/>
      <c r="Z25" s="7">
        <f t="shared" si="11"/>
        <v>9.3788511654961979E-2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866.91</v>
      </c>
      <c r="E26" s="2"/>
      <c r="F26" s="7">
        <f t="shared" si="4"/>
        <v>3.2079262877442269E-2</v>
      </c>
      <c r="G26" s="2"/>
      <c r="H26" s="6">
        <v>801.58</v>
      </c>
      <c r="I26" s="2"/>
      <c r="J26" s="7">
        <f t="shared" si="5"/>
        <v>-0.17260551248923342</v>
      </c>
      <c r="K26" s="2"/>
      <c r="L26" s="6">
        <f t="shared" si="6"/>
        <v>65.329999999999927</v>
      </c>
      <c r="M26" s="2"/>
      <c r="N26" s="7">
        <f t="shared" si="7"/>
        <v>8.1501534469422793E-2</v>
      </c>
      <c r="O26" s="11"/>
      <c r="P26" s="6">
        <v>3336.99</v>
      </c>
      <c r="Q26" s="2"/>
      <c r="R26" s="7">
        <f t="shared" si="8"/>
        <v>2.7100035732848232E-2</v>
      </c>
      <c r="S26" s="2"/>
      <c r="T26" s="6">
        <v>3001.51</v>
      </c>
      <c r="U26" s="2"/>
      <c r="V26" s="7">
        <f t="shared" si="9"/>
        <v>2.4555041068097781E-2</v>
      </c>
      <c r="W26" s="2"/>
      <c r="X26" s="6">
        <f t="shared" si="10"/>
        <v>335.47999999999956</v>
      </c>
      <c r="Y26" s="2"/>
      <c r="Z26" s="7">
        <f t="shared" si="11"/>
        <v>0.11177040889418977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432.86</v>
      </c>
      <c r="E27" s="2"/>
      <c r="F27" s="7">
        <f t="shared" si="4"/>
        <v>1.6017613972764952E-2</v>
      </c>
      <c r="G27" s="2"/>
      <c r="H27" s="6">
        <v>400.25</v>
      </c>
      <c r="I27" s="2"/>
      <c r="J27" s="7">
        <f t="shared" si="5"/>
        <v>-8.6186477174849271E-2</v>
      </c>
      <c r="K27" s="2"/>
      <c r="L27" s="6">
        <f t="shared" si="6"/>
        <v>32.610000000000014</v>
      </c>
      <c r="M27" s="2"/>
      <c r="N27" s="7">
        <f t="shared" si="7"/>
        <v>8.1474078700812025E-2</v>
      </c>
      <c r="O27" s="11"/>
      <c r="P27" s="6">
        <v>1688.56</v>
      </c>
      <c r="Q27" s="2"/>
      <c r="R27" s="7">
        <f t="shared" si="8"/>
        <v>1.3712967775467775E-2</v>
      </c>
      <c r="S27" s="2"/>
      <c r="T27" s="6">
        <v>1635.43</v>
      </c>
      <c r="U27" s="2"/>
      <c r="V27" s="7">
        <f t="shared" si="9"/>
        <v>1.3379282699041199E-2</v>
      </c>
      <c r="W27" s="2"/>
      <c r="X27" s="6">
        <f t="shared" si="10"/>
        <v>53.129999999999882</v>
      </c>
      <c r="Y27" s="2"/>
      <c r="Z27" s="7">
        <f t="shared" si="11"/>
        <v>3.2486868896864973E-2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151.65</v>
      </c>
      <c r="E28" s="2"/>
      <c r="F28" s="7">
        <f t="shared" si="4"/>
        <v>5.6116785079928953E-3</v>
      </c>
      <c r="G28" s="2"/>
      <c r="H28" s="6">
        <v>286.02</v>
      </c>
      <c r="I28" s="2"/>
      <c r="J28" s="7">
        <f t="shared" si="5"/>
        <v>-6.1589147286821702E-2</v>
      </c>
      <c r="K28" s="2"/>
      <c r="L28" s="6">
        <f t="shared" si="6"/>
        <v>-134.36999999999998</v>
      </c>
      <c r="M28" s="2"/>
      <c r="N28" s="7">
        <f t="shared" si="7"/>
        <v>-0.46979232221522965</v>
      </c>
      <c r="O28" s="11"/>
      <c r="P28" s="6">
        <v>609.41999999999996</v>
      </c>
      <c r="Q28" s="2"/>
      <c r="R28" s="7">
        <f t="shared" si="8"/>
        <v>4.949161902286902E-3</v>
      </c>
      <c r="S28" s="2"/>
      <c r="T28" s="6">
        <v>1151.48</v>
      </c>
      <c r="U28" s="2"/>
      <c r="V28" s="7">
        <f t="shared" si="9"/>
        <v>9.4201380935240026E-3</v>
      </c>
      <c r="W28" s="2"/>
      <c r="X28" s="6">
        <f t="shared" si="10"/>
        <v>-542.06000000000006</v>
      </c>
      <c r="Y28" s="2"/>
      <c r="Z28" s="7">
        <f t="shared" si="11"/>
        <v>-0.4707506860735749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18394.18</v>
      </c>
      <c r="E29" s="1"/>
      <c r="F29" s="5">
        <f t="shared" ref="F29:F35" si="12">IF(D$12=0,0,D29/D$12)</f>
        <v>0.6806608940201303</v>
      </c>
      <c r="G29" s="1"/>
      <c r="H29" s="1">
        <f>SUM(OSRRefH22_1x_0)</f>
        <v>17134.600000000002</v>
      </c>
      <c r="I29" s="1"/>
      <c r="J29" s="5">
        <f t="shared" ref="J29:J35" si="13">IF(H$12=0,0,H29/H$12)</f>
        <v>-3.6896210163652028</v>
      </c>
      <c r="K29" s="1"/>
      <c r="L29" s="1">
        <f t="shared" ref="L29:L35" si="14">+D29-H29</f>
        <v>1259.5799999999981</v>
      </c>
      <c r="M29" s="1"/>
      <c r="N29" s="5">
        <f t="shared" ref="N29:N35" si="15">IF(H29=0,0,L29/H29)</f>
        <v>7.3510907753901344E-2</v>
      </c>
      <c r="O29" s="13"/>
      <c r="P29" s="1">
        <f>SUM(OSRRefP22_1x_0)</f>
        <v>72251.460000000006</v>
      </c>
      <c r="Q29" s="1"/>
      <c r="R29" s="5">
        <f t="shared" ref="R29:R35" si="16">IF(P$12=0,0,P29/P$12)</f>
        <v>0.58676146699584208</v>
      </c>
      <c r="S29" s="1"/>
      <c r="T29" s="1">
        <f>SUM(OSRRefT22_1x_0)</f>
        <v>70107.64</v>
      </c>
      <c r="U29" s="1"/>
      <c r="V29" s="5">
        <f t="shared" ref="V29:V35" si="17">IF(T$12=0,0,T29/T$12)</f>
        <v>0.57354330966327427</v>
      </c>
      <c r="W29" s="1"/>
      <c r="X29" s="1">
        <f t="shared" ref="X29:X35" si="18">+P29-T29</f>
        <v>2143.820000000007</v>
      </c>
      <c r="Y29" s="1"/>
      <c r="Z29" s="5">
        <f t="shared" ref="Z29:Z35" si="19">IF(T29=0,0,X29/T29)</f>
        <v>3.0578978268274427E-2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5005.29</v>
      </c>
      <c r="E30" s="2"/>
      <c r="F30" s="7">
        <f t="shared" si="12"/>
        <v>0.18521647424511545</v>
      </c>
      <c r="G30" s="2"/>
      <c r="H30" s="6">
        <v>5495.92</v>
      </c>
      <c r="I30" s="2"/>
      <c r="J30" s="7">
        <f t="shared" si="13"/>
        <v>-1.1834453057708871</v>
      </c>
      <c r="K30" s="2"/>
      <c r="L30" s="6">
        <f t="shared" si="14"/>
        <v>-490.63000000000011</v>
      </c>
      <c r="M30" s="2"/>
      <c r="N30" s="7">
        <f t="shared" si="15"/>
        <v>-8.9271677899241633E-2</v>
      </c>
      <c r="O30" s="11"/>
      <c r="P30" s="6">
        <v>23238.240000000002</v>
      </c>
      <c r="Q30" s="2"/>
      <c r="R30" s="7">
        <f t="shared" si="16"/>
        <v>0.18872011434511435</v>
      </c>
      <c r="S30" s="2"/>
      <c r="T30" s="6">
        <v>24007.489999999998</v>
      </c>
      <c r="U30" s="2"/>
      <c r="V30" s="7">
        <f t="shared" si="17"/>
        <v>0.19640277823227198</v>
      </c>
      <c r="W30" s="2"/>
      <c r="X30" s="6">
        <f t="shared" si="18"/>
        <v>-769.24999999999636</v>
      </c>
      <c r="Y30" s="2"/>
      <c r="Z30" s="7">
        <f t="shared" si="19"/>
        <v>-3.2042083533097232E-2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>
        <v>1866</v>
      </c>
      <c r="I31" s="2"/>
      <c r="J31" s="7">
        <f t="shared" si="13"/>
        <v>-0.40180878552971577</v>
      </c>
      <c r="K31" s="2"/>
      <c r="L31" s="6">
        <f t="shared" si="14"/>
        <v>-1866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9.0488890343270401E-2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11332.53</v>
      </c>
      <c r="E32" s="2"/>
      <c r="F32" s="7">
        <f t="shared" si="12"/>
        <v>0.41935057726465369</v>
      </c>
      <c r="G32" s="2"/>
      <c r="H32" s="6">
        <v>3977.58</v>
      </c>
      <c r="I32" s="2"/>
      <c r="J32" s="7">
        <f t="shared" si="13"/>
        <v>-0.8564987080103359</v>
      </c>
      <c r="K32" s="2"/>
      <c r="L32" s="6">
        <f t="shared" si="14"/>
        <v>7354.9500000000007</v>
      </c>
      <c r="M32" s="2"/>
      <c r="N32" s="7">
        <f t="shared" si="15"/>
        <v>1.8491017151132099</v>
      </c>
      <c r="O32" s="11"/>
      <c r="P32" s="6">
        <v>32682.59</v>
      </c>
      <c r="Q32" s="2"/>
      <c r="R32" s="7">
        <f t="shared" si="16"/>
        <v>0.26541864280145533</v>
      </c>
      <c r="S32" s="2"/>
      <c r="T32" s="6">
        <v>11969.08</v>
      </c>
      <c r="U32" s="2"/>
      <c r="V32" s="7">
        <f t="shared" si="17"/>
        <v>9.7917798357276084E-2</v>
      </c>
      <c r="W32" s="2"/>
      <c r="X32" s="6">
        <f t="shared" si="18"/>
        <v>20713.510000000002</v>
      </c>
      <c r="Y32" s="2"/>
      <c r="Z32" s="7">
        <f t="shared" si="19"/>
        <v>1.7305849739495436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1721.38</v>
      </c>
      <c r="I33" s="2"/>
      <c r="J33" s="7">
        <f t="shared" si="13"/>
        <v>-0.37066752799310942</v>
      </c>
      <c r="K33" s="2"/>
      <c r="L33" s="6">
        <f t="shared" si="14"/>
        <v>-1721.38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4573.7</v>
      </c>
      <c r="U33" s="2"/>
      <c r="V33" s="7">
        <f t="shared" si="17"/>
        <v>3.7416963905886974E-2</v>
      </c>
      <c r="W33" s="2"/>
      <c r="X33" s="6">
        <f t="shared" si="18"/>
        <v>-4573.7</v>
      </c>
      <c r="Y33" s="2"/>
      <c r="Z33" s="7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1068.23</v>
      </c>
      <c r="E34" s="2"/>
      <c r="F34" s="7">
        <f t="shared" si="12"/>
        <v>3.9528937240970986E-2</v>
      </c>
      <c r="G34" s="2"/>
      <c r="H34" s="6">
        <v>4073.72</v>
      </c>
      <c r="I34" s="2"/>
      <c r="J34" s="7">
        <f t="shared" si="13"/>
        <v>-0.87720068906115412</v>
      </c>
      <c r="K34" s="2"/>
      <c r="L34" s="6">
        <f t="shared" si="14"/>
        <v>-3005.49</v>
      </c>
      <c r="M34" s="2"/>
      <c r="N34" s="7">
        <f t="shared" si="15"/>
        <v>-0.73777530119890422</v>
      </c>
      <c r="O34" s="11"/>
      <c r="P34" s="6">
        <v>13267.43</v>
      </c>
      <c r="Q34" s="2"/>
      <c r="R34" s="7">
        <f t="shared" si="16"/>
        <v>0.1077461505977131</v>
      </c>
      <c r="S34" s="2"/>
      <c r="T34" s="6">
        <v>18496.37</v>
      </c>
      <c r="U34" s="2"/>
      <c r="V34" s="7">
        <f t="shared" si="17"/>
        <v>0.15131687882456885</v>
      </c>
      <c r="W34" s="2"/>
      <c r="X34" s="6">
        <f t="shared" si="18"/>
        <v>-5228.9399999999987</v>
      </c>
      <c r="Y34" s="2"/>
      <c r="Z34" s="7">
        <f t="shared" si="19"/>
        <v>-0.28270087590159576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>
        <v>988.13</v>
      </c>
      <c r="E35" s="2"/>
      <c r="F35" s="7">
        <f t="shared" si="12"/>
        <v>3.6564905269390172E-2</v>
      </c>
      <c r="G35" s="2"/>
      <c r="H35" s="6"/>
      <c r="I35" s="2"/>
      <c r="J35" s="7">
        <f t="shared" si="13"/>
        <v>0</v>
      </c>
      <c r="K35" s="2"/>
      <c r="L35" s="6">
        <f t="shared" si="14"/>
        <v>988.13</v>
      </c>
      <c r="M35" s="2"/>
      <c r="N35" s="7">
        <f t="shared" si="15"/>
        <v>0</v>
      </c>
      <c r="O35" s="11"/>
      <c r="P35" s="6">
        <v>3063.2</v>
      </c>
      <c r="Q35" s="2"/>
      <c r="R35" s="7">
        <f t="shared" si="16"/>
        <v>2.4876559251559249E-2</v>
      </c>
      <c r="S35" s="2"/>
      <c r="T35" s="6"/>
      <c r="U35" s="2"/>
      <c r="V35" s="7">
        <f t="shared" si="17"/>
        <v>0</v>
      </c>
      <c r="W35" s="2"/>
      <c r="X35" s="6">
        <f t="shared" si="18"/>
        <v>3063.2</v>
      </c>
      <c r="Y35" s="2"/>
      <c r="Z35" s="7">
        <f t="shared" si="19"/>
        <v>0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68.77</v>
      </c>
      <c r="E36" s="1"/>
      <c r="F36" s="5">
        <f t="shared" ref="F36:F54" si="20">IF(D$12=0,0,D36/D$12)</f>
        <v>2.5447750148016577E-3</v>
      </c>
      <c r="G36" s="1"/>
      <c r="H36" s="1">
        <f>SUM(OSRRefH22_2x_0)</f>
        <v>250.85</v>
      </c>
      <c r="I36" s="1"/>
      <c r="J36" s="5">
        <f t="shared" ref="J36:J54" si="21">IF(H$12=0,0,H36/H$12)</f>
        <v>-5.4015934539190354E-2</v>
      </c>
      <c r="K36" s="1"/>
      <c r="L36" s="1">
        <f t="shared" ref="L36:L54" si="22">+D36-H36</f>
        <v>-182.07999999999998</v>
      </c>
      <c r="M36" s="1"/>
      <c r="N36" s="5">
        <f t="shared" ref="N36:N54" si="23">IF(H36=0,0,L36/H36)</f>
        <v>-0.72585210285030888</v>
      </c>
      <c r="O36" s="13"/>
      <c r="P36" s="1">
        <f>SUM(OSRRefP22_2x_0)</f>
        <v>106.77</v>
      </c>
      <c r="Q36" s="1"/>
      <c r="R36" s="5">
        <f t="shared" ref="R36:R54" si="24">IF(P$12=0,0,P36/P$12)</f>
        <v>8.6709004677754673E-4</v>
      </c>
      <c r="S36" s="1"/>
      <c r="T36" s="1">
        <f>SUM(OSRRefT22_2x_0)</f>
        <v>2350.44</v>
      </c>
      <c r="U36" s="1"/>
      <c r="V36" s="5">
        <f t="shared" ref="V36:V54" si="25">IF(T$12=0,0,T36/T$12)</f>
        <v>1.9228705127785597E-2</v>
      </c>
      <c r="W36" s="1"/>
      <c r="X36" s="1">
        <f t="shared" ref="X36:X54" si="26">+P36-T36</f>
        <v>-2243.67</v>
      </c>
      <c r="Y36" s="1"/>
      <c r="Z36" s="5">
        <f t="shared" ref="Z36:Z54" si="27">IF(T36=0,0,X36/T36)</f>
        <v>-0.95457446265380097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>
        <v>68.77</v>
      </c>
      <c r="E37" s="2"/>
      <c r="F37" s="7">
        <f t="shared" si="20"/>
        <v>2.5447750148016577E-3</v>
      </c>
      <c r="G37" s="2"/>
      <c r="H37" s="6">
        <v>250.85</v>
      </c>
      <c r="I37" s="2"/>
      <c r="J37" s="7">
        <f t="shared" si="21"/>
        <v>-5.4015934539190354E-2</v>
      </c>
      <c r="K37" s="2"/>
      <c r="L37" s="6">
        <f t="shared" si="22"/>
        <v>-182.07999999999998</v>
      </c>
      <c r="M37" s="2"/>
      <c r="N37" s="7">
        <f t="shared" si="23"/>
        <v>-0.72585210285030888</v>
      </c>
      <c r="O37" s="11"/>
      <c r="P37" s="6">
        <v>106.77</v>
      </c>
      <c r="Q37" s="2"/>
      <c r="R37" s="7">
        <f t="shared" si="24"/>
        <v>8.6709004677754673E-4</v>
      </c>
      <c r="S37" s="2"/>
      <c r="T37" s="6">
        <v>2350.44</v>
      </c>
      <c r="U37" s="2"/>
      <c r="V37" s="7">
        <f t="shared" si="25"/>
        <v>1.9228705127785597E-2</v>
      </c>
      <c r="W37" s="2"/>
      <c r="X37" s="6">
        <f t="shared" si="26"/>
        <v>-2243.67</v>
      </c>
      <c r="Y37" s="2"/>
      <c r="Z37" s="7">
        <f t="shared" si="27"/>
        <v>-0.95457446265380097</v>
      </c>
    </row>
    <row r="38" spans="1:26" s="27" customFormat="1" outlineLevel="1" collapsed="1" x14ac:dyDescent="0.25">
      <c r="A38" s="25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2910.64</v>
      </c>
      <c r="E38" s="1"/>
      <c r="F38" s="5">
        <f t="shared" si="20"/>
        <v>0.10770574304322084</v>
      </c>
      <c r="G38" s="1"/>
      <c r="H38" s="1">
        <f>SUM(OSRRefH22_3x_0)</f>
        <v>2742.16</v>
      </c>
      <c r="I38" s="1"/>
      <c r="J38" s="5">
        <f t="shared" si="21"/>
        <v>-0.59047372954349697</v>
      </c>
      <c r="K38" s="1"/>
      <c r="L38" s="1">
        <f t="shared" si="22"/>
        <v>168.48000000000002</v>
      </c>
      <c r="M38" s="1"/>
      <c r="N38" s="5">
        <f t="shared" si="23"/>
        <v>6.1440616156606481E-2</v>
      </c>
      <c r="O38" s="13"/>
      <c r="P38" s="1">
        <f>SUM(OSRRefP22_3x_0)</f>
        <v>8516.69</v>
      </c>
      <c r="Q38" s="1"/>
      <c r="R38" s="5">
        <f t="shared" si="24"/>
        <v>6.9164907094594594E-2</v>
      </c>
      <c r="S38" s="1"/>
      <c r="T38" s="1">
        <f>SUM(OSRRefT22_3x_0)</f>
        <v>8115.65</v>
      </c>
      <c r="U38" s="1"/>
      <c r="V38" s="5">
        <f t="shared" si="25"/>
        <v>6.6393288392944796E-2</v>
      </c>
      <c r="W38" s="1"/>
      <c r="X38" s="1">
        <f t="shared" si="26"/>
        <v>401.04000000000087</v>
      </c>
      <c r="Y38" s="1"/>
      <c r="Z38" s="5">
        <f t="shared" si="27"/>
        <v>4.9415635223303236E-2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2910.64</v>
      </c>
      <c r="E39" s="2"/>
      <c r="F39" s="7">
        <f t="shared" si="20"/>
        <v>0.10770574304322084</v>
      </c>
      <c r="G39" s="2"/>
      <c r="H39" s="6">
        <v>2742.16</v>
      </c>
      <c r="I39" s="2"/>
      <c r="J39" s="7">
        <f t="shared" si="21"/>
        <v>-0.59047372954349697</v>
      </c>
      <c r="K39" s="2"/>
      <c r="L39" s="6">
        <f t="shared" si="22"/>
        <v>168.48000000000002</v>
      </c>
      <c r="M39" s="2"/>
      <c r="N39" s="7">
        <f t="shared" si="23"/>
        <v>6.1440616156606481E-2</v>
      </c>
      <c r="O39" s="11"/>
      <c r="P39" s="6">
        <v>8516.69</v>
      </c>
      <c r="Q39" s="2"/>
      <c r="R39" s="7">
        <f t="shared" si="24"/>
        <v>6.9164907094594594E-2</v>
      </c>
      <c r="S39" s="2"/>
      <c r="T39" s="6">
        <v>8115.65</v>
      </c>
      <c r="U39" s="2"/>
      <c r="V39" s="7">
        <f t="shared" si="25"/>
        <v>6.6393288392944796E-2</v>
      </c>
      <c r="W39" s="2"/>
      <c r="X39" s="6">
        <f t="shared" si="26"/>
        <v>401.04000000000087</v>
      </c>
      <c r="Y39" s="2"/>
      <c r="Z39" s="7">
        <f t="shared" si="27"/>
        <v>4.9415635223303236E-2</v>
      </c>
    </row>
    <row r="40" spans="1:26" s="27" customFormat="1" outlineLevel="1" collapsed="1" x14ac:dyDescent="0.25">
      <c r="A40" s="25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5.2169958419958414E-4</v>
      </c>
      <c r="S40" s="1"/>
      <c r="T40" s="1">
        <f>SUM(OSRRefT22_4x_0)</f>
        <v>0</v>
      </c>
      <c r="U40" s="1"/>
      <c r="V40" s="5">
        <f t="shared" si="25"/>
        <v>0</v>
      </c>
      <c r="W40" s="1"/>
      <c r="X40" s="1">
        <f t="shared" si="26"/>
        <v>64.239999999999995</v>
      </c>
      <c r="Y40" s="1"/>
      <c r="Z40" s="5">
        <f t="shared" si="27"/>
        <v>0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5.2169958419958414E-4</v>
      </c>
      <c r="S41" s="2"/>
      <c r="T41" s="6"/>
      <c r="U41" s="2"/>
      <c r="V41" s="7">
        <f t="shared" si="25"/>
        <v>0</v>
      </c>
      <c r="W41" s="2"/>
      <c r="X41" s="6">
        <f t="shared" si="26"/>
        <v>64.239999999999995</v>
      </c>
      <c r="Y41" s="2"/>
      <c r="Z41" s="7">
        <f t="shared" si="27"/>
        <v>0</v>
      </c>
    </row>
    <row r="42" spans="1:26" s="27" customFormat="1" outlineLevel="1" collapsed="1" x14ac:dyDescent="0.25">
      <c r="A42" s="25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21.12</v>
      </c>
      <c r="U42" s="1"/>
      <c r="V42" s="5">
        <f t="shared" si="25"/>
        <v>1.7278052292287051E-4</v>
      </c>
      <c r="W42" s="1"/>
      <c r="X42" s="1">
        <f t="shared" si="26"/>
        <v>-21.12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21.12</v>
      </c>
      <c r="U43" s="2"/>
      <c r="V43" s="7">
        <f t="shared" si="25"/>
        <v>1.7278052292287051E-4</v>
      </c>
      <c r="W43" s="2"/>
      <c r="X43" s="6">
        <f t="shared" si="26"/>
        <v>-21.12</v>
      </c>
      <c r="Y43" s="2"/>
      <c r="Z43" s="7">
        <f t="shared" si="27"/>
        <v>-1</v>
      </c>
    </row>
    <row r="44" spans="1:26" s="27" customFormat="1" outlineLevel="1" collapsed="1" x14ac:dyDescent="0.25">
      <c r="A44" s="25"/>
      <c r="B44" s="13" t="str">
        <f>CONCATENATE("     ","General                                           ")</f>
        <v xml:space="preserve">     General                                           </v>
      </c>
      <c r="C44" s="13"/>
      <c r="D44" s="1">
        <f>SUM(OSRRefD22_6x_0)</f>
        <v>0</v>
      </c>
      <c r="E44" s="1"/>
      <c r="F44" s="5">
        <f t="shared" si="20"/>
        <v>0</v>
      </c>
      <c r="G44" s="1"/>
      <c r="H44" s="1">
        <f>SUM(OSRRefH22_6x_0)</f>
        <v>0</v>
      </c>
      <c r="I44" s="1"/>
      <c r="J44" s="5">
        <f t="shared" si="21"/>
        <v>0</v>
      </c>
      <c r="K44" s="1"/>
      <c r="L44" s="1">
        <f t="shared" si="22"/>
        <v>0</v>
      </c>
      <c r="M44" s="1"/>
      <c r="N44" s="5">
        <f t="shared" si="23"/>
        <v>0</v>
      </c>
      <c r="O44" s="13"/>
      <c r="P44" s="1">
        <f>SUM(OSRRefP22_6x_0)</f>
        <v>0</v>
      </c>
      <c r="Q44" s="1"/>
      <c r="R44" s="5">
        <f t="shared" si="24"/>
        <v>0</v>
      </c>
      <c r="S44" s="1"/>
      <c r="T44" s="1">
        <f>SUM(OSRRefT22_6x_0)</f>
        <v>1901</v>
      </c>
      <c r="U44" s="1"/>
      <c r="V44" s="5">
        <f t="shared" si="25"/>
        <v>1.5551883242252691E-2</v>
      </c>
      <c r="W44" s="1"/>
      <c r="X44" s="1">
        <f t="shared" si="26"/>
        <v>-1901</v>
      </c>
      <c r="Y44" s="1"/>
      <c r="Z44" s="5">
        <f t="shared" si="27"/>
        <v>-1</v>
      </c>
    </row>
    <row r="45" spans="1:26" s="24" customFormat="1" hidden="1" outlineLevel="2" x14ac:dyDescent="0.25">
      <c r="A45" s="26"/>
      <c r="B45" s="11" t="str">
        <f>CONCATENATE("          ", "6279", " - ", "GENERAL EXPENSE")</f>
        <v xml:space="preserve">          6279 - GENERAL EXPENSE</v>
      </c>
      <c r="C45" s="11"/>
      <c r="D45" s="6"/>
      <c r="E45" s="2"/>
      <c r="F45" s="7">
        <f t="shared" si="20"/>
        <v>0</v>
      </c>
      <c r="G45" s="2"/>
      <c r="H45" s="6"/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1901</v>
      </c>
      <c r="U45" s="2"/>
      <c r="V45" s="7">
        <f t="shared" si="25"/>
        <v>1.5551883242252691E-2</v>
      </c>
      <c r="W45" s="2"/>
      <c r="X45" s="6">
        <f t="shared" si="26"/>
        <v>-1901</v>
      </c>
      <c r="Y45" s="2"/>
      <c r="Z45" s="7">
        <f t="shared" si="27"/>
        <v>-1</v>
      </c>
    </row>
    <row r="46" spans="1:26" s="27" customFormat="1" outlineLevel="1" collapsed="1" x14ac:dyDescent="0.25">
      <c r="A46" s="25"/>
      <c r="B46" s="13" t="str">
        <f>CONCATENATE("     ","Insurance                                         ")</f>
        <v xml:space="preserve">     Insurance                                         </v>
      </c>
      <c r="C46" s="13"/>
      <c r="D46" s="1">
        <f>SUM(OSRRefD22_7x_0)</f>
        <v>29.01</v>
      </c>
      <c r="E46" s="1"/>
      <c r="F46" s="5">
        <f t="shared" si="20"/>
        <v>1.0734902309058616E-3</v>
      </c>
      <c r="G46" s="1"/>
      <c r="H46" s="1">
        <f>SUM(OSRRefH22_7x_0)</f>
        <v>27.33</v>
      </c>
      <c r="I46" s="1"/>
      <c r="J46" s="5">
        <f t="shared" si="21"/>
        <v>-5.8850129198966409E-3</v>
      </c>
      <c r="K46" s="1"/>
      <c r="L46" s="1">
        <f t="shared" si="22"/>
        <v>1.6800000000000033</v>
      </c>
      <c r="M46" s="1"/>
      <c r="N46" s="5">
        <f t="shared" si="23"/>
        <v>6.1470911086718018E-2</v>
      </c>
      <c r="O46" s="13"/>
      <c r="P46" s="1">
        <f>SUM(OSRRefP22_7x_0)</f>
        <v>116.04</v>
      </c>
      <c r="Q46" s="1"/>
      <c r="R46" s="5">
        <f t="shared" si="24"/>
        <v>9.423726611226612E-4</v>
      </c>
      <c r="S46" s="1"/>
      <c r="T46" s="1">
        <f>SUM(OSRRefT22_7x_0)</f>
        <v>109.32</v>
      </c>
      <c r="U46" s="1"/>
      <c r="V46" s="5">
        <f t="shared" si="25"/>
        <v>8.9433554762917628E-4</v>
      </c>
      <c r="W46" s="1"/>
      <c r="X46" s="1">
        <f t="shared" si="26"/>
        <v>6.7200000000000131</v>
      </c>
      <c r="Y46" s="1"/>
      <c r="Z46" s="5">
        <f t="shared" si="27"/>
        <v>6.1470911086718018E-2</v>
      </c>
    </row>
    <row r="47" spans="1:26" s="24" customFormat="1" hidden="1" outlineLevel="2" x14ac:dyDescent="0.25">
      <c r="A47" s="26"/>
      <c r="B47" s="11" t="str">
        <f>CONCATENATE("          ", "6314", " - ", "LIABILITY INSURANCE")</f>
        <v xml:space="preserve">          6314 - LIABILITY INSURANCE</v>
      </c>
      <c r="C47" s="11"/>
      <c r="D47" s="6">
        <v>29.01</v>
      </c>
      <c r="E47" s="2"/>
      <c r="F47" s="7">
        <f t="shared" si="20"/>
        <v>1.0734902309058616E-3</v>
      </c>
      <c r="G47" s="2"/>
      <c r="H47" s="6">
        <v>27.33</v>
      </c>
      <c r="I47" s="2"/>
      <c r="J47" s="7">
        <f t="shared" si="21"/>
        <v>-5.8850129198966409E-3</v>
      </c>
      <c r="K47" s="2"/>
      <c r="L47" s="6">
        <f t="shared" si="22"/>
        <v>1.6800000000000033</v>
      </c>
      <c r="M47" s="2"/>
      <c r="N47" s="7">
        <f t="shared" si="23"/>
        <v>6.1470911086718018E-2</v>
      </c>
      <c r="O47" s="11"/>
      <c r="P47" s="6">
        <v>116.04</v>
      </c>
      <c r="Q47" s="2"/>
      <c r="R47" s="7">
        <f t="shared" si="24"/>
        <v>9.423726611226612E-4</v>
      </c>
      <c r="S47" s="2"/>
      <c r="T47" s="6">
        <v>109.32</v>
      </c>
      <c r="U47" s="2"/>
      <c r="V47" s="7">
        <f t="shared" si="25"/>
        <v>8.9433554762917628E-4</v>
      </c>
      <c r="W47" s="2"/>
      <c r="X47" s="6">
        <f t="shared" si="26"/>
        <v>6.7200000000000131</v>
      </c>
      <c r="Y47" s="2"/>
      <c r="Z47" s="7">
        <f t="shared" si="27"/>
        <v>6.1470911086718018E-2</v>
      </c>
    </row>
    <row r="48" spans="1:26" s="27" customFormat="1" outlineLevel="1" collapsed="1" x14ac:dyDescent="0.25">
      <c r="A48" s="25"/>
      <c r="B48" s="13" t="str">
        <f>CONCATENATE("     ","Professional Services                             ")</f>
        <v xml:space="preserve">     Professional Services                             </v>
      </c>
      <c r="C48" s="13"/>
      <c r="D48" s="1">
        <f>SUM(OSRRefD22_8x_0)</f>
        <v>0</v>
      </c>
      <c r="E48" s="1"/>
      <c r="F48" s="5">
        <f t="shared" si="20"/>
        <v>0</v>
      </c>
      <c r="G48" s="1"/>
      <c r="H48" s="1">
        <f>SUM(OSRRefH22_8x_0)</f>
        <v>0</v>
      </c>
      <c r="I48" s="1"/>
      <c r="J48" s="5">
        <f t="shared" si="21"/>
        <v>0</v>
      </c>
      <c r="K48" s="1"/>
      <c r="L48" s="1">
        <f t="shared" si="22"/>
        <v>0</v>
      </c>
      <c r="M48" s="1"/>
      <c r="N48" s="5">
        <f t="shared" si="23"/>
        <v>0</v>
      </c>
      <c r="O48" s="13"/>
      <c r="P48" s="1">
        <f>SUM(OSRRefP22_8x_0)</f>
        <v>0</v>
      </c>
      <c r="Q48" s="1"/>
      <c r="R48" s="5">
        <f t="shared" si="24"/>
        <v>0</v>
      </c>
      <c r="S48" s="1"/>
      <c r="T48" s="1">
        <f>SUM(OSRRefT22_8x_0)</f>
        <v>1680</v>
      </c>
      <c r="U48" s="1"/>
      <c r="V48" s="5">
        <f t="shared" si="25"/>
        <v>1.3743905232501064E-2</v>
      </c>
      <c r="W48" s="1"/>
      <c r="X48" s="1">
        <f t="shared" si="26"/>
        <v>-1680</v>
      </c>
      <c r="Y48" s="1"/>
      <c r="Z48" s="5">
        <f t="shared" si="27"/>
        <v>-1</v>
      </c>
    </row>
    <row r="49" spans="1:26" s="24" customFormat="1" hidden="1" outlineLevel="2" x14ac:dyDescent="0.25">
      <c r="A49" s="26"/>
      <c r="B49" s="11" t="str">
        <f>CONCATENATE("          ", "6336", " - ", "PROFESSIONAL SERVICES")</f>
        <v xml:space="preserve">          6336 - PROFESSIONAL SERVICES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1680</v>
      </c>
      <c r="U49" s="2"/>
      <c r="V49" s="7">
        <f t="shared" si="25"/>
        <v>1.3743905232501064E-2</v>
      </c>
      <c r="W49" s="2"/>
      <c r="X49" s="6">
        <f t="shared" si="26"/>
        <v>-1680</v>
      </c>
      <c r="Y49" s="2"/>
      <c r="Z49" s="7">
        <f t="shared" si="27"/>
        <v>-1</v>
      </c>
    </row>
    <row r="50" spans="1:26" s="27" customFormat="1" outlineLevel="1" collapsed="1" x14ac:dyDescent="0.25">
      <c r="A50" s="25"/>
      <c r="B50" s="13" t="str">
        <f>CONCATENATE("     ","Rent                                              ")</f>
        <v xml:space="preserve">     Rent                                              </v>
      </c>
      <c r="C50" s="13"/>
      <c r="D50" s="1">
        <f>SUM(OSRRefD22_9x_0)</f>
        <v>800</v>
      </c>
      <c r="E50" s="1"/>
      <c r="F50" s="5">
        <f t="shared" si="20"/>
        <v>2.9603315571343991E-2</v>
      </c>
      <c r="G50" s="1"/>
      <c r="H50" s="1">
        <f>SUM(OSRRefH22_9x_0)</f>
        <v>800</v>
      </c>
      <c r="I50" s="1"/>
      <c r="J50" s="5">
        <f t="shared" si="21"/>
        <v>-0.17226528854435832</v>
      </c>
      <c r="K50" s="1"/>
      <c r="L50" s="1">
        <f t="shared" si="22"/>
        <v>0</v>
      </c>
      <c r="M50" s="1"/>
      <c r="N50" s="5">
        <f t="shared" si="23"/>
        <v>0</v>
      </c>
      <c r="O50" s="13"/>
      <c r="P50" s="1">
        <f>SUM(OSRRefP22_9x_0)</f>
        <v>3200</v>
      </c>
      <c r="Q50" s="1"/>
      <c r="R50" s="5">
        <f t="shared" si="24"/>
        <v>2.5987525987525989E-2</v>
      </c>
      <c r="S50" s="1"/>
      <c r="T50" s="1">
        <f>SUM(OSRRefT22_9x_0)</f>
        <v>2400</v>
      </c>
      <c r="U50" s="1"/>
      <c r="V50" s="5">
        <f t="shared" si="25"/>
        <v>1.9634150332144377E-2</v>
      </c>
      <c r="W50" s="1"/>
      <c r="X50" s="1">
        <f t="shared" si="26"/>
        <v>800</v>
      </c>
      <c r="Y50" s="1"/>
      <c r="Z50" s="5">
        <f t="shared" si="27"/>
        <v>0.33333333333333331</v>
      </c>
    </row>
    <row r="51" spans="1:26" s="24" customFormat="1" hidden="1" outlineLevel="2" x14ac:dyDescent="0.25">
      <c r="A51" s="26"/>
      <c r="B51" s="11" t="str">
        <f>CONCATENATE("          ", "6273", " - ", "RENT")</f>
        <v xml:space="preserve">          6273 - RENT</v>
      </c>
      <c r="C51" s="11"/>
      <c r="D51" s="6">
        <v>800</v>
      </c>
      <c r="E51" s="2"/>
      <c r="F51" s="7">
        <f t="shared" si="20"/>
        <v>2.9603315571343991E-2</v>
      </c>
      <c r="G51" s="2"/>
      <c r="H51" s="6">
        <v>800</v>
      </c>
      <c r="I51" s="2"/>
      <c r="J51" s="7">
        <f t="shared" si="21"/>
        <v>-0.17226528854435832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>
        <v>3200</v>
      </c>
      <c r="Q51" s="2"/>
      <c r="R51" s="7">
        <f t="shared" si="24"/>
        <v>2.5987525987525989E-2</v>
      </c>
      <c r="S51" s="2"/>
      <c r="T51" s="6">
        <v>2400</v>
      </c>
      <c r="U51" s="2"/>
      <c r="V51" s="7">
        <f t="shared" si="25"/>
        <v>1.9634150332144377E-2</v>
      </c>
      <c r="W51" s="2"/>
      <c r="X51" s="6">
        <f t="shared" si="26"/>
        <v>800</v>
      </c>
      <c r="Y51" s="2"/>
      <c r="Z51" s="7">
        <f t="shared" si="27"/>
        <v>0.33333333333333331</v>
      </c>
    </row>
    <row r="52" spans="1:26" s="27" customFormat="1" outlineLevel="1" collapsed="1" x14ac:dyDescent="0.25">
      <c r="A52" s="25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SUM(OSRRefD22_10x_0)</f>
        <v>0</v>
      </c>
      <c r="E52" s="1"/>
      <c r="F52" s="5">
        <f t="shared" si="20"/>
        <v>0</v>
      </c>
      <c r="G52" s="1"/>
      <c r="H52" s="1">
        <f>SUM(OSRRefH22_10x_0)</f>
        <v>0</v>
      </c>
      <c r="I52" s="1"/>
      <c r="J52" s="5">
        <f t="shared" si="21"/>
        <v>0</v>
      </c>
      <c r="K52" s="1"/>
      <c r="L52" s="1">
        <f t="shared" si="22"/>
        <v>0</v>
      </c>
      <c r="M52" s="1"/>
      <c r="N52" s="5">
        <f t="shared" si="23"/>
        <v>0</v>
      </c>
      <c r="O52" s="13"/>
      <c r="P52" s="1">
        <f>SUM(OSRRefP22_10x_0)</f>
        <v>437.31</v>
      </c>
      <c r="Q52" s="1"/>
      <c r="R52" s="5">
        <f t="shared" si="24"/>
        <v>3.5514390592515594E-3</v>
      </c>
      <c r="S52" s="1"/>
      <c r="T52" s="1">
        <f>SUM(OSRRefT22_10x_0)</f>
        <v>600</v>
      </c>
      <c r="U52" s="1"/>
      <c r="V52" s="5">
        <f t="shared" si="25"/>
        <v>4.9085375830360944E-3</v>
      </c>
      <c r="W52" s="1"/>
      <c r="X52" s="1">
        <f t="shared" si="26"/>
        <v>-162.69</v>
      </c>
      <c r="Y52" s="1"/>
      <c r="Z52" s="5">
        <f t="shared" si="27"/>
        <v>-0.27115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20"/>
        <v>0</v>
      </c>
      <c r="G53" s="2"/>
      <c r="H53" s="6"/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>
        <v>437.31</v>
      </c>
      <c r="Q53" s="2"/>
      <c r="R53" s="7">
        <f t="shared" si="24"/>
        <v>3.5514390592515594E-3</v>
      </c>
      <c r="S53" s="2"/>
      <c r="T53" s="6"/>
      <c r="U53" s="2"/>
      <c r="V53" s="7">
        <f t="shared" si="25"/>
        <v>0</v>
      </c>
      <c r="W53" s="2"/>
      <c r="X53" s="6">
        <f t="shared" si="26"/>
        <v>437.31</v>
      </c>
      <c r="Y53" s="2"/>
      <c r="Z53" s="7">
        <f t="shared" si="27"/>
        <v>0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0"/>
        <v>0</v>
      </c>
      <c r="G54" s="2"/>
      <c r="H54" s="6"/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600</v>
      </c>
      <c r="U54" s="2"/>
      <c r="V54" s="7">
        <f t="shared" si="25"/>
        <v>4.9085375830360944E-3</v>
      </c>
      <c r="W54" s="2"/>
      <c r="X54" s="6">
        <f t="shared" si="26"/>
        <v>-600</v>
      </c>
      <c r="Y54" s="2"/>
      <c r="Z54" s="7">
        <f t="shared" si="27"/>
        <v>-1</v>
      </c>
    </row>
    <row r="55" spans="1:26" s="27" customFormat="1" outlineLevel="1" collapsed="1" x14ac:dyDescent="0.25">
      <c r="A55" s="25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SUM(OSRRefD22_11x_0)</f>
        <v>215.67</v>
      </c>
      <c r="E55" s="1"/>
      <c r="F55" s="5">
        <f t="shared" ref="F55:F59" si="28">IF(D$12=0,0,D55/D$12)</f>
        <v>7.9806838365896974E-3</v>
      </c>
      <c r="G55" s="1"/>
      <c r="H55" s="1">
        <f>SUM(OSRRefH22_11x_0)</f>
        <v>-28965.57</v>
      </c>
      <c r="I55" s="1"/>
      <c r="J55" s="5">
        <f t="shared" ref="J55:J59" si="29">IF(H$12=0,0,H55/H$12)</f>
        <v>6.2372028423772612</v>
      </c>
      <c r="K55" s="1"/>
      <c r="L55" s="1">
        <f t="shared" ref="L55:L59" si="30">+D55-H55</f>
        <v>29181.239999999998</v>
      </c>
      <c r="M55" s="1"/>
      <c r="N55" s="5">
        <f t="shared" ref="N55:N59" si="31">IF(H55=0,0,L55/H55)</f>
        <v>-1.0074457364381229</v>
      </c>
      <c r="O55" s="13"/>
      <c r="P55" s="1">
        <f>SUM(OSRRefP22_11x_0)</f>
        <v>18352.650000000005</v>
      </c>
      <c r="Q55" s="1"/>
      <c r="R55" s="5">
        <f t="shared" ref="R55:R59" si="32">IF(P$12=0,0,P55/P$12)</f>
        <v>0.14904374025467779</v>
      </c>
      <c r="S55" s="1"/>
      <c r="T55" s="1">
        <f>SUM(OSRRefT22_11x_0)</f>
        <v>15154.050000000001</v>
      </c>
      <c r="U55" s="1"/>
      <c r="V55" s="5">
        <f t="shared" ref="V55:V59" si="33">IF(T$12=0,0,T55/T$12)</f>
        <v>0.12397370660034687</v>
      </c>
      <c r="W55" s="1"/>
      <c r="X55" s="1">
        <f t="shared" ref="X55:X59" si="34">+P55-T55</f>
        <v>3198.600000000004</v>
      </c>
      <c r="Y55" s="1"/>
      <c r="Z55" s="5">
        <f t="shared" ref="Z55:Z59" si="35">IF(T55=0,0,X55/T55)</f>
        <v>0.21107228760628372</v>
      </c>
    </row>
    <row r="56" spans="1:26" s="24" customFormat="1" hidden="1" outlineLevel="2" x14ac:dyDescent="0.25">
      <c r="A56" s="26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413.27</v>
      </c>
      <c r="Q56" s="2"/>
      <c r="R56" s="7">
        <f t="shared" si="32"/>
        <v>3.3562077702702703E-3</v>
      </c>
      <c r="S56" s="2"/>
      <c r="T56" s="6"/>
      <c r="U56" s="2"/>
      <c r="V56" s="7">
        <f t="shared" si="33"/>
        <v>0</v>
      </c>
      <c r="W56" s="2"/>
      <c r="X56" s="6">
        <f t="shared" si="34"/>
        <v>413.27</v>
      </c>
      <c r="Y56" s="2"/>
      <c r="Z56" s="7">
        <f t="shared" si="35"/>
        <v>0</v>
      </c>
    </row>
    <row r="57" spans="1:26" s="24" customFormat="1" hidden="1" outlineLevel="2" x14ac:dyDescent="0.25">
      <c r="A57" s="26"/>
      <c r="B57" s="11" t="str">
        <f>CONCATENATE("          ", "6241", " - ", "OFFICE EXPENSE")</f>
        <v xml:space="preserve">          6241 - OFFICE EXPENSE</v>
      </c>
      <c r="C57" s="11"/>
      <c r="D57" s="6">
        <v>215.67</v>
      </c>
      <c r="E57" s="2"/>
      <c r="F57" s="7">
        <f t="shared" si="28"/>
        <v>7.9806838365896974E-3</v>
      </c>
      <c r="G57" s="2"/>
      <c r="H57" s="6">
        <v>-20695.43</v>
      </c>
      <c r="I57" s="2"/>
      <c r="J57" s="7">
        <f t="shared" si="29"/>
        <v>4.4563802756244622</v>
      </c>
      <c r="K57" s="2"/>
      <c r="L57" s="6">
        <f t="shared" si="30"/>
        <v>20911.099999999999</v>
      </c>
      <c r="M57" s="2"/>
      <c r="N57" s="7">
        <f t="shared" si="31"/>
        <v>-1.0104211412857813</v>
      </c>
      <c r="O57" s="11"/>
      <c r="P57" s="6">
        <v>17818.550000000003</v>
      </c>
      <c r="Q57" s="2"/>
      <c r="R57" s="7">
        <f t="shared" si="32"/>
        <v>0.14470625974532228</v>
      </c>
      <c r="S57" s="2"/>
      <c r="T57" s="6">
        <v>14794.630000000001</v>
      </c>
      <c r="U57" s="2"/>
      <c r="V57" s="7">
        <f t="shared" si="33"/>
        <v>0.12103332897018883</v>
      </c>
      <c r="W57" s="2"/>
      <c r="X57" s="6">
        <f t="shared" si="34"/>
        <v>3023.9200000000019</v>
      </c>
      <c r="Y57" s="2"/>
      <c r="Z57" s="7">
        <f t="shared" si="35"/>
        <v>0.20439308046230298</v>
      </c>
    </row>
    <row r="58" spans="1:26" s="24" customFormat="1" hidden="1" outlineLevel="2" x14ac:dyDescent="0.25">
      <c r="A58" s="26"/>
      <c r="B58" s="11" t="str">
        <f>CONCATENATE("          ", "6245", " - ", "PRINTING")</f>
        <v xml:space="preserve">          6245 - PRINTING</v>
      </c>
      <c r="C58" s="11"/>
      <c r="D58" s="6"/>
      <c r="E58" s="2"/>
      <c r="F58" s="7">
        <f t="shared" si="28"/>
        <v>0</v>
      </c>
      <c r="G58" s="2"/>
      <c r="H58" s="6">
        <v>238.14</v>
      </c>
      <c r="I58" s="2"/>
      <c r="J58" s="7">
        <f t="shared" si="29"/>
        <v>-5.1279069767441857E-2</v>
      </c>
      <c r="K58" s="2"/>
      <c r="L58" s="6">
        <f t="shared" si="30"/>
        <v>-238.14</v>
      </c>
      <c r="M58" s="2"/>
      <c r="N58" s="7">
        <f t="shared" si="31"/>
        <v>-1</v>
      </c>
      <c r="O58" s="11"/>
      <c r="P58" s="6">
        <v>120.83</v>
      </c>
      <c r="Q58" s="2"/>
      <c r="R58" s="7">
        <f t="shared" si="32"/>
        <v>9.8127273908523902E-4</v>
      </c>
      <c r="S58" s="2"/>
      <c r="T58" s="6">
        <v>359.42</v>
      </c>
      <c r="U58" s="2"/>
      <c r="V58" s="7">
        <f t="shared" si="33"/>
        <v>2.9403776301580552E-3</v>
      </c>
      <c r="W58" s="2"/>
      <c r="X58" s="6">
        <f t="shared" si="34"/>
        <v>-238.59000000000003</v>
      </c>
      <c r="Y58" s="2"/>
      <c r="Z58" s="7">
        <f t="shared" si="35"/>
        <v>-0.66381948695119919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6"/>
      <c r="E59" s="2"/>
      <c r="F59" s="7">
        <f t="shared" si="28"/>
        <v>0</v>
      </c>
      <c r="G59" s="2"/>
      <c r="H59" s="6">
        <v>-8508.2800000000007</v>
      </c>
      <c r="I59" s="2"/>
      <c r="J59" s="7">
        <f t="shared" si="29"/>
        <v>1.8321016365202414</v>
      </c>
      <c r="K59" s="2"/>
      <c r="L59" s="6">
        <f t="shared" si="30"/>
        <v>8508.2800000000007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0</v>
      </c>
      <c r="U59" s="2"/>
      <c r="V59" s="7">
        <f t="shared" si="33"/>
        <v>0</v>
      </c>
      <c r="W59" s="2"/>
      <c r="X59" s="6">
        <f t="shared" si="34"/>
        <v>0</v>
      </c>
      <c r="Y59" s="2"/>
      <c r="Z59" s="7">
        <f t="shared" si="35"/>
        <v>0</v>
      </c>
    </row>
    <row r="60" spans="1:26" s="27" customFormat="1" outlineLevel="1" collapsed="1" x14ac:dyDescent="0.25">
      <c r="A60" s="25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SUM(OSRRefD22_12x_0)</f>
        <v>188.95</v>
      </c>
      <c r="E60" s="1"/>
      <c r="F60" s="5">
        <f t="shared" ref="F60:F61" si="36">IF(D$12=0,0,D60/D$12)</f>
        <v>6.9919330965068083E-3</v>
      </c>
      <c r="G60" s="1"/>
      <c r="H60" s="1">
        <f>SUM(OSRRefH22_12x_0)</f>
        <v>372.12</v>
      </c>
      <c r="I60" s="1"/>
      <c r="J60" s="5">
        <f t="shared" ref="J60:J61" si="37">IF(H$12=0,0,H60/H$12)</f>
        <v>-8.0129198966408272E-2</v>
      </c>
      <c r="K60" s="1"/>
      <c r="L60" s="1">
        <f t="shared" ref="L60:L61" si="38">+D60-H60</f>
        <v>-183.17000000000002</v>
      </c>
      <c r="M60" s="1"/>
      <c r="N60" s="5">
        <f t="shared" ref="N60:N61" si="39">IF(H60=0,0,L60/H60)</f>
        <v>-0.49223368805761586</v>
      </c>
      <c r="O60" s="13"/>
      <c r="P60" s="1">
        <f>SUM(OSRRefP22_12x_0)</f>
        <v>764.6</v>
      </c>
      <c r="Q60" s="1"/>
      <c r="R60" s="5">
        <f t="shared" ref="R60:R61" si="40">IF(P$12=0,0,P60/P$12)</f>
        <v>6.2093944906444912E-3</v>
      </c>
      <c r="S60" s="1"/>
      <c r="T60" s="1">
        <f>SUM(OSRRefT22_12x_0)</f>
        <v>1502.83</v>
      </c>
      <c r="U60" s="1"/>
      <c r="V60" s="5">
        <f t="shared" ref="V60:V61" si="41">IF(T$12=0,0,T60/T$12)</f>
        <v>1.2294495893190222E-2</v>
      </c>
      <c r="W60" s="1"/>
      <c r="X60" s="1">
        <f t="shared" ref="X60:X61" si="42">+P60-T60</f>
        <v>-738.2299999999999</v>
      </c>
      <c r="Y60" s="1"/>
      <c r="Z60" s="5">
        <f t="shared" ref="Z60:Z61" si="43">IF(T60=0,0,X60/T60)</f>
        <v>-0.49122655257081638</v>
      </c>
    </row>
    <row r="61" spans="1:26" s="24" customFormat="1" hidden="1" outlineLevel="2" x14ac:dyDescent="0.25">
      <c r="A61" s="26"/>
      <c r="B61" s="11" t="str">
        <f>CONCATENATE("          ", "6309", " - ", "TELEPHONE")</f>
        <v xml:space="preserve">          6309 - TELEPHONE</v>
      </c>
      <c r="C61" s="11"/>
      <c r="D61" s="6">
        <v>188.95</v>
      </c>
      <c r="E61" s="2"/>
      <c r="F61" s="7">
        <f t="shared" si="36"/>
        <v>6.9919330965068083E-3</v>
      </c>
      <c r="G61" s="2"/>
      <c r="H61" s="6">
        <v>372.12</v>
      </c>
      <c r="I61" s="2"/>
      <c r="J61" s="7">
        <f t="shared" si="37"/>
        <v>-8.0129198966408272E-2</v>
      </c>
      <c r="K61" s="2"/>
      <c r="L61" s="6">
        <f t="shared" si="38"/>
        <v>-183.17000000000002</v>
      </c>
      <c r="M61" s="2"/>
      <c r="N61" s="7">
        <f t="shared" si="39"/>
        <v>-0.49223368805761586</v>
      </c>
      <c r="O61" s="11"/>
      <c r="P61" s="6">
        <v>764.6</v>
      </c>
      <c r="Q61" s="2"/>
      <c r="R61" s="7">
        <f t="shared" si="40"/>
        <v>6.2093944906444912E-3</v>
      </c>
      <c r="S61" s="2"/>
      <c r="T61" s="6">
        <v>1502.83</v>
      </c>
      <c r="U61" s="2"/>
      <c r="V61" s="7">
        <f t="shared" si="41"/>
        <v>1.2294495893190222E-2</v>
      </c>
      <c r="W61" s="2"/>
      <c r="X61" s="6">
        <f t="shared" si="42"/>
        <v>-738.2299999999999</v>
      </c>
      <c r="Y61" s="2"/>
      <c r="Z61" s="7">
        <f t="shared" si="43"/>
        <v>-0.49122655257081638</v>
      </c>
    </row>
    <row r="62" spans="1:26" s="55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25">
      <c r="A63" s="10"/>
      <c r="B63" s="29" t="s">
        <v>0</v>
      </c>
      <c r="C63" s="10"/>
      <c r="D63" s="4">
        <f>SUM(OSRRefD25x_0)</f>
        <v>3196.59</v>
      </c>
      <c r="E63" s="4"/>
      <c r="F63" s="12">
        <f t="shared" ref="F63:F65" si="44">IF(D$12=0,0,D63/D$12)</f>
        <v>0.11828707815275312</v>
      </c>
      <c r="G63" s="4"/>
      <c r="H63" s="4">
        <f>SUM(OSRRefH25x_0)</f>
        <v>3174.81</v>
      </c>
      <c r="I63" s="4"/>
      <c r="J63" s="12">
        <f t="shared" ref="J63:J65" si="45">IF(H$12=0,0,H63/H$12)</f>
        <v>-0.6836369509043928</v>
      </c>
      <c r="K63" s="4"/>
      <c r="L63" s="4">
        <f t="shared" ref="L63:L65" si="46">+D63-H63</f>
        <v>21.7800000000002</v>
      </c>
      <c r="M63" s="4"/>
      <c r="N63" s="12">
        <f t="shared" ref="N63:N65" si="47">IF(H63=0,0,L63/H63)</f>
        <v>6.8602530545135614E-3</v>
      </c>
      <c r="O63" s="10"/>
      <c r="P63" s="4">
        <f>SUM(OSRRefP25x_0)</f>
        <v>10247.49</v>
      </c>
      <c r="Q63" s="4"/>
      <c r="R63" s="12">
        <f t="shared" ref="R63:R65" si="48">IF(P$12=0,0,P63/P$12)</f>
        <v>8.3220910213097715E-2</v>
      </c>
      <c r="S63" s="4"/>
      <c r="T63" s="4">
        <f>SUM(OSRRefT25x_0)</f>
        <v>11741.73</v>
      </c>
      <c r="U63" s="4"/>
      <c r="V63" s="12">
        <f t="shared" ref="V63:V65" si="49">IF(T$12=0,0,T63/T$12)</f>
        <v>9.6057871658103991E-2</v>
      </c>
      <c r="W63" s="4"/>
      <c r="X63" s="4">
        <f t="shared" ref="X63:X65" si="50">+P63-T63</f>
        <v>-1494.2399999999998</v>
      </c>
      <c r="Y63" s="4"/>
      <c r="Z63" s="12">
        <f t="shared" ref="Z63:Z65" si="51">IF(T63=0,0,X63/T63)</f>
        <v>-0.12725893032798402</v>
      </c>
    </row>
    <row r="64" spans="1:26" s="24" customFormat="1" hidden="1" outlineLevel="1" x14ac:dyDescent="0.25">
      <c r="A64" s="44"/>
      <c r="B64" s="11" t="str">
        <f>CONCATENATE("          ", "9150", " - ", "MISC. INCOME")</f>
        <v xml:space="preserve">          9150 - MISC. INCOME</v>
      </c>
      <c r="C64" s="11"/>
      <c r="D64" s="2">
        <f>--3196.59</f>
        <v>3196.59</v>
      </c>
      <c r="E64" s="2"/>
      <c r="F64" s="19">
        <f t="shared" si="44"/>
        <v>0.11828707815275312</v>
      </c>
      <c r="G64" s="2"/>
      <c r="H64" s="2">
        <f>--3004.46</f>
        <v>3004.46</v>
      </c>
      <c r="I64" s="2"/>
      <c r="J64" s="19">
        <f t="shared" si="45"/>
        <v>-0.64695521102497844</v>
      </c>
      <c r="K64" s="2"/>
      <c r="L64" s="2">
        <f t="shared" si="46"/>
        <v>192.13000000000011</v>
      </c>
      <c r="M64" s="2"/>
      <c r="N64" s="19">
        <f t="shared" si="47"/>
        <v>6.3948263581475581E-2</v>
      </c>
      <c r="O64" s="11"/>
      <c r="P64" s="2">
        <f>--10247.49</f>
        <v>10247.49</v>
      </c>
      <c r="Q64" s="2"/>
      <c r="R64" s="19">
        <f t="shared" si="48"/>
        <v>8.3220910213097715E-2</v>
      </c>
      <c r="S64" s="2"/>
      <c r="T64" s="2">
        <f>--11571.38</f>
        <v>11571.38</v>
      </c>
      <c r="U64" s="2"/>
      <c r="V64" s="19">
        <f t="shared" si="49"/>
        <v>9.4664256029320326E-2</v>
      </c>
      <c r="W64" s="2"/>
      <c r="X64" s="2">
        <f t="shared" si="50"/>
        <v>-1323.8899999999994</v>
      </c>
      <c r="Y64" s="2"/>
      <c r="Z64" s="19">
        <f t="shared" si="51"/>
        <v>-0.11441072715613863</v>
      </c>
    </row>
    <row r="65" spans="1:26" s="24" customFormat="1" hidden="1" outlineLevel="1" x14ac:dyDescent="0.25">
      <c r="A65" s="44"/>
      <c r="B65" s="11" t="str">
        <f>CONCATENATE("          ", "9160", " - ", "MISC. INCOME")</f>
        <v xml:space="preserve">          9160 - MISC. INCOME</v>
      </c>
      <c r="C65" s="11"/>
      <c r="D65" s="2">
        <f>0</f>
        <v>0</v>
      </c>
      <c r="E65" s="2"/>
      <c r="F65" s="19">
        <f t="shared" si="44"/>
        <v>0</v>
      </c>
      <c r="G65" s="2"/>
      <c r="H65" s="2">
        <f>--170.35</f>
        <v>170.35</v>
      </c>
      <c r="I65" s="2"/>
      <c r="J65" s="19">
        <f t="shared" si="45"/>
        <v>-3.6681739879414296E-2</v>
      </c>
      <c r="K65" s="2"/>
      <c r="L65" s="2">
        <f t="shared" si="46"/>
        <v>-170.35</v>
      </c>
      <c r="M65" s="2"/>
      <c r="N65" s="19">
        <f t="shared" si="47"/>
        <v>-1</v>
      </c>
      <c r="O65" s="11"/>
      <c r="P65" s="2">
        <f>0</f>
        <v>0</v>
      </c>
      <c r="Q65" s="2"/>
      <c r="R65" s="19">
        <f t="shared" si="48"/>
        <v>0</v>
      </c>
      <c r="S65" s="2"/>
      <c r="T65" s="2">
        <f>--170.35</f>
        <v>170.35</v>
      </c>
      <c r="U65" s="2"/>
      <c r="V65" s="19">
        <f t="shared" si="49"/>
        <v>1.3936156287836644E-3</v>
      </c>
      <c r="W65" s="2"/>
      <c r="X65" s="2">
        <f t="shared" si="50"/>
        <v>-170.35</v>
      </c>
      <c r="Y65" s="2"/>
      <c r="Z65" s="19">
        <f t="shared" si="51"/>
        <v>-1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8" t="s">
        <v>3</v>
      </c>
      <c r="C67" s="28"/>
      <c r="D67" s="21">
        <f>+D17-D19+D63</f>
        <v>1859.4800000000032</v>
      </c>
      <c r="E67" s="14"/>
      <c r="F67" s="22">
        <f>IF(D$12=0,0,D67/D$12)</f>
        <v>6.8808466548253525E-2</v>
      </c>
      <c r="G67" s="14"/>
      <c r="H67" s="21">
        <f>+H17-H19+H63</f>
        <v>917.52999999999747</v>
      </c>
      <c r="I67" s="14"/>
      <c r="J67" s="22">
        <f>IF(H$12=0,0,H67/H$12)</f>
        <v>-0.19757321274763082</v>
      </c>
      <c r="K67" s="16"/>
      <c r="L67" s="21">
        <f>+D67-H67</f>
        <v>941.95000000000573</v>
      </c>
      <c r="M67" s="16"/>
      <c r="N67" s="22">
        <f>IF(H67=0,0,L67/H67)</f>
        <v>1.0266149335716634</v>
      </c>
      <c r="O67" s="29"/>
      <c r="P67" s="21">
        <f>+P17-P19+P63</f>
        <v>10323.769999999984</v>
      </c>
      <c r="Q67" s="14"/>
      <c r="R67" s="22">
        <f>IF(P$12=0,0,P67/P$12)</f>
        <v>8.3840387863825236E-2</v>
      </c>
      <c r="S67" s="14"/>
      <c r="T67" s="21">
        <f>+T17-T19+T63</f>
        <v>11307.410000000007</v>
      </c>
      <c r="U67" s="14"/>
      <c r="V67" s="22">
        <f>IF(T$12=0,0,T67/T$12)</f>
        <v>9.2504744919663665E-2</v>
      </c>
      <c r="W67" s="16"/>
      <c r="X67" s="21">
        <f>+P67-T67</f>
        <v>-983.64000000002306</v>
      </c>
      <c r="Y67" s="16"/>
      <c r="Z67" s="22">
        <f>IF(T67=0,0,X67/T67)</f>
        <v>-8.6990743238285553E-2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2071.48</v>
      </c>
      <c r="E69" s="4"/>
      <c r="F69" s="12">
        <f>IF(D$12=0,0,D69/D$12)</f>
        <v>7.6653345174659562E-2</v>
      </c>
      <c r="G69" s="4"/>
      <c r="H69" s="4">
        <v>-46.79</v>
      </c>
      <c r="I69" s="4"/>
      <c r="J69" s="12">
        <f>IF(H$12=0,0,H69/H$12)</f>
        <v>1.0075366063738156E-2</v>
      </c>
      <c r="K69" s="4"/>
      <c r="L69" s="4">
        <f>+D69-H69</f>
        <v>2118.27</v>
      </c>
      <c r="M69" s="4"/>
      <c r="N69" s="12">
        <f>IF(H69=0,0,L69/H69)</f>
        <v>-45.271852960034195</v>
      </c>
      <c r="O69" s="10"/>
      <c r="P69" s="4">
        <v>12395.18</v>
      </c>
      <c r="Q69" s="4"/>
      <c r="R69" s="12">
        <f>IF(P$12=0,0,P69/P$12)</f>
        <v>0.10066251949064449</v>
      </c>
      <c r="S69" s="4"/>
      <c r="T69" s="4">
        <v>11226.13</v>
      </c>
      <c r="U69" s="4"/>
      <c r="V69" s="12">
        <f>IF(T$12=0,0,T69/T$12)</f>
        <v>9.1839801695081644E-2</v>
      </c>
      <c r="W69" s="4"/>
      <c r="X69" s="4">
        <f>+P69-T69</f>
        <v>1169.0500000000011</v>
      </c>
      <c r="Y69" s="4"/>
      <c r="Z69" s="12">
        <f>IF(T69=0,0,X69/T69)</f>
        <v>0.10413651008851681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4</v>
      </c>
      <c r="C71" s="28"/>
      <c r="D71" s="31">
        <f>+D67-D69</f>
        <v>-211.99999999999682</v>
      </c>
      <c r="E71" s="14"/>
      <c r="F71" s="34">
        <f>IF(D$12=0,0,D71/D$12)</f>
        <v>-7.8448786264060395E-3</v>
      </c>
      <c r="G71" s="14"/>
      <c r="H71" s="31">
        <f>+H67-H69</f>
        <v>964.31999999999744</v>
      </c>
      <c r="I71" s="14"/>
      <c r="J71" s="34">
        <f>IF(H$12=0,0,H71/H$12)</f>
        <v>-0.20764857881136894</v>
      </c>
      <c r="K71" s="16"/>
      <c r="L71" s="31">
        <f>D71-H71</f>
        <v>-1176.3199999999943</v>
      </c>
      <c r="M71" s="16"/>
      <c r="N71" s="34">
        <f>IF(H71=0,0,L71/H71)</f>
        <v>-1.2198440351750428</v>
      </c>
      <c r="O71" s="29"/>
      <c r="P71" s="31">
        <f>+P67-P69</f>
        <v>-2071.4100000000162</v>
      </c>
      <c r="Q71" s="14"/>
      <c r="R71" s="34">
        <f>IF(P$12=0,0,P71/P$12)</f>
        <v>-1.682213162681926E-2</v>
      </c>
      <c r="S71" s="14"/>
      <c r="T71" s="31">
        <f>+T67-T69</f>
        <v>81.280000000007931</v>
      </c>
      <c r="U71" s="14"/>
      <c r="V71" s="34">
        <f>IF(T$12=0,0,T71/T$12)</f>
        <v>6.6494322458202115E-4</v>
      </c>
      <c r="W71" s="16"/>
      <c r="X71" s="31">
        <f>P71-T71</f>
        <v>-2152.6900000000242</v>
      </c>
      <c r="Y71" s="16"/>
      <c r="Z71" s="34">
        <f>IF(T71=0,0,X71/T71)</f>
        <v>-26.484867125981964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5</v>
      </c>
      <c r="C74" s="28"/>
      <c r="D74" s="36">
        <f>SUM(D71:D73)</f>
        <v>-211.99999999999682</v>
      </c>
      <c r="E74" s="14"/>
      <c r="F74" s="33">
        <f>IF(D$12=0,0,D74/D$12)</f>
        <v>-7.8448786264060395E-3</v>
      </c>
      <c r="G74" s="14"/>
      <c r="H74" s="36">
        <f>SUM(H71:H73)</f>
        <v>964.31999999999744</v>
      </c>
      <c r="I74" s="14"/>
      <c r="J74" s="33">
        <f>IF(H$12=0,0,H74/H$12)</f>
        <v>-0.20764857881136894</v>
      </c>
      <c r="K74" s="16"/>
      <c r="L74" s="36">
        <f>+D74-H74</f>
        <v>-1176.3199999999943</v>
      </c>
      <c r="M74" s="16"/>
      <c r="N74" s="33">
        <f>IF(H74=0,0,L74/H74)</f>
        <v>-1.2198440351750428</v>
      </c>
      <c r="O74" s="29"/>
      <c r="P74" s="36">
        <f>SUM(P71:P73)</f>
        <v>-2071.4100000000162</v>
      </c>
      <c r="Q74" s="14"/>
      <c r="R74" s="33">
        <f>IF(P$12=0,0,P74/P$12)</f>
        <v>-1.682213162681926E-2</v>
      </c>
      <c r="S74" s="14"/>
      <c r="T74" s="36">
        <f>SUM(T71:T73)</f>
        <v>81.280000000007931</v>
      </c>
      <c r="U74" s="14"/>
      <c r="V74" s="33">
        <f>IF(T$12=0,0,T74/T$12)</f>
        <v>6.6494322458202115E-4</v>
      </c>
      <c r="W74" s="16"/>
      <c r="X74" s="36">
        <f>+P74-T74</f>
        <v>-2152.6900000000242</v>
      </c>
      <c r="Y74" s="16"/>
      <c r="Z74" s="33">
        <f>IF(T74=0,0,X74/T74)</f>
        <v>-26.484867125981964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61">
        <v>43791.355860729163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6" t="s">
        <v>313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7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50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50"/>
      <c r="W9" s="15"/>
      <c r="X9" s="15"/>
      <c r="Y9" s="15"/>
      <c r="Z9" s="40"/>
    </row>
    <row r="10" spans="1:26" x14ac:dyDescent="0.25">
      <c r="A10" s="10"/>
      <c r="B10" s="60"/>
      <c r="C10" s="10"/>
      <c r="D10" s="43" t="s">
        <v>10</v>
      </c>
      <c r="E10" s="32"/>
      <c r="F10" s="30" t="s">
        <v>14</v>
      </c>
      <c r="G10" s="32"/>
      <c r="H10" s="46" t="s">
        <v>306</v>
      </c>
      <c r="I10" s="32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9" t="s">
        <v>10</v>
      </c>
      <c r="Q10" s="32"/>
      <c r="R10" s="30" t="s">
        <v>14</v>
      </c>
      <c r="S10" s="32"/>
      <c r="T10" s="46" t="s">
        <v>306</v>
      </c>
      <c r="U10" s="32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3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9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4318</vt:i4>
      </vt:variant>
    </vt:vector>
  </HeadingPairs>
  <TitlesOfParts>
    <vt:vector size="4419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100</vt:lpstr>
      <vt:lpstr>Div 2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308</vt:lpstr>
      <vt:lpstr>311</vt:lpstr>
      <vt:lpstr>314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323</vt:lpstr>
      <vt:lpstr>324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'317'!OSRRefD22_12x_0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'325'!OSRRefD22_14x_0</vt:lpstr>
      <vt:lpstr>'326'!OSRRefD22_14x_0</vt:lpstr>
      <vt:lpstr>'330'!OSRRefD22_14x_0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'415'!OSRRefD22_15x_0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'405'!OSRRefD22_17x_0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'455'!OSRRefD22_2x_0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'317'!OSRRefH22_12x_0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'325'!OSRRefH22_14x_0</vt:lpstr>
      <vt:lpstr>'326'!OSRRefH22_14x_0</vt:lpstr>
      <vt:lpstr>'330'!OSRRefH22_14x_0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'415'!OSRRefH22_15x_0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'405'!OSRRefH22_17x_0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'455'!OSRRefH22_2x_0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'317'!OSRRefP22_12x_0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'325'!OSRRefP22_14x_0</vt:lpstr>
      <vt:lpstr>'326'!OSRRefP22_14x_0</vt:lpstr>
      <vt:lpstr>'330'!OSRRefP22_14x_0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'415'!OSRRefP22_15x_0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'405'!OSRRefP22_17x_0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'455'!OSRRefP22_2x_0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'317'!OSRRefT22_12x_0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'325'!OSRRefT22_14x_0</vt:lpstr>
      <vt:lpstr>'326'!OSRRefT22_14x_0</vt:lpstr>
      <vt:lpstr>'330'!OSRRefT22_14x_0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'415'!OSRRefT22_15x_0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'405'!OSRRefT22_17x_0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'455'!OSRRefT22_2x_0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'323'!Print_Area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'323'!Print_Titles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2019-11-22T16:53:49Z</dcterms:modified>
</cp:coreProperties>
</file>